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731BD3B5-52B0-9A48-8511-9D64CD8B0A42}" xr6:coauthVersionLast="47" xr6:coauthVersionMax="47" xr10:uidLastSave="{00000000-0000-0000-0000-000000000000}"/>
  <bookViews>
    <workbookView xWindow="3960" yWindow="460" windowWidth="22200" windowHeight="1664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3872" i="3" l="1"/>
  <c r="R3871" i="3"/>
  <c r="R3870" i="3"/>
  <c r="R3869" i="3"/>
  <c r="R3868" i="3"/>
  <c r="R3867" i="3"/>
  <c r="AM3270" i="3"/>
  <c r="AM3269" i="3"/>
  <c r="AM3246" i="3"/>
  <c r="AM3245" i="3"/>
  <c r="AM3244" i="3"/>
  <c r="AM3242" i="3"/>
  <c r="AM3241" i="3"/>
  <c r="AM3238" i="3"/>
  <c r="AM3237" i="3"/>
  <c r="AH3273" i="3"/>
  <c r="AH3272" i="3"/>
  <c r="AH3271" i="3"/>
  <c r="AH3270" i="3"/>
  <c r="AH3269" i="3"/>
  <c r="AH3268" i="3"/>
  <c r="AH3267" i="3"/>
  <c r="AH3266" i="3"/>
  <c r="AH3265" i="3"/>
  <c r="AH3264" i="3"/>
  <c r="AH3263" i="3"/>
  <c r="AH3262" i="3"/>
  <c r="AH3261" i="3"/>
  <c r="AH3260" i="3"/>
  <c r="AH3259" i="3"/>
  <c r="AH3258" i="3"/>
  <c r="AH3257" i="3"/>
  <c r="AH3256" i="3"/>
  <c r="AH3255" i="3"/>
  <c r="AH3254" i="3"/>
  <c r="AH3253" i="3"/>
  <c r="AH3252" i="3"/>
  <c r="AH3251" i="3"/>
  <c r="AH3250" i="3"/>
  <c r="AH3249" i="3"/>
  <c r="AH3248" i="3"/>
  <c r="AH3247" i="3"/>
  <c r="AH3246" i="3"/>
  <c r="AH3245" i="3"/>
  <c r="AH3244" i="3"/>
  <c r="AH3243" i="3"/>
  <c r="AH3242" i="3"/>
  <c r="AH3241" i="3"/>
  <c r="AH3240" i="3"/>
  <c r="AH3239" i="3"/>
  <c r="AH3238" i="3"/>
  <c r="AH3237" i="3"/>
  <c r="AH3236" i="3"/>
  <c r="AH3235" i="3"/>
  <c r="AH3234" i="3"/>
  <c r="AH3233" i="3"/>
  <c r="AH3232" i="3"/>
  <c r="AH3231" i="3"/>
  <c r="AH3230" i="3"/>
  <c r="AH3229" i="3"/>
  <c r="AH3228" i="3"/>
  <c r="AH3227" i="3"/>
  <c r="AH3226" i="3"/>
  <c r="AH3225" i="3"/>
  <c r="AH3224" i="3"/>
  <c r="AH3223" i="3"/>
  <c r="AH3222" i="3"/>
  <c r="AH3221" i="3"/>
  <c r="AM3219" i="3"/>
  <c r="AM3217" i="3"/>
  <c r="AM3215" i="3"/>
  <c r="AM3214" i="3"/>
  <c r="AM3208" i="3"/>
  <c r="AM3196" i="3"/>
  <c r="AM3195" i="3"/>
  <c r="AM3194" i="3"/>
  <c r="AM3193" i="3"/>
  <c r="AM3191" i="3"/>
  <c r="AM3189" i="3"/>
  <c r="AM3188" i="3"/>
  <c r="AM3187" i="3"/>
  <c r="AM3186" i="3"/>
  <c r="AM3185" i="3"/>
  <c r="AM3182" i="3"/>
  <c r="AM3179" i="3"/>
  <c r="AH3220" i="3"/>
  <c r="AH3219" i="3"/>
  <c r="AH3218" i="3"/>
  <c r="AH3217" i="3"/>
  <c r="AH3216" i="3"/>
  <c r="AH3215" i="3"/>
  <c r="AH3214" i="3"/>
  <c r="AH3213" i="3"/>
  <c r="AH3212" i="3"/>
  <c r="AH3211" i="3"/>
  <c r="AH3210" i="3"/>
  <c r="AH3209" i="3"/>
  <c r="AH3208" i="3"/>
  <c r="AH3207" i="3"/>
  <c r="AH3206" i="3"/>
  <c r="AH3205" i="3"/>
  <c r="AH3204" i="3"/>
  <c r="AH3203" i="3"/>
  <c r="AH3202" i="3"/>
  <c r="AH3201" i="3"/>
  <c r="AH3200" i="3"/>
  <c r="AH3199" i="3"/>
  <c r="AH3198" i="3"/>
  <c r="AH3197" i="3"/>
  <c r="AH3196" i="3"/>
  <c r="AH3195" i="3"/>
  <c r="AH3194" i="3"/>
  <c r="AH3193" i="3"/>
  <c r="AH3192" i="3"/>
  <c r="AH3191" i="3"/>
  <c r="AH3190" i="3"/>
  <c r="AH3189" i="3"/>
  <c r="AH3188" i="3"/>
  <c r="AH3187" i="3"/>
  <c r="AH3186" i="3"/>
  <c r="AH3185" i="3"/>
  <c r="AH3184" i="3"/>
  <c r="AH3183" i="3"/>
  <c r="AH3182" i="3"/>
  <c r="AH3181" i="3"/>
  <c r="AH3180" i="3"/>
  <c r="AH3179" i="3"/>
  <c r="AH3178" i="3"/>
  <c r="AH3177" i="3"/>
  <c r="AH3176" i="3"/>
  <c r="AH3175" i="3"/>
  <c r="AM3174" i="3"/>
  <c r="AM3172" i="3"/>
  <c r="AM3171" i="3"/>
  <c r="AM3169" i="3"/>
  <c r="AM3167" i="3"/>
  <c r="AH3174" i="3"/>
  <c r="AH3173" i="3"/>
  <c r="AH3172" i="3"/>
  <c r="AH3171" i="3"/>
  <c r="AH3170" i="3"/>
  <c r="AH3169" i="3"/>
  <c r="AH3168" i="3"/>
  <c r="AH3167" i="3"/>
  <c r="AH3166" i="3"/>
  <c r="AH3165" i="3"/>
  <c r="AM3161" i="3"/>
  <c r="AM3160" i="3"/>
  <c r="AM3159" i="3"/>
  <c r="AM3158" i="3"/>
  <c r="AM3157" i="3"/>
  <c r="AH3164" i="3"/>
  <c r="AH3163" i="3"/>
  <c r="AH3162" i="3"/>
  <c r="AH3161" i="3"/>
  <c r="AH3160" i="3"/>
  <c r="AH3159" i="3"/>
  <c r="AH3158" i="3"/>
  <c r="AH3157" i="3"/>
  <c r="AH3156" i="3"/>
  <c r="AH3155" i="3"/>
  <c r="AM3149" i="3"/>
  <c r="AM3148" i="3"/>
  <c r="AM3147" i="3"/>
  <c r="AH3154" i="3"/>
  <c r="AH3153" i="3"/>
  <c r="AH3152" i="3"/>
  <c r="AH3151" i="3"/>
  <c r="AH3150" i="3"/>
  <c r="AH3149" i="3"/>
  <c r="AH3148" i="3"/>
  <c r="AH3147" i="3"/>
  <c r="AH3146" i="3"/>
  <c r="AH3145" i="3"/>
  <c r="AM3140" i="3"/>
  <c r="AH3144" i="3"/>
  <c r="AH3143" i="3"/>
  <c r="AH3142" i="3"/>
  <c r="AH3141" i="3"/>
  <c r="AH3140" i="3"/>
  <c r="AH3139" i="3"/>
  <c r="AH3138" i="3"/>
  <c r="AH3137" i="3"/>
  <c r="AH3136" i="3"/>
  <c r="AH3135" i="3"/>
  <c r="AM3134" i="3"/>
  <c r="AM3133" i="3"/>
  <c r="AM3132" i="3"/>
  <c r="AM3131" i="3"/>
  <c r="AM3130" i="3"/>
  <c r="AH3134" i="3"/>
  <c r="AH3133" i="3"/>
  <c r="AH3132" i="3"/>
  <c r="AH3131" i="3"/>
  <c r="AH3130" i="3"/>
  <c r="AH3129" i="3"/>
  <c r="AH3128" i="3"/>
  <c r="AH3127" i="3"/>
  <c r="AH3126" i="3"/>
  <c r="AH3125" i="3"/>
  <c r="AH3124" i="3"/>
  <c r="AH3123" i="3"/>
  <c r="AH3122" i="3"/>
  <c r="AH3121" i="3"/>
  <c r="AH3120" i="3"/>
  <c r="AH3119" i="3"/>
  <c r="AH3118" i="3"/>
  <c r="AH3117" i="3"/>
  <c r="AH3116" i="3"/>
  <c r="AH3115" i="3"/>
  <c r="AH3866" i="3"/>
  <c r="AH3865" i="3"/>
  <c r="AH3864" i="3"/>
  <c r="AH3863" i="3"/>
  <c r="AH3862" i="3"/>
  <c r="AH3861" i="3"/>
  <c r="AH3860" i="3"/>
  <c r="AH3859" i="3"/>
  <c r="AH3858" i="3"/>
  <c r="AH3857" i="3"/>
  <c r="AH3856" i="3"/>
  <c r="W3856" i="3"/>
  <c r="AH3855" i="3"/>
  <c r="W3855" i="3"/>
  <c r="AH3854" i="3"/>
  <c r="W3854" i="3"/>
  <c r="AH3853" i="3"/>
  <c r="W3853" i="3"/>
  <c r="AH3852" i="3"/>
  <c r="W3852" i="3"/>
  <c r="AH3851" i="3"/>
  <c r="W3851" i="3"/>
  <c r="AH3850" i="3"/>
  <c r="W3850" i="3"/>
  <c r="AH3849" i="3"/>
  <c r="W3849" i="3"/>
  <c r="AH3848" i="3"/>
  <c r="W3848" i="3"/>
  <c r="AH3847" i="3"/>
  <c r="W3847" i="3"/>
  <c r="AH3846" i="3"/>
  <c r="W3846" i="3"/>
  <c r="AH3845" i="3"/>
  <c r="W3845" i="3"/>
  <c r="AH3844" i="3"/>
  <c r="W3844" i="3"/>
  <c r="AH3843" i="3"/>
  <c r="W3843" i="3"/>
  <c r="AH3842" i="3"/>
  <c r="W3842" i="3"/>
  <c r="AH3841" i="3"/>
  <c r="W3841" i="3"/>
  <c r="AH3840" i="3"/>
  <c r="W3840" i="3"/>
  <c r="AH3839" i="3"/>
  <c r="W3839" i="3"/>
  <c r="AH3838" i="3"/>
  <c r="W3838" i="3"/>
  <c r="AH3837" i="3"/>
  <c r="W3837" i="3"/>
  <c r="AH3836" i="3"/>
  <c r="AH3835" i="3"/>
  <c r="AH3834" i="3"/>
  <c r="AH3833" i="3"/>
  <c r="AH3832" i="3"/>
  <c r="AH3831" i="3"/>
  <c r="AH3830" i="3"/>
  <c r="AH3829" i="3"/>
  <c r="AH3828" i="3"/>
  <c r="AH3827" i="3"/>
  <c r="AH3826" i="3"/>
  <c r="AH3825" i="3"/>
  <c r="AH3824" i="3"/>
  <c r="AH3823" i="3"/>
  <c r="AH3822" i="3"/>
  <c r="AH3821" i="3"/>
  <c r="AH3820" i="3"/>
  <c r="AH3819" i="3"/>
  <c r="AH3818" i="3"/>
  <c r="AH3817" i="3"/>
  <c r="AH3816" i="3"/>
  <c r="AH3815" i="3"/>
  <c r="AH3814" i="3"/>
  <c r="AH3813" i="3"/>
  <c r="AH3812" i="3"/>
  <c r="AH3811" i="3"/>
  <c r="AH3810" i="3"/>
  <c r="AH3809" i="3"/>
  <c r="AH3808" i="3"/>
  <c r="AH3807" i="3"/>
  <c r="AH3806" i="3"/>
  <c r="AH3805" i="3"/>
  <c r="AH3804" i="3"/>
  <c r="AH3803" i="3"/>
  <c r="AH3802" i="3"/>
  <c r="AH3801" i="3"/>
  <c r="AH3800" i="3"/>
  <c r="AH3799" i="3"/>
  <c r="AH3798" i="3"/>
  <c r="AH3797" i="3"/>
  <c r="W3796" i="3"/>
  <c r="W3795" i="3"/>
  <c r="W3794" i="3"/>
  <c r="W3793" i="3"/>
  <c r="W3792" i="3"/>
  <c r="W3791" i="3"/>
  <c r="W3790" i="3"/>
  <c r="W3789" i="3"/>
  <c r="W3788" i="3"/>
  <c r="W3787" i="3"/>
  <c r="AH3796" i="3"/>
  <c r="AH3795" i="3"/>
  <c r="AH3794" i="3"/>
  <c r="AH3793" i="3"/>
  <c r="AH3792" i="3"/>
  <c r="AH3791" i="3"/>
  <c r="AH3790" i="3"/>
  <c r="AH3789" i="3"/>
  <c r="AH3788" i="3"/>
  <c r="AH3787" i="3"/>
  <c r="W3786" i="3"/>
  <c r="W3785" i="3"/>
  <c r="W3784" i="3"/>
  <c r="W3783" i="3"/>
  <c r="W3782" i="3"/>
  <c r="W3781" i="3"/>
  <c r="W3780" i="3"/>
  <c r="W3779" i="3"/>
  <c r="W3778" i="3"/>
  <c r="W3777" i="3"/>
  <c r="AH3786" i="3"/>
  <c r="AH3785" i="3"/>
  <c r="AH3784" i="3"/>
  <c r="AH3783" i="3"/>
  <c r="AH3782" i="3"/>
  <c r="AH3781" i="3"/>
  <c r="AH3780" i="3"/>
  <c r="AH3779" i="3"/>
  <c r="AH3778" i="3"/>
  <c r="AH3777" i="3"/>
  <c r="AH3776" i="3"/>
  <c r="AH3775" i="3"/>
  <c r="AH3774" i="3"/>
  <c r="AH3773" i="3"/>
  <c r="AH3772" i="3"/>
  <c r="AH3771" i="3"/>
  <c r="AH3770" i="3"/>
  <c r="AH3769" i="3"/>
  <c r="AH3768" i="3"/>
  <c r="AH3767" i="3"/>
  <c r="AH3766" i="3"/>
  <c r="AH3765" i="3"/>
  <c r="AH3764" i="3"/>
  <c r="AH3763" i="3"/>
  <c r="AH3762" i="3"/>
  <c r="AH3761" i="3"/>
  <c r="AH3760" i="3"/>
  <c r="AH3759" i="3"/>
  <c r="AH3758" i="3"/>
  <c r="AH3757" i="3"/>
  <c r="AH3756" i="3"/>
  <c r="AH3755" i="3"/>
  <c r="AH3754" i="3"/>
  <c r="AH3753" i="3"/>
  <c r="AH3752" i="3"/>
  <c r="AH3751" i="3"/>
  <c r="AH3750" i="3"/>
  <c r="AH3749" i="3"/>
  <c r="AH3748" i="3"/>
  <c r="AH3747" i="3"/>
  <c r="AM3746" i="3"/>
  <c r="AM3745" i="3"/>
  <c r="AM3744" i="3"/>
  <c r="AM3743" i="3"/>
  <c r="AM3742" i="3"/>
  <c r="AM3741" i="3"/>
  <c r="AM3740" i="3"/>
  <c r="AM3739" i="3"/>
  <c r="AM3738" i="3"/>
  <c r="AM3737" i="3"/>
  <c r="AM3736" i="3"/>
  <c r="AM3735" i="3"/>
  <c r="AP3746" i="3"/>
  <c r="AP3745" i="3"/>
  <c r="AP3744" i="3"/>
  <c r="AP3743" i="3"/>
  <c r="AP3742" i="3"/>
  <c r="AP3741" i="3"/>
  <c r="AP3740" i="3"/>
  <c r="AP3739" i="3"/>
  <c r="AP3738" i="3"/>
  <c r="AP3737" i="3"/>
  <c r="AP3736" i="3"/>
  <c r="AP3735" i="3"/>
  <c r="AH3746" i="3"/>
  <c r="W3746" i="3"/>
  <c r="AH3745" i="3"/>
  <c r="W3745" i="3"/>
  <c r="AH3744" i="3"/>
  <c r="AH3743" i="3"/>
  <c r="AH3742" i="3"/>
  <c r="AH3741" i="3"/>
  <c r="AH3740" i="3"/>
  <c r="W3740" i="3"/>
  <c r="AH3739" i="3"/>
  <c r="W3739" i="3"/>
  <c r="AH3738" i="3"/>
  <c r="AH3737" i="3"/>
  <c r="AH3736" i="3"/>
  <c r="AH3735" i="3"/>
  <c r="AM3734" i="3"/>
  <c r="AM3733" i="3"/>
  <c r="AM3732" i="3"/>
  <c r="AM3731" i="3"/>
  <c r="AM3730" i="3"/>
  <c r="AM3729" i="3"/>
  <c r="AM3728" i="3"/>
  <c r="AM3727" i="3"/>
  <c r="AM3726" i="3"/>
  <c r="AM3725" i="3"/>
  <c r="AM3724" i="3"/>
  <c r="AM3723" i="3"/>
  <c r="AH3734" i="3"/>
  <c r="W3734" i="3"/>
  <c r="AH3733" i="3"/>
  <c r="W3733" i="3"/>
  <c r="AH3732" i="3"/>
  <c r="AH3731" i="3"/>
  <c r="AH3730" i="3"/>
  <c r="AP3729" i="3"/>
  <c r="AH3729" i="3"/>
  <c r="AH3728" i="3"/>
  <c r="W3728" i="3"/>
  <c r="AH3727" i="3"/>
  <c r="W3727" i="3"/>
  <c r="AH3726" i="3"/>
  <c r="AH3725" i="3"/>
  <c r="AH3724" i="3"/>
  <c r="AP3723" i="3"/>
  <c r="AH3723" i="3"/>
  <c r="AM3722" i="3"/>
  <c r="W3722" i="3"/>
  <c r="AH3722" i="3"/>
  <c r="W3721" i="3"/>
  <c r="AM3721" i="3"/>
  <c r="AH3721" i="3"/>
  <c r="AM3720" i="3"/>
  <c r="AH3720" i="3"/>
  <c r="AM3719" i="3"/>
  <c r="AH3719" i="3"/>
  <c r="AM3718" i="3"/>
  <c r="AM3717" i="3"/>
  <c r="AP3717" i="3"/>
  <c r="AH3718" i="3"/>
  <c r="AH3717" i="3"/>
  <c r="AH3114" i="3"/>
  <c r="AH3113" i="3"/>
  <c r="W3113" i="3"/>
  <c r="AH3112" i="3"/>
  <c r="AH3111" i="3"/>
  <c r="AH3110" i="3"/>
  <c r="AH3109" i="3"/>
  <c r="W3109" i="3"/>
  <c r="AH3108" i="3"/>
  <c r="AH3107" i="3"/>
  <c r="AH3106" i="3"/>
  <c r="AH3105" i="3"/>
  <c r="W3105" i="3"/>
  <c r="AH3104" i="3"/>
  <c r="AH3103" i="3"/>
  <c r="W3101" i="3"/>
  <c r="AH3102" i="3"/>
  <c r="AH3101" i="3"/>
  <c r="AH3100" i="3"/>
  <c r="AH3099" i="3"/>
  <c r="AH3098" i="3"/>
  <c r="AH3097" i="3"/>
  <c r="AH3096" i="3"/>
  <c r="AH3095" i="3"/>
  <c r="AH3094" i="3"/>
  <c r="AH3093" i="3"/>
  <c r="AH3092" i="3"/>
  <c r="AH3091" i="3"/>
  <c r="AH3090" i="3"/>
  <c r="AH3089" i="3"/>
  <c r="AH3088" i="3"/>
  <c r="AH3087" i="3"/>
  <c r="AH3086" i="3"/>
  <c r="AH3085" i="3"/>
  <c r="AH3084" i="3"/>
  <c r="AH3083" i="3"/>
  <c r="AH3082" i="3"/>
  <c r="AH3081" i="3"/>
  <c r="AH3080" i="3"/>
  <c r="AH3079" i="3"/>
  <c r="AH3078" i="3"/>
  <c r="AH3077" i="3"/>
  <c r="AH3076" i="3"/>
  <c r="AH3075" i="3"/>
  <c r="AH3074" i="3"/>
  <c r="AH3073" i="3"/>
  <c r="AH3072" i="3"/>
  <c r="AH3071" i="3"/>
  <c r="AH3070" i="3"/>
  <c r="AH3069" i="3"/>
  <c r="AH3068" i="3"/>
  <c r="AH3067" i="3"/>
  <c r="AH3066" i="3"/>
  <c r="AH3065" i="3"/>
  <c r="AH3064" i="3"/>
  <c r="AH3063" i="3"/>
  <c r="AH3062" i="3"/>
  <c r="AH3061" i="3"/>
  <c r="AH3060" i="3"/>
  <c r="AH3059" i="3"/>
  <c r="AH3058" i="3"/>
  <c r="AH3057" i="3"/>
  <c r="AH3056" i="3"/>
  <c r="AH3055" i="3"/>
  <c r="W3055" i="3"/>
  <c r="AH3054" i="3"/>
  <c r="AH3053" i="3"/>
  <c r="AH3052" i="3"/>
  <c r="AH3051" i="3"/>
  <c r="AH3050" i="3"/>
  <c r="AH3049" i="3"/>
  <c r="AH3048" i="3"/>
  <c r="AH3047" i="3"/>
  <c r="AH3046" i="3"/>
  <c r="AH3045" i="3"/>
  <c r="AH3044" i="3"/>
  <c r="AH3043" i="3"/>
  <c r="AH3042" i="3"/>
  <c r="AH3041" i="3"/>
  <c r="AH3040" i="3"/>
  <c r="AH3039" i="3"/>
  <c r="AH3038" i="3"/>
  <c r="AH3037" i="3"/>
  <c r="AH3036" i="3"/>
  <c r="AH3035" i="3"/>
  <c r="AH3034" i="3"/>
  <c r="AH3033" i="3"/>
  <c r="AH3032" i="3"/>
  <c r="AH3031" i="3"/>
  <c r="AH3030" i="3"/>
  <c r="AH3029" i="3"/>
  <c r="AH3028" i="3"/>
  <c r="AH3027" i="3"/>
  <c r="AH3026" i="3"/>
  <c r="AH3025" i="3"/>
  <c r="AH3024" i="3"/>
  <c r="AH3023" i="3"/>
  <c r="AH3022" i="3"/>
  <c r="AH3021" i="3"/>
  <c r="AH3020" i="3"/>
  <c r="AH3019" i="3"/>
  <c r="AH3018" i="3"/>
  <c r="AH3017" i="3"/>
  <c r="AH3016" i="3"/>
  <c r="AH3015" i="3"/>
  <c r="AH3014" i="3"/>
  <c r="AH3013" i="3"/>
  <c r="AH3012" i="3"/>
  <c r="AH3011" i="3"/>
  <c r="AH3010" i="3"/>
  <c r="AH3009" i="3"/>
  <c r="AH3008" i="3"/>
  <c r="AH3007" i="3"/>
  <c r="W3007" i="3"/>
  <c r="AH3006" i="3"/>
  <c r="AH3005" i="3"/>
  <c r="AH3004" i="3"/>
  <c r="AH3003" i="3"/>
  <c r="AH3002" i="3"/>
  <c r="AH3001" i="3"/>
  <c r="AH3000" i="3"/>
  <c r="AH2999" i="3"/>
  <c r="AH2998" i="3"/>
  <c r="AH2997" i="3"/>
  <c r="AH2996" i="3"/>
  <c r="AH2995" i="3"/>
  <c r="AH2994" i="3"/>
  <c r="AH2993" i="3"/>
  <c r="AH2992" i="3"/>
  <c r="AH2991" i="3"/>
  <c r="AH2990" i="3"/>
  <c r="AH2989" i="3"/>
  <c r="AH2988" i="3"/>
  <c r="AH2987" i="3"/>
  <c r="AH2986" i="3"/>
  <c r="AH2985" i="3"/>
  <c r="AH2984" i="3"/>
  <c r="AH2983" i="3"/>
  <c r="AH2982" i="3"/>
  <c r="AH2981" i="3"/>
  <c r="AH2980" i="3"/>
  <c r="AH2979" i="3"/>
  <c r="AH2978" i="3"/>
  <c r="AH2977" i="3"/>
  <c r="AH2976" i="3"/>
  <c r="AH2975" i="3"/>
  <c r="AH2974" i="3"/>
  <c r="AH2973" i="3"/>
  <c r="AH2972" i="3"/>
  <c r="AH2971" i="3"/>
  <c r="AH2970" i="3"/>
  <c r="AH2969" i="3"/>
  <c r="AH2968" i="3"/>
  <c r="AH2967" i="3"/>
  <c r="AH2966" i="3"/>
  <c r="AH2965" i="3"/>
  <c r="AH2964" i="3"/>
  <c r="AH2963" i="3"/>
  <c r="AH2962" i="3"/>
  <c r="AH2961" i="3"/>
  <c r="AH2960" i="3"/>
  <c r="AH2959" i="3"/>
  <c r="W2959" i="3"/>
  <c r="AH2958" i="3"/>
  <c r="AH2957" i="3"/>
  <c r="AH2956" i="3"/>
  <c r="AH2955" i="3"/>
  <c r="AH2954" i="3"/>
  <c r="AH2953" i="3"/>
  <c r="AH2952" i="3"/>
  <c r="AH2951" i="3"/>
  <c r="AH2950" i="3"/>
  <c r="AH2949" i="3"/>
  <c r="AH2948" i="3"/>
  <c r="AH2947" i="3"/>
  <c r="AH2946" i="3"/>
  <c r="AH2945" i="3"/>
  <c r="AH2944" i="3"/>
  <c r="AH2943" i="3"/>
  <c r="AH2942" i="3"/>
  <c r="AH2941" i="3"/>
  <c r="AH2940" i="3"/>
  <c r="AH2939" i="3"/>
  <c r="AH2938" i="3"/>
  <c r="AH2937" i="3"/>
  <c r="AH2936" i="3"/>
  <c r="AH2935" i="3"/>
  <c r="AH2934" i="3"/>
  <c r="AH2933" i="3"/>
  <c r="AH2932" i="3"/>
  <c r="AH2931" i="3"/>
  <c r="AH2930" i="3"/>
  <c r="AH2929" i="3"/>
  <c r="AH2928" i="3"/>
  <c r="AH2927" i="3"/>
  <c r="AH2926" i="3"/>
  <c r="AH2925" i="3"/>
  <c r="AH2924" i="3"/>
  <c r="AH2923" i="3"/>
  <c r="AH2922" i="3"/>
  <c r="AH2921" i="3"/>
  <c r="AH2920" i="3"/>
  <c r="AH2919" i="3"/>
  <c r="AH2918" i="3"/>
  <c r="AH2917" i="3"/>
  <c r="AH2916" i="3"/>
  <c r="AH2915" i="3"/>
  <c r="AH2914" i="3"/>
  <c r="AH2913" i="3"/>
  <c r="AH2912" i="3"/>
  <c r="AH2911" i="3"/>
  <c r="W2911" i="3"/>
  <c r="AH2910" i="3"/>
  <c r="AH2909" i="3"/>
  <c r="AH2908" i="3"/>
  <c r="AH2907" i="3"/>
  <c r="W3716" i="3"/>
  <c r="W3715" i="3"/>
  <c r="W3714" i="3"/>
  <c r="W3713" i="3"/>
  <c r="W3712" i="3"/>
  <c r="W3711" i="3"/>
  <c r="W3710" i="3"/>
  <c r="W3707" i="3"/>
  <c r="W3706" i="3"/>
  <c r="W3705" i="3"/>
  <c r="W3704" i="3"/>
  <c r="W3703" i="3"/>
  <c r="W3702" i="3"/>
  <c r="W3701" i="3"/>
  <c r="W3698" i="3"/>
  <c r="W3697" i="3"/>
  <c r="W3696" i="3"/>
  <c r="W3695" i="3"/>
  <c r="W3694" i="3"/>
  <c r="W3693" i="3"/>
  <c r="W3692" i="3"/>
  <c r="W3689" i="3"/>
  <c r="W3688" i="3"/>
  <c r="W3687" i="3"/>
  <c r="W3686" i="3"/>
  <c r="W3685" i="3"/>
  <c r="W3684" i="3"/>
  <c r="W3683" i="3"/>
  <c r="W3680" i="3"/>
  <c r="W3679" i="3"/>
  <c r="W3678" i="3"/>
  <c r="W3677" i="3"/>
  <c r="W3676" i="3"/>
  <c r="W3675" i="3"/>
  <c r="W3674" i="3"/>
  <c r="W3671" i="3"/>
  <c r="W3670" i="3"/>
  <c r="W3669" i="3"/>
  <c r="W3668" i="3"/>
  <c r="W3667" i="3"/>
  <c r="W3666" i="3"/>
  <c r="W3665" i="3"/>
  <c r="W3662" i="3"/>
  <c r="W3661" i="3"/>
  <c r="W3660" i="3"/>
  <c r="W3659" i="3"/>
  <c r="W3658" i="3"/>
  <c r="W3657" i="3"/>
  <c r="W3656" i="3"/>
  <c r="W3653" i="3"/>
  <c r="W3652" i="3"/>
  <c r="W3651" i="3"/>
  <c r="W3650" i="3"/>
  <c r="W3649" i="3"/>
  <c r="W3648" i="3"/>
  <c r="W3647" i="3"/>
  <c r="W3644" i="3"/>
  <c r="W3643" i="3"/>
  <c r="W3642" i="3"/>
  <c r="W3641" i="3"/>
  <c r="W3640" i="3"/>
  <c r="W3639" i="3"/>
  <c r="W3638" i="3"/>
  <c r="W3635" i="3"/>
  <c r="W3634" i="3"/>
  <c r="W3633" i="3"/>
  <c r="W3632" i="3"/>
  <c r="W3631" i="3"/>
  <c r="W3630" i="3"/>
  <c r="W3629" i="3"/>
  <c r="W3626" i="3"/>
  <c r="W3625" i="3"/>
  <c r="W3624" i="3"/>
  <c r="W3623" i="3"/>
  <c r="W3622" i="3"/>
  <c r="W3621" i="3"/>
  <c r="W3620" i="3"/>
  <c r="W3617" i="3"/>
  <c r="W3616" i="3"/>
  <c r="W3615" i="3"/>
  <c r="W3614" i="3"/>
  <c r="W3613" i="3"/>
  <c r="W3612" i="3"/>
  <c r="W3611" i="3"/>
  <c r="W3608" i="3"/>
  <c r="W3607" i="3"/>
  <c r="W3606" i="3"/>
  <c r="W3605" i="3"/>
  <c r="W3604" i="3"/>
  <c r="W3603" i="3"/>
  <c r="W3602" i="3"/>
  <c r="W3599" i="3"/>
  <c r="W3598" i="3"/>
  <c r="W3597" i="3"/>
  <c r="W3596" i="3"/>
  <c r="W3595" i="3"/>
  <c r="W3594" i="3"/>
  <c r="W3593" i="3"/>
  <c r="W3590" i="3"/>
  <c r="W3589" i="3"/>
  <c r="W3588" i="3"/>
  <c r="W3587" i="3"/>
  <c r="W3586" i="3"/>
  <c r="W3585" i="3"/>
  <c r="W3584" i="3"/>
  <c r="W3581" i="3"/>
  <c r="W3580" i="3"/>
  <c r="W3579" i="3"/>
  <c r="W3578" i="3"/>
  <c r="W3577" i="3"/>
  <c r="W3576" i="3"/>
  <c r="W3575" i="3"/>
  <c r="W3572" i="3"/>
  <c r="W3571" i="3"/>
  <c r="W3570" i="3"/>
  <c r="W3569" i="3"/>
  <c r="W3568" i="3"/>
  <c r="W3567" i="3"/>
  <c r="W3566" i="3"/>
  <c r="W3563" i="3"/>
  <c r="W3562" i="3"/>
  <c r="W3561" i="3"/>
  <c r="W3560" i="3"/>
  <c r="W3559" i="3"/>
  <c r="W3558" i="3"/>
  <c r="W3557" i="3"/>
  <c r="W3554" i="3"/>
  <c r="W3553" i="3"/>
  <c r="W3552" i="3"/>
  <c r="W3551" i="3"/>
  <c r="W3550" i="3"/>
  <c r="W3549" i="3"/>
  <c r="W3548" i="3"/>
  <c r="W3545" i="3"/>
  <c r="W3544" i="3"/>
  <c r="W3543" i="3"/>
  <c r="W3542" i="3"/>
  <c r="W3541" i="3"/>
  <c r="W3540" i="3"/>
  <c r="W3538" i="3"/>
  <c r="W3536" i="3"/>
  <c r="W3535" i="3"/>
  <c r="W3534" i="3"/>
  <c r="W3533" i="3"/>
  <c r="W3532" i="3"/>
  <c r="W3531" i="3"/>
  <c r="W3529" i="3"/>
  <c r="W3527" i="3"/>
  <c r="W3526" i="3"/>
  <c r="W3525" i="3"/>
  <c r="W3524" i="3"/>
  <c r="W3523" i="3"/>
  <c r="W3522" i="3"/>
  <c r="W3520" i="3"/>
  <c r="W3518" i="3"/>
  <c r="W3517" i="3"/>
  <c r="W3516" i="3"/>
  <c r="W3515" i="3"/>
  <c r="W3514" i="3"/>
  <c r="W3513" i="3"/>
  <c r="W3511" i="3"/>
  <c r="W3509" i="3"/>
  <c r="W3508" i="3"/>
  <c r="W3507" i="3"/>
  <c r="W3506" i="3"/>
  <c r="W3505" i="3"/>
  <c r="W3504" i="3"/>
  <c r="W3502" i="3"/>
  <c r="W3500" i="3"/>
  <c r="W3499" i="3"/>
  <c r="W3498" i="3"/>
  <c r="W3497" i="3"/>
  <c r="W3496" i="3"/>
  <c r="W3495" i="3"/>
  <c r="W3493" i="3"/>
  <c r="W3491" i="3"/>
  <c r="W3490" i="3"/>
  <c r="W3489" i="3"/>
  <c r="W3488" i="3"/>
  <c r="W3487" i="3"/>
  <c r="W3486" i="3"/>
  <c r="W3484" i="3"/>
  <c r="W3482" i="3"/>
  <c r="W3481" i="3"/>
  <c r="W3480" i="3"/>
  <c r="W3479" i="3"/>
  <c r="W3478" i="3"/>
  <c r="W3477" i="3"/>
  <c r="W3475" i="3"/>
  <c r="W3473" i="3"/>
  <c r="W3472" i="3"/>
  <c r="W3471" i="3"/>
  <c r="W3470" i="3"/>
  <c r="W3469" i="3"/>
  <c r="W3468" i="3"/>
  <c r="W3466" i="3"/>
  <c r="W3464" i="3"/>
  <c r="W3463" i="3"/>
  <c r="W3462" i="3"/>
  <c r="W3461" i="3"/>
  <c r="W3460" i="3"/>
  <c r="W3459" i="3"/>
  <c r="W3457" i="3"/>
  <c r="W3455" i="3"/>
  <c r="W3454" i="3"/>
  <c r="W3453" i="3"/>
  <c r="W3452" i="3"/>
  <c r="W3451" i="3"/>
  <c r="W3450" i="3"/>
  <c r="W3448" i="3"/>
  <c r="W3446" i="3"/>
  <c r="W3445" i="3"/>
  <c r="W3444" i="3"/>
  <c r="W3443" i="3"/>
  <c r="W3442" i="3"/>
  <c r="W3441" i="3"/>
  <c r="W3439" i="3"/>
  <c r="W3437" i="3"/>
  <c r="W3436" i="3"/>
  <c r="W3435" i="3"/>
  <c r="W3434" i="3"/>
  <c r="W3433" i="3"/>
  <c r="W3432" i="3"/>
  <c r="W3430" i="3"/>
  <c r="W3428" i="3"/>
  <c r="W3427" i="3"/>
  <c r="W3426" i="3"/>
  <c r="W3425" i="3"/>
  <c r="W3424" i="3"/>
  <c r="W3423" i="3"/>
  <c r="W3421" i="3"/>
  <c r="W3419" i="3"/>
  <c r="W3418" i="3"/>
  <c r="W3417" i="3"/>
  <c r="W3416" i="3"/>
  <c r="W3415" i="3"/>
  <c r="W3414" i="3"/>
  <c r="W3412" i="3"/>
  <c r="W3410" i="3"/>
  <c r="W3409" i="3"/>
  <c r="W3408" i="3"/>
  <c r="W3407" i="3"/>
  <c r="W3406" i="3"/>
  <c r="W3405" i="3"/>
  <c r="W3403" i="3"/>
  <c r="W3401" i="3"/>
  <c r="W3400" i="3"/>
  <c r="W3399" i="3"/>
  <c r="W3398" i="3"/>
  <c r="W3397" i="3"/>
  <c r="W3396" i="3"/>
  <c r="W3394" i="3"/>
  <c r="W3392" i="3"/>
  <c r="W3391" i="3"/>
  <c r="W3390" i="3"/>
  <c r="W3389" i="3"/>
  <c r="W3388" i="3"/>
  <c r="W3387" i="3"/>
  <c r="W3385" i="3"/>
  <c r="W3383" i="3"/>
  <c r="W3382" i="3"/>
  <c r="W3381" i="3"/>
  <c r="W3380" i="3"/>
  <c r="W3379" i="3"/>
  <c r="W3378" i="3"/>
  <c r="W3376" i="3"/>
  <c r="W3374" i="3"/>
  <c r="W3373" i="3"/>
  <c r="W3372" i="3"/>
  <c r="W3371" i="3"/>
  <c r="W3370" i="3"/>
  <c r="W3369" i="3"/>
  <c r="W3367" i="3"/>
  <c r="W3365" i="3"/>
  <c r="W3364" i="3"/>
  <c r="W3363" i="3"/>
  <c r="W3362" i="3"/>
  <c r="W3361" i="3"/>
  <c r="W3360" i="3"/>
  <c r="W3358" i="3"/>
  <c r="W3356" i="3"/>
  <c r="W3355" i="3"/>
  <c r="W3354" i="3"/>
  <c r="W3353" i="3"/>
  <c r="W3352" i="3"/>
  <c r="W3351" i="3"/>
  <c r="W3349" i="3"/>
  <c r="AM3346" i="3"/>
  <c r="AM3344" i="3"/>
  <c r="AM3343" i="3"/>
  <c r="AM3342" i="3"/>
  <c r="AM3340" i="3"/>
  <c r="AM3339" i="3"/>
  <c r="AM3338" i="3"/>
  <c r="AM3337" i="3"/>
  <c r="AM3336" i="3"/>
  <c r="AM3335" i="3"/>
  <c r="AM3334" i="3"/>
  <c r="AM3333" i="3"/>
  <c r="R3347" i="3"/>
  <c r="R3346" i="3"/>
  <c r="R3345" i="3"/>
  <c r="R3344" i="3"/>
  <c r="R3343" i="3"/>
  <c r="R3342" i="3"/>
  <c r="R3341" i="3"/>
  <c r="R3340" i="3"/>
  <c r="R3339" i="3"/>
  <c r="R3338" i="3"/>
  <c r="R3337" i="3"/>
  <c r="R3336" i="3"/>
  <c r="R3335" i="3"/>
  <c r="R3334" i="3"/>
  <c r="R3333" i="3"/>
  <c r="R3332" i="3"/>
  <c r="AM3331" i="3"/>
  <c r="AM3329" i="3"/>
  <c r="AM3328" i="3"/>
  <c r="AM3327" i="3"/>
  <c r="AM3326" i="3"/>
  <c r="AM3324" i="3"/>
  <c r="AM3323" i="3"/>
  <c r="AM3322" i="3"/>
  <c r="AM3320" i="3"/>
  <c r="AM3319" i="3"/>
  <c r="AM3318" i="3"/>
  <c r="AM3317" i="3"/>
  <c r="R3331" i="3"/>
  <c r="R3330" i="3"/>
  <c r="R3329" i="3"/>
  <c r="R3328" i="3"/>
  <c r="R3327" i="3"/>
  <c r="R3326" i="3"/>
  <c r="R3325" i="3"/>
  <c r="R3324" i="3"/>
  <c r="R3323" i="3"/>
  <c r="R3322" i="3"/>
  <c r="R3321" i="3"/>
  <c r="R3320" i="3"/>
  <c r="R3319" i="3"/>
  <c r="R3318" i="3"/>
  <c r="R3317" i="3"/>
  <c r="R3316" i="3"/>
  <c r="AM3315" i="3"/>
  <c r="AM3314" i="3"/>
  <c r="AM3313" i="3"/>
  <c r="AM3312" i="3"/>
  <c r="AM3311" i="3"/>
  <c r="AM3310" i="3"/>
  <c r="AM3309" i="3"/>
  <c r="AM3308" i="3"/>
  <c r="R3315" i="3"/>
  <c r="R3314" i="3"/>
  <c r="R3313" i="3"/>
  <c r="R3312" i="3"/>
  <c r="R3311" i="3"/>
  <c r="R3310" i="3"/>
  <c r="R3309" i="3"/>
  <c r="R3308" i="3"/>
  <c r="AM3307" i="3"/>
  <c r="AM3306" i="3"/>
  <c r="AM3305" i="3"/>
  <c r="AM3304" i="3"/>
  <c r="R3307" i="3"/>
  <c r="R3306" i="3"/>
  <c r="R3305" i="3"/>
  <c r="R3304" i="3"/>
  <c r="AM3303" i="3"/>
  <c r="AM3302" i="3"/>
  <c r="AM3301" i="3"/>
  <c r="R3303" i="3"/>
  <c r="R3302" i="3"/>
  <c r="R3301" i="3"/>
  <c r="R3300" i="3"/>
  <c r="AP3299" i="3"/>
  <c r="AM3299" i="3"/>
  <c r="AP3298" i="3"/>
  <c r="AM3298" i="3"/>
  <c r="AP3297" i="3"/>
  <c r="AM3297" i="3"/>
  <c r="AM3296" i="3"/>
  <c r="AP3296" i="3"/>
  <c r="AP3295" i="3"/>
  <c r="AM3295" i="3"/>
  <c r="AP3294" i="3"/>
  <c r="AM3294" i="3"/>
  <c r="AM3293" i="3"/>
  <c r="AM3292" i="3"/>
  <c r="AM3291" i="3"/>
  <c r="AM3290" i="3"/>
  <c r="AM3289" i="3"/>
  <c r="AM3288" i="3"/>
  <c r="AM3287" i="3"/>
  <c r="AM3286" i="3"/>
  <c r="AM3285" i="3"/>
  <c r="AM3284"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<sst xmlns="http://schemas.openxmlformats.org/spreadsheetml/2006/main" count="85756" uniqueCount="3231">
  <si>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</si>
  <si>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</si>
  <si>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</si>
  <si>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</si>
  <si>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</si>
  <si>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</si>
  <si>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</si>
  <si>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</si>
  <si>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</si>
  <si>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</si>
  <si>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</si>
  <si>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</si>
  <si>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</si>
  <si>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</si>
  <si>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</si>
  <si>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</si>
  <si>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</si>
  <si>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</si>
  <si>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</si>
  <si>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</si>
  <si>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</si>
  <si>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</si>
  <si>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</si>
  <si>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</si>
  <si>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</si>
  <si>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</si>
  <si>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</si>
  <si>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</si>
  <si>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</si>
  <si>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</si>
  <si>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</si>
  <si>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</si>
  <si>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</si>
  <si>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</si>
  <si>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</si>
  <si>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</si>
  <si>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</si>
  <si>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</si>
  <si>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</si>
  <si>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</si>
  <si>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</si>
  <si>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</si>
  <si>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</si>
  <si>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</si>
  <si>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</si>
  <si>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</si>
  <si>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</si>
  <si>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</si>
  <si>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</si>
  <si>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</si>
  <si>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</si>
  <si>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</si>
  <si>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</si>
  <si>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</si>
  <si>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</si>
  <si>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</si>
  <si>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</si>
  <si>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</si>
  <si>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</si>
  <si>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</si>
  <si>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</si>
  <si>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</si>
  <si>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</si>
  <si>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</si>
  <si>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</si>
  <si>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</si>
  <si>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</si>
  <si>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</si>
  <si>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</si>
  <si>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</si>
  <si>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</si>
  <si>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</si>
  <si>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</si>
  <si>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</si>
  <si>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</si>
  <si>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</si>
  <si>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</si>
  <si>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</si>
  <si>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</si>
  <si>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</si>
  <si>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</si>
  <si>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</si>
  <si>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</si>
  <si>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</si>
  <si>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</si>
  <si>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</si>
  <si>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</si>
  <si>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</si>
  <si>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</si>
  <si>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</si>
  <si>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</si>
  <si>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</si>
  <si>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</si>
  <si>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</si>
  <si>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</si>
  <si>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</si>
  <si>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</si>
  <si>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</si>
  <si>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</si>
  <si>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</si>
  <si>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</si>
  <si>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</si>
  <si>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</si>
  <si>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</si>
  <si>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</si>
  <si>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</si>
  <si>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</si>
  <si>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</si>
  <si>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</si>
  <si>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</si>
  <si>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</si>
  <si>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</si>
  <si>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</si>
  <si>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</si>
  <si>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</si>
  <si>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</si>
  <si>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</si>
  <si>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</si>
  <si>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</si>
  <si>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</si>
  <si>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</si>
  <si>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</si>
  <si>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</si>
  <si>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</si>
  <si>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</si>
  <si>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</si>
  <si>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</si>
  <si>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</si>
  <si>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</si>
  <si>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</si>
  <si>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</si>
  <si>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</si>
  <si>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</si>
  <si>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</si>
  <si>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</si>
  <si>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</si>
  <si>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</si>
  <si>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</si>
  <si>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</si>
  <si>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</si>
  <si>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</si>
  <si>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</si>
  <si>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</si>
  <si>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</si>
  <si>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</si>
  <si>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</si>
  <si>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</si>
  <si>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</si>
  <si>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</si>
  <si>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</si>
  <si>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</si>
  <si>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</si>
  <si>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</si>
  <si>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</si>
  <si>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</si>
  <si>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</si>
  <si>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</si>
  <si>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</si>
  <si>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</si>
  <si>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</si>
  <si>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</si>
  <si>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</si>
  <si>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</si>
  <si>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</si>
  <si>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</si>
  <si>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</si>
  <si>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</si>
  <si>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</si>
  <si>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</si>
  <si>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</si>
  <si>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</si>
  <si>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</si>
  <si>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</si>
  <si>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</si>
  <si>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</si>
  <si>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</si>
  <si>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</si>
  <si>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</si>
  <si>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</si>
  <si>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</si>
  <si>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</si>
  <si>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</si>
  <si>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</si>
  <si>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</si>
  <si>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</si>
  <si>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</si>
  <si>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</si>
  <si>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</si>
  <si>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</si>
  <si>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</si>
  <si>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</si>
  <si>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</si>
  <si>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</si>
  <si>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</si>
  <si>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</si>
  <si>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</si>
  <si>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</si>
  <si>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</si>
  <si>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</si>
  <si>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</si>
  <si>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</si>
  <si>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</si>
  <si>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</si>
  <si>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</si>
  <si>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</si>
  <si>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</si>
  <si>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</si>
  <si>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</si>
  <si>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</si>
  <si>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</si>
  <si>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</si>
  <si>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</si>
  <si>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</si>
  <si>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</si>
  <si>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</si>
  <si>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</si>
  <si>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</si>
  <si>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</si>
  <si>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</si>
  <si>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</si>
  <si>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</si>
  <si>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</si>
  <si>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</si>
  <si>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</si>
  <si>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</si>
  <si>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</si>
  <si>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</si>
  <si>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</si>
  <si>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</si>
  <si>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</si>
  <si>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</si>
  <si>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</si>
  <si>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</si>
  <si>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</si>
  <si>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</si>
  <si>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</si>
  <si>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</si>
  <si>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</si>
  <si>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</si>
  <si>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</si>
  <si>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</si>
  <si>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</si>
  <si>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</si>
  <si>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</si>
  <si>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</si>
  <si>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</si>
  <si>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</si>
  <si>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</si>
  <si>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</si>
  <si>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</si>
  <si>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</si>
  <si>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</si>
  <si>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</si>
  <si>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</si>
  <si>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</si>
  <si>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</si>
  <si>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</si>
  <si>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</si>
  <si>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</si>
  <si>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</si>
  <si>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</si>
  <si>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</si>
  <si>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</si>
  <si>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</si>
  <si>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</si>
  <si>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</si>
  <si>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</si>
  <si>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</si>
  <si>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</si>
  <si>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</si>
  <si>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</si>
  <si>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</si>
  <si>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</si>
  <si>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</si>
  <si>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</si>
  <si>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</si>
  <si>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</si>
  <si>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</si>
  <si>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</si>
  <si>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</si>
  <si>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</si>
  <si>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</si>
  <si>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</si>
  <si>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</si>
  <si>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</si>
  <si>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</si>
  <si>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</si>
  <si>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</si>
  <si>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</si>
  <si>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</si>
  <si>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</si>
  <si>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</si>
  <si>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</si>
  <si>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</si>
  <si>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</si>
  <si>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</si>
  <si>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</si>
  <si>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</si>
  <si>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</si>
  <si>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</si>
  <si>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</si>
  <si>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</si>
  <si>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</si>
  <si>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</si>
  <si>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</si>
  <si>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</si>
  <si>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</si>
  <si>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</si>
  <si>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</si>
  <si>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</si>
  <si>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</si>
  <si>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</si>
  <si>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</si>
  <si>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</si>
  <si>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</si>
  <si>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</si>
  <si>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</si>
  <si>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</si>
  <si>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</si>
  <si>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</si>
  <si>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</si>
  <si>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</si>
  <si>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</si>
  <si>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</si>
  <si>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</si>
  <si>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</si>
  <si>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</si>
  <si>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</si>
  <si>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</si>
  <si>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</si>
  <si>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</si>
  <si>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</si>
  <si>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</si>
  <si>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</si>
  <si>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</si>
  <si>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</si>
  <si>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</si>
  <si>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</si>
  <si>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</si>
  <si>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</si>
  <si>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</si>
  <si>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</si>
  <si>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</si>
  <si>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</si>
  <si>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</si>
  <si>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</si>
  <si>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</si>
  <si>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</si>
  <si>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</si>
  <si>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</si>
  <si>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</si>
  <si>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</si>
  <si>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</si>
  <si>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</si>
  <si>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</si>
  <si>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</si>
  <si>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</si>
  <si>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</si>
  <si>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</si>
  <si>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</si>
  <si>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</si>
  <si>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</si>
  <si>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</si>
  <si>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</si>
  <si>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</si>
  <si>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</si>
  <si>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</si>
  <si>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</si>
  <si>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</si>
  <si>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</si>
  <si>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</si>
  <si>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</si>
  <si>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</si>
  <si>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</si>
  <si>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</si>
  <si>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</si>
  <si>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</si>
  <si>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</si>
  <si>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</si>
  <si>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</si>
  <si>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</si>
  <si>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</si>
  <si>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</si>
  <si>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</si>
  <si>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</si>
  <si>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</si>
  <si>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</si>
  <si>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</si>
  <si>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</si>
  <si>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</si>
  <si>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</si>
  <si>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</si>
  <si>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</si>
  <si>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</si>
  <si>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</si>
  <si>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</si>
  <si>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</si>
  <si>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</si>
  <si>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</si>
  <si>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</si>
  <si>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</si>
  <si>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</si>
  <si>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</si>
  <si>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</si>
  <si>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</si>
  <si>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</si>
  <si>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</si>
  <si>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</si>
  <si>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</si>
  <si>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</si>
  <si>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</si>
  <si>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</si>
  <si>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</si>
  <si>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</si>
  <si>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</si>
  <si>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</si>
  <si>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</si>
  <si>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</si>
  <si>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</si>
  <si>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</si>
  <si>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</si>
  <si>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</si>
  <si>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</si>
  <si>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</si>
  <si>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</si>
  <si>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</si>
  <si>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</si>
  <si>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</si>
  <si>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</si>
  <si>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</si>
  <si>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</si>
  <si>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</si>
  <si>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</si>
  <si>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</si>
  <si>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</si>
  <si>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</si>
  <si>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</si>
  <si>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</si>
  <si>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</si>
  <si>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</si>
  <si>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</si>
  <si>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</si>
  <si>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</si>
  <si>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</si>
  <si>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</si>
  <si>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</si>
  <si>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</si>
  <si>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</si>
  <si>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</si>
  <si>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</si>
  <si>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</si>
  <si>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</si>
  <si>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</si>
  <si>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</si>
  <si>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</si>
  <si>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</si>
  <si>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</si>
  <si>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</si>
  <si>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</si>
  <si>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</si>
  <si>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</si>
  <si>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</si>
  <si>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</si>
  <si>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</si>
  <si>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</si>
  <si>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</si>
  <si>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</si>
  <si>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</si>
  <si>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</si>
  <si>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</si>
  <si>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</si>
  <si>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</si>
  <si>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</si>
  <si>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</si>
  <si>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</si>
  <si>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</si>
  <si>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</si>
  <si>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</si>
  <si>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</si>
  <si>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</si>
  <si>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</si>
  <si>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</si>
  <si>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</si>
  <si>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</si>
  <si>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</si>
  <si>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</si>
  <si>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</si>
  <si>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</si>
  <si>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</si>
  <si>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</si>
  <si>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</si>
  <si>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</si>
  <si>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</si>
  <si>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</si>
  <si>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</si>
  <si>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</si>
  <si>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</si>
  <si>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</si>
  <si>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</si>
  <si>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</si>
  <si>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</si>
  <si>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</si>
  <si>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</si>
  <si>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</si>
  <si>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</si>
  <si>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</si>
  <si>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</si>
  <si>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</si>
  <si>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</si>
  <si>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</si>
  <si>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</si>
  <si>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</si>
  <si>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</si>
  <si>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</si>
  <si>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</si>
  <si>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</si>
  <si>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</si>
  <si>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</si>
  <si>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</si>
  <si>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</si>
  <si>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</si>
  <si>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</si>
  <si>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</si>
  <si>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</si>
  <si>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</si>
  <si>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</si>
  <si>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</si>
  <si>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</si>
  <si>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</si>
  <si>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</si>
  <si>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</si>
  <si>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</si>
  <si>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</si>
  <si>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</si>
  <si>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</si>
  <si>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</si>
  <si>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</si>
  <si>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</si>
  <si>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</si>
  <si>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</si>
  <si>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</si>
  <si>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</si>
  <si>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</si>
  <si>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</si>
  <si>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</si>
  <si>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</si>
  <si>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</si>
  <si>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</si>
  <si>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</si>
  <si>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</si>
  <si>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</si>
  <si>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</si>
  <si>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</si>
  <si>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</si>
  <si>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</si>
  <si>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</si>
  <si>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</si>
  <si>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</si>
  <si>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</si>
  <si>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</si>
  <si>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</si>
  <si>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</si>
  <si>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</si>
  <si>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</si>
  <si>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</si>
  <si>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</si>
  <si>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</si>
  <si>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</si>
  <si>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</si>
  <si>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</si>
  <si>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</si>
  <si>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</si>
  <si>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</si>
  <si>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</si>
  <si>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</si>
  <si>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</si>
  <si>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</si>
  <si>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</si>
  <si>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</si>
  <si>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</si>
  <si>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</si>
  <si>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</si>
  <si>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</si>
  <si>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</si>
  <si>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</si>
  <si>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</si>
  <si>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</si>
  <si>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</si>
  <si>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</si>
  <si>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</si>
  <si>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</si>
  <si>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</si>
  <si>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</si>
  <si>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</si>
  <si>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</si>
  <si>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</si>
  <si>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</si>
  <si>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</si>
  <si>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</si>
  <si>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</si>
  <si>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</si>
  <si>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</si>
  <si>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</si>
  <si>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</si>
  <si>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</si>
  <si>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</si>
  <si>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</si>
  <si>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</si>
  <si>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</si>
  <si>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</si>
  <si>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</si>
  <si>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</si>
  <si>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</si>
  <si>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</si>
  <si>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</si>
  <si>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</si>
  <si>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</si>
  <si>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</si>
  <si>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</si>
  <si>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</si>
  <si>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</si>
  <si>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</si>
  <si>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</si>
  <si>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</si>
  <si>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</si>
  <si>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</si>
  <si>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</si>
  <si>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</si>
  <si>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</si>
  <si>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</si>
  <si>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</si>
  <si>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</si>
  <si>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</si>
  <si>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</si>
  <si>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</si>
  <si>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</si>
  <si>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</si>
  <si>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</si>
  <si>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</si>
  <si>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</si>
  <si>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</si>
  <si>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</si>
  <si>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</si>
  <si>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</si>
  <si>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</si>
  <si>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</si>
  <si>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</si>
  <si>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</si>
  <si>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</si>
  <si>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</si>
  <si>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</si>
  <si>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</si>
  <si>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</si>
  <si>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</si>
  <si>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</si>
  <si>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</si>
  <si>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</si>
  <si>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</si>
  <si>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</si>
  <si>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</si>
  <si>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</si>
  <si>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</si>
  <si>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</si>
  <si>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</si>
  <si>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</si>
  <si>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</si>
  <si>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</si>
  <si>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</si>
  <si>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</si>
  <si>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</si>
  <si>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</si>
  <si>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</si>
  <si>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</si>
  <si>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</si>
  <si>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</si>
  <si>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</si>
  <si>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</si>
  <si>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</si>
  <si>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</si>
  <si>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</si>
  <si>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</si>
  <si>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</si>
  <si>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</si>
  <si>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</si>
  <si>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</si>
  <si>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</si>
  <si>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</si>
  <si>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</si>
  <si>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</si>
  <si>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</si>
  <si>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</si>
  <si>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</si>
  <si>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</si>
  <si>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</si>
  <si>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</si>
  <si>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</si>
  <si>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</si>
  <si>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</si>
  <si>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</si>
  <si>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</si>
  <si>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</si>
  <si>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</si>
  <si>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</si>
  <si>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</si>
  <si>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</si>
  <si>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</si>
  <si>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</si>
  <si>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</si>
  <si>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</si>
  <si>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</si>
  <si>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</si>
  <si>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</si>
  <si>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</si>
  <si>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</si>
  <si>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</si>
  <si>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</si>
  <si>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</si>
  <si>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</si>
  <si>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</si>
  <si>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</si>
  <si>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</si>
  <si>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</si>
  <si>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</si>
  <si>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</si>
  <si>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</si>
  <si>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</si>
  <si>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</si>
  <si>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</si>
  <si>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</si>
  <si>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</si>
  <si>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</si>
  <si>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</si>
  <si>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</si>
  <si>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</si>
  <si>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</si>
  <si>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</si>
  <si>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</si>
  <si>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</si>
  <si>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</si>
  <si>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</si>
  <si>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</si>
  <si>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</si>
  <si>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</si>
  <si>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</si>
  <si>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</si>
  <si>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</si>
  <si>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</si>
  <si>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</si>
  <si>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</si>
  <si>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</si>
  <si>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</si>
  <si>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</si>
  <si>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</si>
  <si>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</si>
  <si>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</si>
  <si>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</si>
  <si>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</si>
  <si>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</si>
  <si>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</si>
  <si>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</si>
  <si>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</si>
  <si>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</si>
  <si>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</si>
  <si>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</si>
  <si>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</si>
  <si>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</si>
  <si>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</si>
  <si>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</si>
  <si>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</si>
  <si>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</si>
  <si>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</si>
  <si>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</si>
  <si>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</si>
  <si>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</si>
  <si>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</si>
  <si>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</si>
  <si>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</si>
  <si>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</si>
  <si>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</si>
  <si>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</si>
  <si>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</si>
  <si>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</si>
  <si>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</si>
  <si>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</si>
  <si>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</si>
  <si>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</si>
  <si>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</si>
  <si>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</si>
  <si>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</si>
  <si>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</si>
  <si>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</si>
  <si>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</si>
  <si>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</si>
  <si>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</si>
  <si>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</si>
  <si>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</si>
  <si>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</si>
  <si>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</si>
  <si>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</si>
  <si>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</si>
  <si>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</si>
  <si>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</si>
  <si>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</si>
  <si>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</si>
  <si>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</si>
  <si>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</si>
  <si>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</si>
  <si>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</si>
  <si>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</si>
  <si>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</si>
  <si>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</si>
  <si>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</si>
  <si>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</si>
  <si>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</si>
  <si>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</si>
  <si>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</si>
  <si>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</si>
  <si>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</si>
  <si>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</si>
  <si>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</si>
  <si>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</si>
  <si>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</si>
  <si>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</si>
  <si>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</si>
  <si>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</si>
  <si>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</si>
  <si>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</si>
  <si>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</si>
  <si>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</si>
  <si>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</si>
  <si>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</si>
  <si>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</si>
  <si>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</si>
  <si>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</si>
  <si>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</si>
  <si>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</si>
  <si>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</si>
  <si>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</si>
  <si>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</si>
  <si>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</si>
  <si>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</si>
  <si>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</si>
  <si>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</si>
  <si>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</si>
  <si>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</si>
  <si>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</si>
  <si>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</si>
  <si>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</si>
  <si>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</si>
  <si>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</si>
  <si>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</si>
  <si>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</si>
  <si>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</si>
  <si>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</si>
  <si>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</si>
  <si>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</si>
  <si>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</si>
  <si>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</si>
  <si>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</si>
  <si>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</si>
  <si>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</si>
  <si>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</si>
  <si>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</si>
  <si>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</si>
  <si>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</si>
  <si>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</si>
  <si>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</si>
  <si>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</si>
  <si>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</si>
  <si>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</si>
  <si>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</si>
  <si>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</si>
  <si>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</si>
  <si>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</si>
  <si>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</si>
  <si>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</si>
  <si>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</si>
  <si>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</si>
  <si>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</si>
  <si>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</si>
  <si>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</si>
  <si>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</si>
  <si>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</si>
  <si>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</si>
  <si>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</si>
  <si>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</si>
  <si>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</si>
  <si>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</si>
  <si>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</si>
  <si>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</si>
  <si>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</si>
  <si>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</si>
  <si>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</si>
  <si>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</si>
  <si>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</si>
  <si>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</si>
  <si>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</si>
  <si>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</si>
  <si>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</si>
  <si>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</si>
  <si>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</si>
  <si>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</si>
  <si>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</si>
  <si>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</si>
  <si>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</si>
  <si>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</si>
  <si>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</si>
  <si>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</si>
  <si>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</si>
  <si>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</si>
  <si>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</si>
  <si>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</si>
  <si>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</si>
  <si>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</si>
  <si>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</si>
  <si>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</si>
  <si>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</si>
  <si>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</si>
  <si>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</si>
  <si>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</si>
  <si>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</si>
  <si>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</si>
  <si>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</si>
  <si>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</si>
  <si>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</si>
  <si>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</si>
  <si>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</si>
  <si>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</si>
  <si>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</si>
  <si>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</si>
  <si>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</si>
  <si>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</si>
  <si>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</si>
  <si>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</si>
  <si>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</si>
  <si>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</si>
  <si>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</si>
  <si>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</si>
  <si>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</si>
  <si>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</si>
  <si>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</si>
  <si>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</si>
  <si>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</si>
  <si>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</si>
  <si>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</si>
  <si>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</si>
  <si>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</si>
  <si>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</si>
  <si>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</si>
  <si>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</si>
  <si>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</si>
  <si>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</si>
  <si>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</si>
  <si>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</si>
  <si>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</si>
  <si>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</si>
  <si>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</si>
  <si>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</si>
  <si>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</si>
  <si>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</si>
  <si>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</si>
  <si>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</si>
  <si>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</si>
  <si>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</si>
  <si>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</si>
  <si>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</si>
  <si>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</si>
  <si>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</si>
  <si>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</si>
  <si>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</si>
  <si>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</si>
  <si>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</si>
  <si>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</si>
  <si>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</si>
  <si>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</si>
  <si>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</si>
  <si>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</si>
  <si>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</si>
  <si>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</si>
  <si>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</si>
  <si>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</si>
  <si>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</si>
  <si>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</si>
  <si>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</si>
  <si>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</si>
  <si>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</si>
  <si>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</si>
  <si>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</si>
  <si>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</si>
  <si>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</si>
  <si>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</si>
  <si>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</si>
  <si>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</si>
  <si>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</si>
  <si>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</si>
  <si>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</si>
  <si>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</si>
  <si>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</si>
  <si>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</si>
  <si>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</si>
  <si>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</si>
  <si>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</si>
  <si>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</si>
  <si>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</si>
  <si>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</si>
  <si>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</si>
  <si>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</si>
  <si>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</si>
  <si>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</si>
  <si>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</si>
  <si>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</si>
  <si>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</si>
  <si>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</si>
  <si>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</si>
  <si>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</si>
  <si>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</si>
  <si>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</si>
  <si>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</si>
  <si>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</si>
  <si>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</si>
  <si>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</si>
  <si>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</si>
  <si>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</si>
  <si>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</si>
  <si>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</si>
  <si>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</si>
  <si>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</si>
  <si>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</si>
  <si>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</si>
  <si>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</si>
  <si>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</si>
  <si>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</si>
  <si>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</si>
  <si>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</si>
  <si>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</si>
  <si>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</si>
  <si>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</si>
  <si>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</si>
  <si>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</si>
  <si>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</si>
  <si>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</si>
  <si>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</si>
  <si>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</si>
  <si>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</si>
  <si>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</si>
  <si>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</si>
  <si>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</si>
  <si>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</si>
  <si>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</si>
  <si>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</si>
  <si>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</si>
  <si>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</si>
  <si>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</si>
  <si>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</si>
  <si>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</si>
  <si>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</si>
  <si>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</si>
  <si>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</si>
  <si>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</si>
  <si>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</si>
  <si>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</si>
  <si>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</si>
  <si>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</si>
  <si>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</si>
  <si>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</si>
  <si>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</si>
  <si>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</si>
  <si>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</si>
  <si>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</si>
  <si>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</si>
  <si>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</si>
  <si>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</si>
  <si>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</si>
  <si>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</si>
  <si>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</si>
  <si>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</si>
  <si>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</si>
  <si>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</si>
  <si>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</si>
  <si>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</si>
  <si>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</si>
  <si>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</si>
  <si>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</si>
  <si>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</si>
  <si>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</si>
  <si>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</si>
  <si>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</si>
  <si>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</si>
  <si>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</si>
  <si>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</si>
  <si>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</si>
  <si>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</si>
  <si>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</si>
  <si>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</si>
  <si>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</si>
  <si>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</si>
  <si>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</si>
  <si>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</si>
  <si>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</si>
  <si>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</si>
  <si>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</si>
  <si>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</si>
  <si>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</si>
  <si>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</si>
  <si>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</si>
  <si>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</si>
  <si>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</si>
  <si>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</si>
  <si>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</si>
  <si>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</si>
  <si>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</si>
  <si>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</si>
  <si>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</si>
  <si>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</si>
  <si>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</si>
  <si>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</si>
  <si>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</si>
  <si>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</si>
  <si>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</si>
  <si>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</si>
  <si>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</si>
  <si>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</si>
  <si>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</si>
  <si>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</si>
  <si>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</si>
  <si>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</si>
  <si>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</si>
  <si>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</si>
  <si>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</si>
  <si>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</si>
  <si>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</si>
  <si>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</si>
  <si>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</si>
  <si>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</si>
  <si>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</si>
  <si>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</si>
  <si>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</si>
  <si>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</si>
  <si>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</si>
  <si>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</si>
  <si>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</si>
  <si>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</si>
  <si>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</si>
  <si>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</si>
  <si>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</si>
  <si>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</si>
  <si>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</si>
  <si>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</si>
  <si>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</si>
  <si>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</si>
  <si>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</si>
  <si>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</si>
  <si>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</si>
  <si>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</si>
  <si>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</si>
  <si>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</si>
  <si>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</si>
  <si>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</si>
  <si>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</si>
  <si>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</si>
  <si>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</si>
  <si>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</si>
  <si>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</si>
  <si>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</si>
  <si>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</si>
  <si>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</si>
  <si>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</si>
  <si>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</si>
  <si>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</si>
  <si>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</si>
  <si>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</si>
  <si>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</si>
  <si>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</si>
  <si>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</si>
  <si>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</si>
  <si>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</si>
  <si>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</si>
  <si>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</si>
  <si>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</si>
  <si>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</si>
  <si>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</si>
  <si>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</si>
  <si>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</si>
  <si>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</si>
  <si>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</si>
  <si>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</si>
  <si>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</si>
  <si>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</si>
  <si>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</si>
  <si>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</si>
  <si>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</si>
  <si>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</si>
  <si>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</si>
  <si>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</si>
  <si>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</si>
  <si>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</si>
  <si>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</si>
  <si>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</si>
  <si>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</si>
  <si>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</si>
  <si>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</si>
  <si>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</si>
  <si>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</si>
  <si>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</si>
  <si>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</si>
  <si>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</si>
  <si>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</si>
  <si>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</si>
  <si>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</si>
  <si>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</si>
  <si>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</si>
  <si>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</si>
  <si>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</si>
  <si>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</si>
  <si>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</si>
  <si>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</si>
  <si>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</si>
  <si>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</si>
  <si>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</si>
  <si>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</si>
  <si>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</si>
  <si>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</si>
  <si>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</si>
  <si>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</si>
  <si>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</si>
  <si>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</si>
  <si>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</si>
  <si>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</si>
  <si>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</si>
  <si>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</si>
  <si>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</si>
  <si>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</si>
  <si>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</si>
  <si>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</si>
  <si>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</si>
  <si>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</si>
  <si>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</si>
  <si>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</si>
  <si>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</si>
  <si>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</si>
  <si>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</si>
  <si>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</si>
  <si>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</si>
  <si>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</si>
  <si>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</si>
  <si>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</si>
  <si>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</si>
  <si>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</si>
  <si>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</si>
  <si>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</si>
  <si>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</si>
  <si>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</si>
  <si>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</si>
  <si>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</si>
  <si>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</si>
  <si>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</si>
  <si>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</si>
  <si>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</si>
  <si>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</si>
  <si>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</si>
  <si>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</si>
  <si>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</si>
  <si>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</si>
  <si>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</si>
  <si>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</si>
  <si>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</si>
  <si>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</si>
  <si>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</si>
  <si>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</si>
  <si>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</si>
  <si>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</si>
  <si>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</si>
  <si>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</si>
  <si>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</si>
  <si>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</si>
  <si>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</si>
  <si>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</si>
  <si>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</si>
  <si>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</si>
  <si>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</si>
  <si>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</si>
  <si>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</si>
  <si>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</si>
  <si>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</si>
  <si>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</si>
  <si>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</si>
  <si>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</si>
  <si>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</si>
  <si>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</si>
  <si>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</si>
  <si>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</si>
  <si>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</si>
  <si>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</si>
  <si>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</si>
  <si>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</si>
  <si>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</si>
  <si>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</si>
  <si>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</si>
  <si>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</si>
  <si>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</si>
  <si>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</si>
  <si>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</si>
  <si>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</si>
  <si>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</si>
  <si>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</si>
  <si>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</si>
  <si>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</si>
  <si>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</si>
  <si>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</si>
  <si>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</si>
  <si>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</si>
  <si>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</si>
  <si>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</si>
  <si>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</si>
  <si>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</si>
  <si>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</si>
  <si>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</si>
  <si>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</si>
  <si>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</si>
  <si>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</si>
  <si>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</si>
  <si>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</si>
  <si>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</si>
  <si>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</si>
  <si>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</si>
  <si>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</si>
  <si>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</si>
  <si>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</si>
  <si>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</si>
  <si>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</si>
  <si>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</si>
  <si>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</si>
  <si>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</si>
  <si>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</si>
  <si>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</si>
  <si>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</si>
  <si>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</si>
  <si>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</si>
  <si>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</si>
  <si>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</si>
  <si>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</si>
  <si>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</si>
  <si>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</si>
  <si>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</si>
  <si>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</si>
  <si>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</si>
  <si>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</si>
  <si>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</si>
  <si>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</si>
  <si>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</si>
  <si>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</si>
  <si>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</si>
  <si>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</si>
  <si>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</si>
  <si>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</si>
  <si>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</si>
  <si>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</si>
  <si>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</si>
  <si>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</si>
  <si>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</si>
  <si>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</si>
  <si>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</si>
  <si>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</si>
  <si>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</si>
  <si>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</si>
  <si>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</si>
  <si>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</si>
  <si>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</si>
  <si>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</si>
  <si>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</si>
  <si>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</si>
  <si>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</si>
  <si>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</si>
  <si>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</si>
  <si>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</si>
  <si>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</si>
  <si>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</si>
  <si>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</si>
  <si>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</si>
  <si>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</si>
  <si>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</si>
  <si>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</si>
  <si>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</si>
  <si>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</si>
  <si>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</si>
  <si>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</si>
  <si>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</si>
  <si>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</si>
  <si>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</si>
  <si>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</si>
  <si>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</si>
  <si>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</si>
  <si>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</si>
  <si>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</si>
  <si>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</si>
  <si>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</si>
  <si>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</si>
  <si>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</si>
  <si>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</si>
  <si>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</si>
  <si>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</si>
  <si>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</si>
  <si>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</si>
  <si>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</si>
  <si>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</si>
  <si>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</si>
  <si>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</si>
  <si>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</si>
  <si>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</si>
  <si>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</si>
  <si>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</si>
  <si>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</si>
  <si>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</si>
  <si>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</si>
  <si>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</si>
  <si>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</si>
  <si>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</si>
  <si>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</si>
  <si>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</si>
  <si>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</si>
  <si>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</si>
  <si>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</si>
  <si>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</si>
  <si>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</si>
  <si>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</si>
  <si>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</si>
  <si>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</si>
  <si>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</si>
  <si>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</si>
  <si>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</si>
  <si>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</si>
  <si>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</si>
  <si>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</si>
  <si>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</si>
  <si>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</si>
  <si>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</si>
  <si>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</si>
  <si>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</si>
  <si>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</si>
  <si>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</si>
  <si>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</si>
  <si>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</si>
  <si>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</si>
  <si>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</si>
  <si>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</si>
  <si>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</si>
  <si>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</si>
  <si>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</si>
  <si>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</si>
  <si>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</si>
  <si>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</si>
  <si>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</si>
  <si>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</si>
  <si>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</si>
  <si>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</si>
  <si>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</si>
  <si>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</si>
  <si>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</si>
  <si>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</si>
  <si>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</si>
  <si>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</si>
  <si>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</si>
  <si>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</si>
  <si>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</si>
  <si>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</si>
  <si>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</si>
  <si>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</si>
  <si>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</si>
  <si>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</si>
  <si>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</si>
  <si>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</si>
  <si>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</si>
  <si>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</si>
  <si>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</si>
  <si>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</si>
  <si>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</si>
  <si>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</si>
  <si>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</si>
  <si>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</si>
  <si>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</si>
  <si>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</si>
  <si>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</si>
  <si>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</si>
  <si>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</si>
  <si>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</si>
  <si>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</si>
  <si>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</si>
  <si>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</si>
  <si>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</si>
  <si>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</si>
  <si>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</si>
  <si>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</si>
  <si>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</si>
  <si>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</si>
  <si>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</si>
  <si>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</si>
  <si>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</si>
  <si>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</si>
  <si>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</si>
  <si>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</si>
  <si>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</si>
  <si>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</si>
  <si>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</si>
  <si>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</si>
  <si>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</si>
  <si>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</si>
  <si>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</si>
  <si>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</si>
  <si>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</si>
  <si>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</si>
  <si>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</si>
  <si>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</si>
  <si>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</si>
  <si>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</si>
  <si>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</si>
  <si>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</si>
  <si>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</si>
  <si>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</si>
  <si>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</si>
  <si>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</si>
  <si>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</si>
  <si>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</si>
  <si>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</si>
  <si>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</si>
  <si>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</si>
  <si>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</si>
  <si>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</si>
  <si>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</si>
  <si>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</si>
  <si>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</si>
  <si>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</si>
  <si>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</si>
  <si>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</si>
  <si>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</si>
  <si>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</si>
  <si>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</si>
  <si>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</si>
  <si>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</si>
  <si>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</si>
  <si>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</si>
  <si>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</si>
  <si>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</si>
  <si>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</si>
  <si>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</si>
  <si>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</si>
  <si>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</si>
  <si>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</si>
  <si>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</si>
  <si>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</si>
  <si>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</si>
  <si>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</si>
  <si>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</si>
  <si>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</si>
  <si>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</si>
  <si>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</si>
  <si>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</si>
  <si>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</si>
  <si>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</si>
  <si>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</si>
  <si>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</si>
  <si>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</si>
  <si>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</si>
  <si>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</si>
  <si>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</si>
  <si>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</si>
  <si>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</si>
  <si>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</si>
  <si>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</si>
  <si>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</si>
  <si>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</si>
  <si>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</si>
  <si>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</si>
  <si>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</si>
  <si>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</si>
  <si>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</si>
  <si>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</si>
  <si>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</si>
  <si>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</si>
  <si>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</si>
  <si>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</si>
  <si>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</si>
  <si>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</si>
  <si>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</si>
  <si>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</si>
  <si>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</si>
  <si>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</si>
  <si>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</si>
  <si>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</si>
  <si>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</si>
  <si>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</si>
  <si>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</si>
  <si>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</si>
  <si>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</si>
  <si>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</si>
  <si>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</si>
  <si>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</si>
  <si>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</si>
  <si>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</si>
  <si>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</si>
  <si>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</si>
  <si>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</si>
  <si>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</si>
  <si>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</si>
  <si>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</si>
  <si>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</si>
  <si>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</si>
  <si>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</si>
  <si>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</si>
  <si>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</si>
  <si>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</si>
  <si>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</si>
  <si>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</si>
  <si>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</si>
  <si>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</si>
  <si>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</si>
  <si>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</si>
  <si>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</si>
  <si>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</si>
  <si>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</si>
  <si>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</si>
  <si>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</si>
  <si>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</si>
  <si>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</si>
  <si>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</si>
  <si>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</si>
  <si>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</si>
  <si>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</si>
  <si>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</si>
  <si>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</si>
  <si>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</si>
  <si>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</si>
  <si>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</si>
  <si>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</si>
  <si>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</si>
  <si>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</si>
  <si>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</si>
  <si>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</si>
  <si>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</si>
  <si>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</si>
  <si>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</si>
  <si>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</si>
  <si>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</si>
  <si>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</si>
  <si>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</si>
  <si>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</si>
  <si>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</si>
  <si>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</si>
  <si>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</si>
  <si>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</si>
  <si>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</si>
  <si>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</si>
  <si>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</si>
  <si>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</si>
  <si>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</si>
  <si>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</si>
  <si>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</si>
  <si>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</si>
  <si>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</si>
  <si>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</si>
  <si>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</si>
  <si>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</si>
  <si>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</si>
  <si>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</si>
  <si>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</si>
  <si>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</si>
  <si>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</si>
  <si>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</si>
  <si>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</si>
  <si>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</si>
  <si>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</si>
  <si>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</si>
  <si>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</si>
  <si>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</si>
  <si>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</si>
  <si>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</si>
  <si>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</si>
  <si>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</si>
  <si>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</si>
  <si>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</si>
  <si>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</si>
  <si>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</si>
  <si>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</si>
  <si>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</si>
  <si>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</si>
  <si>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</si>
  <si>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</si>
  <si>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</si>
  <si>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</si>
  <si>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</si>
  <si>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</si>
  <si>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</si>
  <si>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</si>
  <si>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</si>
  <si>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</si>
  <si>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</si>
  <si>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</si>
  <si>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</si>
  <si>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</si>
  <si>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</si>
  <si>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</si>
  <si>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</si>
  <si>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</si>
  <si>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</si>
  <si>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</si>
  <si>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</si>
  <si>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</si>
  <si>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</si>
  <si>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</si>
  <si>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</si>
  <si>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</si>
  <si>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</si>
  <si>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</si>
  <si>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</si>
  <si>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</si>
  <si>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</si>
  <si>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</si>
  <si>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</si>
  <si>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</si>
  <si>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</si>
  <si>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</si>
  <si>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</si>
  <si>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</si>
  <si>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</si>
  <si>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</si>
  <si>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</si>
  <si>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</si>
  <si>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</si>
  <si>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</si>
  <si>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</si>
  <si>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</si>
  <si>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</si>
  <si>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</si>
  <si>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</si>
  <si>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</si>
  <si>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</si>
  <si>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</si>
  <si>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</si>
  <si>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</si>
  <si>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</si>
  <si>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</si>
  <si>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</si>
  <si>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</si>
  <si>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</si>
  <si>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</si>
  <si>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</si>
  <si>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</si>
  <si>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</si>
  <si>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</si>
  <si>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</si>
  <si>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</si>
  <si>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</si>
  <si>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</si>
  <si>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</si>
  <si>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</si>
  <si>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</si>
  <si>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</si>
  <si>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</si>
  <si>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</si>
  <si>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</si>
  <si>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</si>
  <si>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</si>
  <si>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</si>
  <si>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</si>
  <si>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</si>
  <si>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</si>
  <si>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</si>
  <si>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</si>
  <si>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</si>
  <si>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</si>
  <si>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</si>
  <si>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</si>
  <si>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</si>
  <si>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</si>
  <si>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</si>
  <si>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</si>
  <si>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</si>
  <si>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</si>
  <si>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</si>
  <si>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</si>
  <si>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</si>
  <si>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</si>
  <si>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</si>
  <si>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</si>
  <si>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</si>
  <si>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</si>
  <si>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</si>
  <si>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</si>
  <si>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</si>
  <si>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</si>
  <si>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</si>
  <si>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</si>
  <si>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</si>
  <si>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</si>
  <si>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</si>
  <si>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</si>
  <si>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</si>
  <si>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</si>
  <si>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</si>
  <si>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</si>
  <si>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</si>
  <si>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</si>
  <si>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</si>
  <si>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</si>
  <si>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</si>
  <si>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</si>
  <si>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</si>
  <si>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</si>
  <si>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</si>
  <si>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</si>
  <si>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</si>
  <si>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</si>
  <si>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</si>
  <si>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</si>
  <si>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</si>
  <si>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</si>
  <si>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</si>
  <si>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</si>
  <si>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</si>
  <si>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</si>
  <si>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</si>
  <si>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</si>
  <si>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</si>
  <si>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</si>
  <si>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</si>
  <si>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</si>
  <si>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</si>
  <si>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</si>
  <si>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</si>
  <si>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</si>
  <si>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</si>
  <si>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</si>
  <si>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</si>
  <si>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</si>
  <si>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</si>
  <si>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</si>
  <si>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</si>
  <si>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</si>
  <si>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</si>
  <si>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</si>
  <si>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</si>
  <si>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</si>
  <si>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</si>
  <si>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</si>
  <si>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</si>
  <si>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</si>
  <si>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</si>
  <si>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</si>
  <si>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</si>
  <si>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</si>
  <si>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</si>
  <si>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</si>
  <si>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</si>
  <si>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</si>
  <si>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</si>
  <si>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</si>
  <si>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</si>
  <si>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</si>
  <si>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</si>
  <si>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</si>
  <si>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</si>
  <si>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</si>
  <si>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</si>
  <si>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</si>
  <si>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</si>
  <si>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</si>
  <si>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</si>
  <si>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</si>
  <si>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</si>
  <si>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</si>
  <si>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</si>
  <si>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</si>
  <si>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</si>
  <si>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</si>
  <si>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</si>
  <si>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</si>
  <si>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</si>
  <si>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</si>
  <si>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</si>
  <si>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</si>
  <si>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</si>
  <si>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</si>
  <si>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</si>
  <si>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</si>
  <si>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</si>
  <si>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</si>
  <si>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</si>
  <si>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</si>
  <si>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</si>
  <si>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</si>
  <si>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</si>
  <si>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</si>
  <si>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</si>
  <si>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</si>
  <si>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</si>
  <si>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</si>
  <si>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</si>
  <si>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</si>
  <si>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</si>
  <si>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</si>
  <si>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</si>
  <si>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</si>
  <si>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</si>
  <si>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</si>
  <si>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</si>
  <si>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</si>
  <si>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</si>
  <si>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</si>
  <si>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</si>
  <si>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</si>
  <si>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</si>
  <si>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</si>
  <si>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</si>
  <si>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</si>
  <si>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</si>
  <si>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</si>
  <si>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</si>
  <si>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</si>
  <si>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</si>
  <si>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</si>
  <si>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</si>
  <si>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</si>
  <si>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</si>
  <si>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</si>
  <si>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</si>
  <si>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</si>
  <si>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</si>
  <si>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</si>
  <si>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</si>
  <si>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</si>
  <si>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</si>
  <si>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</si>
  <si>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</si>
  <si>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</si>
  <si>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</si>
  <si>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</si>
  <si>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</si>
  <si>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</si>
  <si>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</si>
  <si>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</si>
  <si>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</si>
  <si>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</si>
  <si>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</si>
  <si>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</si>
  <si>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</si>
  <si>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</si>
  <si>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</si>
  <si>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</si>
  <si>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</si>
  <si>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</si>
  <si>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</si>
  <si>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</si>
  <si>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</si>
  <si>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</si>
  <si>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</si>
  <si>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</si>
  <si>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</si>
  <si>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</si>
  <si>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</si>
  <si>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</si>
  <si>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</si>
  <si>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</si>
  <si>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</si>
  <si>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</si>
  <si>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</si>
  <si>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</si>
  <si>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</si>
  <si>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</si>
  <si>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</si>
  <si>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</si>
  <si>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</si>
  <si>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</si>
  <si>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</si>
  <si>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</si>
  <si>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</si>
  <si>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</si>
  <si>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</si>
  <si>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</si>
  <si>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</si>
  <si>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</si>
  <si>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</si>
  <si>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</si>
  <si>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</si>
  <si>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</si>
  <si>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</si>
  <si>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</si>
  <si>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</si>
  <si>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</si>
  <si>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</si>
  <si>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</si>
  <si>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</si>
  <si>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</si>
  <si>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</si>
  <si>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</si>
  <si>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</si>
  <si>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</si>
  <si>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</si>
  <si>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</si>
  <si>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</si>
  <si>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</si>
  <si>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</si>
  <si>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</si>
  <si>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</si>
  <si>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</si>
  <si>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</si>
  <si>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</si>
  <si>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</si>
  <si>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</si>
  <si>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</si>
  <si>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</si>
  <si>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</si>
  <si>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</si>
  <si>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</si>
  <si>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</si>
  <si>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</si>
  <si>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</si>
  <si>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</si>
  <si>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</si>
  <si>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</si>
  <si>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</si>
  <si>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</si>
  <si>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</si>
  <si>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</si>
  <si>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</si>
  <si>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</si>
  <si>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</si>
  <si>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</si>
  <si>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</si>
  <si>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</si>
  <si>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</si>
  <si>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</si>
  <si>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</si>
  <si>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</si>
  <si>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</si>
  <si>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</si>
  <si>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</si>
  <si>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</si>
  <si>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</si>
  <si>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</si>
  <si>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</si>
  <si>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</si>
  <si>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</si>
  <si>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</si>
  <si>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</si>
  <si>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</si>
  <si>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</si>
  <si>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</si>
  <si>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</si>
  <si>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</si>
  <si>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</si>
  <si>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</si>
  <si>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</si>
  <si>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</si>
  <si>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</si>
  <si>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</si>
  <si>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</si>
  <si>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</si>
  <si>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</si>
  <si>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</si>
  <si>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</si>
  <si>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</si>
  <si>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</si>
  <si>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</si>
  <si>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</si>
  <si>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</si>
  <si>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</si>
  <si>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</si>
  <si>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</si>
  <si>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</si>
  <si>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</si>
  <si>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</si>
  <si>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</si>
  <si>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</si>
  <si>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</si>
  <si>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</si>
  <si>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</si>
  <si>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</si>
  <si>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</si>
  <si>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</si>
  <si>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</si>
  <si>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</si>
  <si>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</si>
  <si>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</si>
  <si>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</si>
  <si>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</si>
  <si>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</si>
  <si>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</si>
  <si>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</si>
  <si>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</si>
  <si>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</si>
  <si>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</si>
  <si>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</si>
  <si>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</si>
  <si>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</si>
  <si>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</si>
  <si>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</si>
  <si>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</si>
  <si>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</si>
  <si>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</si>
  <si>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</si>
  <si>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</si>
  <si>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</si>
  <si>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</si>
  <si>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</si>
  <si>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</si>
  <si>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</si>
  <si>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</si>
  <si>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</si>
  <si>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</si>
  <si>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</si>
  <si>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</si>
  <si>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</si>
  <si>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</si>
  <si>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</si>
  <si>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</si>
  <si>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</si>
  <si>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</si>
  <si>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</si>
  <si>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</si>
  <si>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</si>
  <si>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</si>
  <si>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</si>
  <si>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</si>
  <si>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</si>
  <si>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</si>
  <si>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</si>
  <si>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</si>
  <si>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</si>
  <si>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</si>
  <si>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</si>
  <si>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</si>
  <si>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</si>
  <si>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</si>
  <si>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</si>
  <si>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</si>
  <si>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</si>
  <si>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</si>
  <si>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</si>
  <si>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</si>
  <si>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</si>
  <si>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</si>
  <si>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</si>
  <si>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</si>
  <si>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</si>
  <si>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</si>
  <si>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</si>
  <si>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</si>
  <si>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</si>
  <si>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</si>
  <si>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</si>
  <si>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</si>
  <si>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</si>
  <si>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</si>
  <si>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</si>
  <si>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</si>
  <si>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</si>
  <si>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</si>
  <si>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</si>
  <si>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</si>
  <si>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</si>
  <si>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</si>
  <si>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</si>
  <si>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</si>
  <si>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</si>
  <si>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</si>
  <si>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</si>
  <si>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</si>
  <si>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</si>
  <si>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</si>
  <si>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</si>
  <si>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</si>
  <si>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</si>
  <si>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</si>
  <si>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</si>
  <si>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</si>
  <si>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</si>
  <si>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</si>
  <si>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</si>
  <si>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</si>
  <si>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</si>
  <si>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</si>
  <si>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</si>
  <si>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</si>
  <si>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</si>
  <si>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</si>
  <si>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</si>
  <si>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</si>
  <si>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</si>
  <si>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</si>
  <si>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</si>
  <si>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</si>
  <si>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</si>
  <si>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</si>
  <si>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</si>
  <si>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</si>
  <si>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</si>
  <si>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</si>
  <si>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</si>
  <si>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</si>
  <si>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</si>
  <si>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</si>
  <si>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</si>
  <si>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</si>
  <si>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</si>
  <si>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</si>
  <si>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</si>
  <si>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</si>
  <si>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</si>
  <si>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</si>
  <si>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</si>
  <si>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</si>
  <si>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</si>
  <si>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</si>
  <si>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</si>
  <si>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</si>
  <si>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</si>
  <si>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</si>
  <si>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</si>
  <si>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</si>
  <si>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</si>
  <si>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</si>
  <si>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</si>
  <si>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</si>
  <si>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</si>
  <si>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</si>
  <si>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</si>
  <si>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</si>
  <si>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</si>
  <si>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</si>
  <si>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</si>
  <si>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</si>
  <si>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</si>
  <si>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</si>
  <si>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</si>
  <si>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</si>
  <si>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</si>
  <si>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</si>
  <si>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</si>
  <si>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</si>
  <si>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</si>
  <si>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</si>
  <si>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</si>
  <si>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</si>
  <si>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</si>
  <si>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</si>
  <si>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</si>
  <si>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</si>
  <si>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</si>
  <si>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</si>
  <si>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</si>
  <si>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</si>
  <si>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</si>
  <si>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</si>
  <si>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</si>
  <si>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</si>
  <si>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</si>
  <si>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</si>
  <si>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</si>
  <si>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</si>
  <si>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</si>
  <si>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</si>
  <si>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</si>
  <si>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</si>
  <si>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</si>
  <si>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</si>
  <si>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</si>
  <si>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</si>
  <si>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</si>
  <si>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</si>
  <si>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</si>
  <si>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</si>
  <si>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</si>
  <si>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</si>
  <si>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</si>
  <si>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</si>
  <si>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</si>
  <si>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</si>
  <si>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</si>
  <si>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</si>
  <si>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</si>
  <si>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</si>
  <si>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</si>
  <si>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</si>
  <si>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</si>
  <si>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</si>
  <si>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</si>
  <si>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</si>
  <si>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</si>
  <si>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</si>
  <si>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</si>
  <si>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</si>
  <si>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</si>
  <si>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</si>
  <si>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</si>
  <si>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</si>
  <si>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</si>
  <si>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</si>
  <si>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</si>
  <si>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</si>
  <si>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</si>
  <si>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</si>
  <si>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</si>
  <si>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</si>
  <si>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</si>
  <si>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</si>
  <si>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</si>
  <si>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</si>
  <si>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</si>
  <si>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</si>
  <si>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</si>
  <si>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</si>
  <si>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</si>
  <si>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</si>
  <si>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</si>
  <si>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</si>
  <si>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</si>
  <si>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</si>
  <si>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</si>
  <si>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</si>
  <si>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</si>
  <si>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</si>
  <si>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</si>
  <si>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</si>
  <si>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</si>
  <si>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</si>
  <si>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</si>
  <si>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</si>
  <si>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</si>
  <si>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</si>
  <si>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</si>
  <si>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</si>
  <si>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</si>
  <si>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</si>
  <si>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</si>
  <si>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</si>
  <si>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</si>
  <si>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</si>
  <si>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</si>
  <si>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</si>
  <si>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</si>
  <si>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</si>
  <si>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</si>
  <si>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</si>
  <si>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</si>
  <si>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</si>
  <si>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</si>
  <si>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</si>
  <si>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</si>
  <si>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</si>
  <si>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</si>
  <si>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</si>
  <si>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</si>
  <si>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</si>
  <si>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</si>
  <si>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</si>
  <si>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</si>
  <si>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</si>
  <si>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</si>
  <si>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</si>
  <si>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</si>
  <si>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</si>
  <si>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</si>
  <si>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</si>
  <si>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</si>
  <si>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</si>
  <si>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</si>
  <si>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</si>
  <si>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</si>
  <si>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</si>
  <si>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</si>
  <si>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</si>
  <si>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</si>
  <si>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</si>
  <si>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</si>
  <si>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</si>
  <si>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</si>
  <si>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</si>
  <si>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</si>
  <si>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</si>
  <si>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</si>
  <si>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</si>
  <si>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</si>
  <si>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</si>
  <si>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</si>
  <si>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</si>
  <si>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</si>
  <si>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</si>
  <si>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</si>
  <si>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</si>
  <si>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</si>
  <si>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</si>
  <si>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</si>
  <si>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</si>
  <si>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</si>
  <si>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</si>
  <si>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</si>
  <si>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</si>
  <si>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</si>
  <si>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</si>
  <si>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</si>
  <si>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</si>
  <si>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</si>
  <si>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</si>
  <si>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</si>
  <si>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</si>
  <si>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</si>
  <si>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</si>
  <si>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</si>
  <si>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</si>
  <si>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</si>
  <si>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</si>
  <si>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</si>
  <si>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</si>
  <si>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</si>
  <si>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</si>
  <si>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</si>
  <si>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</si>
  <si>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</si>
  <si>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</si>
  <si>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</si>
  <si>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</si>
  <si>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</si>
  <si>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</si>
  <si>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</si>
  <si>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</si>
  <si>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</si>
  <si>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</si>
  <si>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</si>
  <si>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</si>
  <si>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</si>
  <si>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</si>
  <si>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</si>
  <si>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</si>
  <si>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</si>
  <si>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</si>
  <si>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</si>
  <si>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</si>
  <si>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</si>
  <si>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</si>
  <si>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</si>
  <si>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</si>
  <si>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</si>
  <si>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</si>
  <si>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</si>
  <si>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</si>
  <si>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</si>
  <si>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</si>
  <si>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</si>
  <si>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</si>
  <si>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</si>
  <si>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</si>
  <si>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</si>
  <si>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</si>
  <si>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</si>
  <si>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</si>
  <si>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</si>
  <si>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</si>
  <si>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</si>
  <si>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</si>
  <si>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</si>
  <si>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</si>
  <si>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</si>
  <si>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</si>
  <si>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</si>
  <si>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</si>
  <si>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</si>
  <si>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</si>
  <si>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</si>
  <si>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</si>
  <si>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</si>
  <si>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</si>
  <si>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</si>
  <si>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</si>
  <si>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</si>
  <si>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</si>
  <si>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</si>
  <si>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</si>
  <si>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</si>
  <si>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</si>
  <si>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</si>
  <si>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</si>
  <si>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</si>
  <si>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</si>
  <si>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</si>
  <si>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</si>
  <si>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</si>
  <si>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</si>
  <si>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</si>
  <si>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</si>
  <si>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</si>
  <si>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</si>
  <si>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</si>
  <si>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</si>
  <si>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</si>
  <si>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</si>
  <si>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</si>
  <si>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</si>
  <si>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</si>
  <si>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</si>
  <si>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</si>
  <si>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</si>
  <si>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</si>
  <si>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</si>
  <si>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</si>
  <si>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</si>
  <si>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</si>
  <si>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</si>
  <si>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</si>
  <si>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</si>
  <si>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</si>
  <si>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</si>
  <si>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</si>
  <si>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</si>
  <si>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</si>
  <si>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</si>
  <si>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</si>
  <si>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</si>
  <si>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</si>
  <si>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</si>
  <si>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</si>
  <si>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</si>
  <si>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</si>
  <si>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</si>
  <si>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</si>
  <si>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</si>
  <si>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</si>
  <si>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</si>
  <si>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</si>
  <si>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</si>
  <si>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</si>
  <si>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</si>
  <si>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</si>
  <si>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</si>
  <si>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</si>
  <si>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</si>
  <si>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</si>
  <si>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</si>
  <si>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</si>
  <si>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</si>
  <si>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</si>
  <si>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</si>
  <si>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</si>
  <si>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</si>
  <si>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</si>
  <si>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</si>
  <si>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</si>
  <si>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</si>
  <si>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</si>
  <si>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</si>
  <si>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</si>
  <si>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</si>
  <si>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</si>
  <si>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</si>
  <si>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</si>
  <si>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</si>
  <si>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</si>
  <si>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</si>
  <si>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</si>
  <si>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</si>
  <si>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</si>
  <si>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</si>
  <si>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</si>
  <si>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</si>
  <si>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</si>
  <si>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</si>
  <si>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</si>
  <si>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</si>
  <si>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</si>
  <si>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</si>
  <si>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</si>
  <si>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</si>
  <si>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</si>
  <si>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</si>
  <si>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</si>
  <si>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</si>
  <si>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</si>
  <si>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</si>
  <si>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</si>
  <si>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</si>
  <si>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</si>
  <si>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</si>
  <si>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</si>
  <si>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</si>
  <si>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</si>
  <si>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</si>
  <si>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</si>
  <si>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</si>
  <si>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</si>
  <si>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</si>
  <si>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</si>
  <si>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</si>
  <si>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</si>
  <si>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</si>
  <si>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</si>
  <si>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</si>
  <si>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</si>
  <si>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</si>
  <si>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</si>
  <si>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</si>
  <si>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</si>
  <si>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</si>
  <si>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</si>
  <si>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</si>
  <si>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</si>
  <si>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</si>
  <si>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</si>
  <si>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</si>
  <si>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</si>
  <si>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</si>
  <si>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</si>
  <si>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</si>
  <si>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</si>
  <si>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</si>
  <si>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</si>
  <si>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</si>
  <si>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</si>
  <si>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</si>
  <si>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</si>
  <si>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</si>
  <si>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</si>
  <si>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</si>
  <si>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</si>
  <si>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</si>
  <si>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</si>
  <si>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</si>
  <si>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</si>
  <si>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</si>
  <si>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</si>
  <si>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</si>
  <si>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</si>
  <si>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</si>
  <si>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</si>
  <si>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</si>
  <si>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</si>
  <si>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</si>
  <si>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</si>
  <si>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</si>
  <si>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</si>
  <si>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</si>
  <si>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</si>
  <si>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</si>
  <si>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</si>
  <si>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</si>
  <si>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</si>
  <si>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</si>
  <si>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</si>
  <si>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</si>
  <si>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</si>
  <si>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</si>
  <si>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</si>
  <si>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</si>
  <si>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</si>
  <si>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</si>
  <si>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</si>
  <si>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</si>
  <si>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</si>
  <si>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</si>
  <si>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</si>
  <si>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</si>
  <si>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</si>
  <si>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</si>
  <si>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</si>
  <si>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</si>
  <si>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</si>
  <si>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</si>
  <si>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</si>
  <si>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</si>
  <si>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</si>
  <si>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</si>
  <si>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</si>
  <si>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</si>
  <si>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</si>
  <si>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</si>
  <si>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</si>
  <si>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</si>
  <si>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</si>
  <si>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</si>
  <si>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</si>
  <si>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</si>
  <si>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</si>
  <si>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</si>
  <si>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</si>
  <si>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</si>
  <si>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</si>
  <si>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</si>
  <si>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</si>
  <si>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</si>
  <si>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</si>
  <si>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</si>
  <si>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</si>
  <si>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</si>
  <si>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</si>
  <si>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</si>
  <si>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</si>
  <si>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</si>
  <si>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</si>
  <si>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</si>
  <si>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</si>
  <si>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</si>
  <si>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</si>
  <si>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</si>
  <si>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</si>
  <si>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</si>
  <si>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</si>
  <si>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</si>
  <si>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</si>
  <si>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</si>
  <si>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</si>
  <si>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</si>
  <si>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</si>
  <si>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</si>
  <si>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</si>
  <si>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</si>
  <si>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</si>
  <si>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</si>
  <si>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</si>
  <si>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</si>
  <si>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</si>
  <si>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</si>
  <si>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</si>
  <si>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</si>
  <si>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</si>
  <si>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</si>
  <si>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</si>
  <si>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</si>
  <si>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</si>
  <si>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</si>
  <si>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</si>
  <si>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</si>
  <si>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</si>
  <si>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</si>
  <si>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</si>
  <si>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</si>
  <si>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</si>
  <si>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</si>
  <si>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</si>
  <si>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</si>
  <si>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</si>
  <si>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</si>
  <si>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</si>
  <si>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</si>
  <si>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</si>
  <si>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</si>
  <si>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</si>
  <si>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</si>
  <si>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</si>
  <si>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</si>
  <si>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</si>
  <si>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</si>
  <si>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</si>
  <si>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</si>
  <si>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</si>
  <si>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</si>
  <si>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</si>
  <si>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</si>
  <si>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</si>
  <si>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</si>
  <si>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</si>
  <si>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</si>
  <si>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</si>
  <si>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</si>
  <si>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</si>
  <si>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</si>
  <si>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</si>
  <si>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</si>
  <si>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</si>
  <si>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</si>
  <si>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</si>
  <si>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</si>
  <si>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</si>
  <si>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</si>
  <si>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</si>
  <si>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</si>
  <si>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</si>
  <si>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</si>
  <si>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</si>
  <si>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</si>
  <si>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</si>
  <si>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</si>
  <si>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</si>
  <si>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</si>
  <si>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</si>
  <si>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</si>
  <si>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</si>
  <si>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</si>
  <si>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</si>
  <si>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</si>
  <si>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</si>
  <si>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</si>
  <si>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</si>
  <si>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</si>
  <si>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</si>
  <si>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</si>
  <si>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</si>
  <si>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</si>
  <si>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</si>
  <si>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</si>
  <si>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</si>
  <si>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</si>
  <si>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</si>
  <si>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</si>
  <si>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</si>
  <si>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</si>
  <si>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</si>
  <si>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</si>
  <si>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</si>
  <si>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</si>
  <si>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</si>
  <si>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</si>
  <si>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</si>
  <si>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</si>
  <si>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</si>
  <si>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</si>
  <si>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</si>
  <si>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</si>
  <si>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</si>
  <si>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</si>
  <si>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</si>
  <si>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</si>
  <si>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</si>
  <si>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</si>
  <si>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</si>
  <si>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</si>
  <si>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</si>
  <si>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</si>
  <si>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</si>
  <si>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</si>
  <si>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</si>
  <si>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</si>
  <si>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</si>
  <si>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</si>
  <si>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</si>
  <si>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</si>
  <si>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</si>
  <si>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</si>
  <si>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</si>
  <si>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</si>
  <si>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</si>
  <si>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</si>
  <si>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</si>
  <si>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</si>
  <si>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</si>
  <si>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</si>
  <si>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</si>
  <si>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</si>
  <si>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</si>
  <si>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</si>
  <si>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</si>
  <si>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</si>
  <si>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</si>
  <si>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</si>
  <si>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</si>
  <si>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</si>
  <si>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</si>
  <si>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</si>
  <si>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</si>
  <si>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</si>
  <si>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</si>
  <si>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</si>
  <si>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</si>
  <si>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</si>
  <si>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</si>
  <si>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</si>
  <si>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</si>
  <si>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</si>
  <si>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</si>
  <si>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</si>
  <si>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</si>
  <si>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</si>
  <si>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</si>
  <si>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</si>
  <si>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</si>
  <si>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</si>
  <si>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</si>
  <si>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</si>
  <si>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</si>
  <si>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</si>
  <si>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</si>
  <si>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</si>
  <si>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</si>
  <si>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</si>
  <si>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</si>
  <si>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</si>
  <si>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</si>
  <si>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</si>
  <si>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</si>
  <si>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</si>
  <si>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</si>
  <si>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</si>
  <si>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</si>
  <si>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</si>
  <si>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</si>
  <si>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</si>
  <si>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</si>
  <si>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</si>
  <si>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</si>
  <si>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</si>
  <si>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</si>
  <si>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</si>
  <si>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</si>
  <si>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</si>
  <si>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</si>
  <si>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</si>
  <si>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</si>
  <si>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</si>
  <si>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</si>
  <si>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</si>
  <si>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</si>
  <si>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</si>
  <si>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</si>
  <si>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</si>
  <si>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</si>
  <si>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</si>
  <si>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</si>
  <si>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</si>
  <si>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</si>
  <si>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</si>
  <si>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</si>
  <si>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</si>
  <si>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</si>
  <si>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</si>
  <si>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</si>
  <si>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</si>
  <si>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</si>
  <si>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</si>
  <si>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</si>
  <si>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</si>
  <si>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</si>
  <si>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</si>
  <si>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</si>
  <si>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</si>
  <si>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</si>
  <si>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</si>
  <si>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</si>
  <si>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</si>
  <si>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</si>
  <si>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</si>
  <si>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</si>
  <si>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</si>
  <si>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</si>
  <si>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</si>
  <si>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</si>
  <si>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</si>
  <si>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</si>
  <si>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</si>
  <si>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</si>
  <si>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</si>
  <si>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</si>
  <si>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</si>
  <si>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</si>
  <si>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</si>
  <si>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</si>
  <si>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</si>
  <si>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</si>
  <si>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</si>
  <si>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</si>
  <si>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</si>
  <si>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</si>
  <si>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</si>
  <si>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</si>
  <si>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</si>
  <si>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</si>
  <si>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</si>
  <si>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</si>
  <si>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</si>
  <si>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</si>
  <si>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</si>
  <si>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</si>
  <si>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</si>
  <si>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</si>
  <si>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</si>
  <si>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</si>
  <si>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</si>
  <si>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</si>
  <si>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</si>
  <si>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</si>
  <si>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</si>
  <si>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</si>
  <si>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</si>
  <si>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</si>
  <si>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</si>
  <si>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</si>
  <si>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</si>
  <si>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</si>
  <si>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</si>
  <si>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</si>
  <si>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</si>
  <si>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</si>
  <si>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</si>
  <si>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</si>
  <si>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</si>
  <si>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</si>
  <si>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</si>
  <si>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</si>
  <si>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</si>
  <si>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</si>
  <si>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</si>
  <si>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</si>
  <si>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</si>
  <si>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</si>
  <si>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</si>
  <si>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</si>
  <si>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</si>
  <si>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</si>
  <si>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</si>
  <si>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</si>
  <si>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</si>
  <si>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</si>
  <si>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</si>
  <si>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</si>
  <si>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</si>
  <si>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</si>
  <si>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</si>
  <si>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</si>
  <si>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</si>
  <si>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</si>
  <si>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</si>
  <si>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</si>
  <si>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</si>
  <si>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</si>
  <si>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</si>
  <si>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</si>
  <si>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</si>
  <si>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</si>
  <si>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</si>
  <si>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</si>
  <si>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</si>
  <si>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</si>
  <si>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</si>
  <si>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</si>
  <si>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</si>
  <si>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</si>
  <si>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</si>
  <si>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</si>
  <si>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</si>
  <si>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</si>
  <si>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</si>
  <si>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</si>
  <si>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</si>
  <si>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</si>
  <si>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</si>
  <si>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</si>
  <si>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</si>
  <si>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</si>
  <si>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</si>
  <si>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</si>
  <si>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</si>
  <si>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</si>
  <si>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</si>
  <si>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</si>
  <si>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</si>
  <si>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</si>
  <si>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</si>
  <si>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</si>
  <si>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</si>
  <si>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</si>
  <si>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</si>
  <si>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</si>
  <si>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</si>
  <si>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</si>
  <si>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</si>
  <si>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</si>
  <si>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</si>
  <si>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</si>
  <si>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</si>
  <si>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</si>
  <si>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</si>
  <si>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</si>
  <si>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</si>
  <si>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</si>
  <si>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</si>
  <si>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</si>
  <si>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</si>
  <si>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</si>
  <si>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</si>
  <si>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</si>
  <si>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</si>
  <si>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</si>
  <si>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</si>
  <si>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</si>
  <si>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</si>
  <si>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</si>
  <si>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</si>
  <si>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</si>
  <si>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</si>
  <si>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</si>
  <si>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</si>
  <si>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</si>
  <si>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</si>
  <si>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</si>
  <si>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</si>
  <si>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</si>
  <si>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</si>
  <si>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</si>
  <si>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</si>
  <si>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</si>
  <si>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</si>
  <si>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</si>
  <si>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</si>
  <si>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</si>
  <si>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</si>
  <si>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</si>
  <si>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</si>
  <si>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</si>
  <si>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</si>
  <si>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</si>
  <si>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</si>
  <si>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</si>
  <si>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</si>
  <si>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</si>
  <si>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</si>
  <si>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</si>
  <si>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</si>
  <si>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</si>
  <si>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</si>
  <si>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</si>
  <si>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</si>
  <si>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</si>
  <si>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</si>
  <si>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</si>
  <si>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</si>
  <si>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</si>
  <si>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</si>
  <si>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</si>
  <si>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</si>
  <si>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</si>
  <si>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</si>
  <si>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</si>
  <si>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</si>
  <si>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</si>
  <si>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</si>
  <si>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</si>
  <si>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</si>
  <si>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</si>
  <si>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</si>
  <si>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</si>
  <si>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</si>
  <si>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</si>
  <si>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</si>
  <si>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</si>
  <si>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</si>
  <si>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</si>
  <si>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</si>
  <si>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</si>
  <si>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</si>
  <si>
    <t>cyanocaulis</t>
  </si>
  <si>
    <t>South of Price, Utah, USA</t>
  </si>
  <si>
    <t>Lower LaSal, Utah, USA</t>
  </si>
  <si>
    <t>Upper LaSal, Utah, USA</t>
  </si>
  <si>
    <t>fremontii</t>
  </si>
  <si>
    <t>West of Vernal, Utah, USA</t>
  </si>
  <si>
    <t>North of Lapointe, Utah, USA</t>
  </si>
  <si>
    <t>laevis</t>
  </si>
  <si>
    <t>leiophyllus</t>
  </si>
  <si>
    <t>Zion Overlook, Utah, USA</t>
  </si>
  <si>
    <t>Kolob Revervoir, Utah, USA</t>
  </si>
  <si>
    <t>perpulcher</t>
  </si>
  <si>
    <t>scariosus</t>
  </si>
  <si>
    <t>Birds of Prey, Idaho, USA</t>
  </si>
  <si>
    <t>Midway, Utah, USA</t>
  </si>
  <si>
    <t>speciosus</t>
  </si>
  <si>
    <t>strictus</t>
  </si>
  <si>
    <t>subglaber</t>
  </si>
  <si>
    <t>Emigrant Pass, Nevada, USA</t>
  </si>
  <si>
    <t>Soldier Summit, Utah, USA</t>
  </si>
  <si>
    <t>Fairview Top, Utah, USA</t>
  </si>
  <si>
    <t>Thistle Junction, Utah, USA</t>
  </si>
  <si>
    <t>Stillwater Campground, Utah, USA</t>
  </si>
  <si>
    <t>ambiguus</t>
  </si>
  <si>
    <t>Valley of Fire, Nevada, USA</t>
  </si>
  <si>
    <t>7-9</t>
  </si>
  <si>
    <t>4 wks preincubatiion at 10/20C</t>
  </si>
  <si>
    <t>Shivwits, Utah, USA</t>
  </si>
  <si>
    <t>Oak Grove, Utah, USA</t>
  </si>
  <si>
    <t>linarioides</t>
  </si>
  <si>
    <t>Pine Valley, Utah, USA</t>
  </si>
  <si>
    <t>Kolob Road, Utah, USA</t>
  </si>
  <si>
    <t>dolius</t>
  </si>
  <si>
    <t>Duchesne, Utah, USA</t>
  </si>
  <si>
    <t>goodrichii</t>
  </si>
  <si>
    <t>Tridell, Utah, USA</t>
  </si>
  <si>
    <t>moffattii</t>
  </si>
  <si>
    <t>Cisco, Utah, USA</t>
  </si>
  <si>
    <t>acuminatus</t>
  </si>
  <si>
    <t>Twin Falls, Idaho, USA</t>
  </si>
  <si>
    <t>Bruneau Dunes, Idaho, USA</t>
  </si>
  <si>
    <t>pachyphyllus</t>
  </si>
  <si>
    <t>San Rafael Swell, Utah, USA</t>
  </si>
  <si>
    <t>confusus</t>
  </si>
  <si>
    <t>Central, Utah, USA</t>
  </si>
  <si>
    <t>Browse Offramp, Utah, USA</t>
  </si>
  <si>
    <t>utahensis</t>
  </si>
  <si>
    <t>Potosi Pass Road, Nevada, USA</t>
  </si>
  <si>
    <t>Oak Grove Road, Utah, USA</t>
  </si>
  <si>
    <t>amabilis</t>
  </si>
  <si>
    <t>4 weeks of normal moist chilling, then 4 weeks of moist chilling on soil matrice peat moss</t>
  </si>
  <si>
    <t>4 weeks of normal moist chilling, then 8 weeks of moist chilling on soil matrice peat moss</t>
  </si>
  <si>
    <t>4 weeks of normal moist chilling, then 4 weeks of moist chilling on soil matrice Agro-Lig Gr. Grade</t>
  </si>
  <si>
    <t>4 weeks of normal moist chilling, then 4 weeks of moist chilling on soil matrice sand</t>
  </si>
  <si>
    <t>menziensii</t>
  </si>
  <si>
    <t>Czech Republic</t>
  </si>
  <si>
    <t>5 C water</t>
  </si>
  <si>
    <t>8/16</t>
  </si>
  <si>
    <t>95CI</t>
  </si>
  <si>
    <t>11-17</t>
  </si>
  <si>
    <t>11-20</t>
  </si>
  <si>
    <t>Incubation in Phyotron I, meant to stimulate early sowing conditions based on temp and photoperiod</t>
  </si>
  <si>
    <t>Incubation in Phyotron II, meant to stimulate late sowing conditions based on light and photoperiod</t>
  </si>
  <si>
    <t>Incubation in Phyotron I, meant to stimulate early sowing conditions based on temp and photoperiod. See table 1 for full details</t>
  </si>
  <si>
    <t>Incubation in Phyotron II, meant to stimulate late sowing conditions based on light and photoperiod. See table 1 for full details</t>
  </si>
  <si>
    <t>Incubation in Phyotron II, meant to stimulate late sowing conditions based on temp and photoperiod. See table 1 for full details</t>
  </si>
  <si>
    <t>chilling conducted on soil matrice Agro-Lig Greens Grade, 40% moisture content</t>
  </si>
  <si>
    <t>chilling conducted on soil matrice Agro-Lig Greens Grade, 70% moisture content</t>
  </si>
  <si>
    <t>chilling conducted on soil matrice Agro-Lig Greens Grade, 100% moisture content</t>
  </si>
  <si>
    <t>chilling conducted on soil matrice peat moss, 80% moisture content</t>
  </si>
  <si>
    <t>chilling conducted on soil matrice peat moss, 160% moisture content</t>
  </si>
  <si>
    <t>chilling conducted on soil matrice peat moss, 320% moisture content</t>
  </si>
  <si>
    <t>chilling conducted on soil matrice sand, 5% moisture content</t>
  </si>
  <si>
    <t>chilling conducted on soil matrice sand, 15% moisture content</t>
  </si>
  <si>
    <t>chilling conducted on soil matrice sand, 25% moisture content</t>
  </si>
  <si>
    <t xml:space="preserve">Spanish </t>
  </si>
  <si>
    <t>full pdf not found</t>
  </si>
  <si>
    <t>request copy from researchers</t>
  </si>
  <si>
    <t>France</t>
  </si>
  <si>
    <t>3</t>
  </si>
  <si>
    <t>storage ends</t>
  </si>
  <si>
    <t>Table1a</t>
  </si>
  <si>
    <t>240-360</t>
  </si>
  <si>
    <t>per.germ is average of 3 seedlots</t>
  </si>
  <si>
    <t>ethephon</t>
  </si>
  <si>
    <t>non-prechilled</t>
  </si>
  <si>
    <t>Table1b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</si>
</sst>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xf numFmtId="49" fontId="1" fillId="0" borderId="0" xfId="0" applyNumberFormat="1" applyFon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38" workbookViewId="0">
      <selection activeCell="B44" sqref="B44"/>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1202</v>
      </c>
      <c r="B34" t="s">
        <v>1203</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1204</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1205</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1236</v>
      </c>
      <c r="B61" t="s">
        <v>1238</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1239</v>
      </c>
      <c r="B68" s="4" t="s">
        <v>1240</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F279" zoomScale="75" workbookViewId="0">
      <selection activeCell="S295" sqref="S295"/>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2992</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1230</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1229</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1285</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1287</v>
      </c>
      <c r="M181" t="s">
        <v>1286</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1287</v>
      </c>
      <c r="M186" t="s">
        <v>1286</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1302</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1285</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1352</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1352</v>
      </c>
      <c r="R192" t="s">
        <v>356</v>
      </c>
      <c r="S192" t="s">
        <v>1138</v>
      </c>
      <c r="T192" t="s">
        <v>1149</v>
      </c>
    </row>
    <row r="193" spans="1:20" x14ac:dyDescent="0.2">
      <c r="A193" t="s">
        <v>138</v>
      </c>
      <c r="B193" t="s">
        <v>1353</v>
      </c>
      <c r="C193" t="s">
        <v>1354</v>
      </c>
      <c r="D193" t="s">
        <v>387</v>
      </c>
      <c r="E193">
        <v>18</v>
      </c>
      <c r="F193">
        <v>1</v>
      </c>
      <c r="G193">
        <v>35</v>
      </c>
      <c r="H193">
        <v>2008</v>
      </c>
      <c r="I193" t="s">
        <v>1355</v>
      </c>
      <c r="J193" t="s">
        <v>476</v>
      </c>
      <c r="K193" t="s">
        <v>143</v>
      </c>
      <c r="P193" t="s">
        <v>1352</v>
      </c>
      <c r="R193" t="s">
        <v>356</v>
      </c>
      <c r="S193" t="s">
        <v>1326</v>
      </c>
      <c r="T193" t="s">
        <v>1149</v>
      </c>
    </row>
    <row r="194" spans="1:20" x14ac:dyDescent="0.2">
      <c r="A194" t="s">
        <v>138</v>
      </c>
      <c r="B194" t="s">
        <v>1356</v>
      </c>
      <c r="C194" t="s">
        <v>1357</v>
      </c>
      <c r="D194" t="s">
        <v>480</v>
      </c>
      <c r="E194">
        <v>95</v>
      </c>
      <c r="F194">
        <v>4</v>
      </c>
      <c r="G194">
        <v>258</v>
      </c>
      <c r="H194">
        <v>2011</v>
      </c>
      <c r="I194" t="s">
        <v>1358</v>
      </c>
      <c r="J194" t="s">
        <v>1359</v>
      </c>
      <c r="K194" t="s">
        <v>143</v>
      </c>
      <c r="P194" t="s">
        <v>1352</v>
      </c>
      <c r="R194" t="s">
        <v>356</v>
      </c>
      <c r="S194" t="s">
        <v>1360</v>
      </c>
      <c r="T194" t="s">
        <v>1149</v>
      </c>
    </row>
    <row r="195" spans="1:20" x14ac:dyDescent="0.2">
      <c r="A195" t="s">
        <v>138</v>
      </c>
      <c r="B195" t="s">
        <v>1361</v>
      </c>
      <c r="C195" t="s">
        <v>1362</v>
      </c>
      <c r="D195" t="s">
        <v>1363</v>
      </c>
      <c r="E195">
        <v>9</v>
      </c>
      <c r="F195">
        <v>39</v>
      </c>
      <c r="G195">
        <v>6503</v>
      </c>
      <c r="H195">
        <v>2010</v>
      </c>
      <c r="I195" t="s">
        <v>459</v>
      </c>
      <c r="J195" t="s">
        <v>1364</v>
      </c>
      <c r="K195" t="s">
        <v>143</v>
      </c>
      <c r="P195" t="s">
        <v>1352</v>
      </c>
      <c r="Q195" t="s">
        <v>1139</v>
      </c>
      <c r="R195" t="s">
        <v>356</v>
      </c>
      <c r="S195" t="s">
        <v>1365</v>
      </c>
      <c r="T195" t="s">
        <v>1149</v>
      </c>
    </row>
    <row r="196" spans="1:20" x14ac:dyDescent="0.2">
      <c r="A196" t="s">
        <v>138</v>
      </c>
      <c r="B196" t="s">
        <v>1366</v>
      </c>
      <c r="C196" t="s">
        <v>1367</v>
      </c>
      <c r="D196" t="s">
        <v>1368</v>
      </c>
      <c r="E196">
        <v>47</v>
      </c>
      <c r="F196">
        <v>6</v>
      </c>
      <c r="G196">
        <v>645</v>
      </c>
      <c r="H196">
        <v>1998</v>
      </c>
      <c r="I196" t="s">
        <v>1369</v>
      </c>
      <c r="J196" t="s">
        <v>1370</v>
      </c>
      <c r="K196" t="s">
        <v>143</v>
      </c>
      <c r="P196" t="s">
        <v>1352</v>
      </c>
      <c r="R196" t="s">
        <v>356</v>
      </c>
      <c r="S196" t="s">
        <v>1371</v>
      </c>
      <c r="T196" t="s">
        <v>1149</v>
      </c>
    </row>
    <row r="197" spans="1:20" x14ac:dyDescent="0.2">
      <c r="A197" t="s">
        <v>138</v>
      </c>
      <c r="B197" t="s">
        <v>1372</v>
      </c>
      <c r="C197" t="s">
        <v>1373</v>
      </c>
      <c r="D197" t="s">
        <v>1363</v>
      </c>
      <c r="E197">
        <v>7</v>
      </c>
      <c r="F197">
        <v>21</v>
      </c>
      <c r="G197">
        <v>3874</v>
      </c>
      <c r="H197">
        <v>2008</v>
      </c>
      <c r="I197" t="s">
        <v>755</v>
      </c>
      <c r="J197" t="s">
        <v>1374</v>
      </c>
      <c r="K197" t="s">
        <v>143</v>
      </c>
      <c r="P197" t="s">
        <v>1352</v>
      </c>
      <c r="R197" t="s">
        <v>356</v>
      </c>
      <c r="S197" t="s">
        <v>1375</v>
      </c>
      <c r="T197" t="s">
        <v>1149</v>
      </c>
    </row>
    <row r="198" spans="1:20" x14ac:dyDescent="0.2">
      <c r="A198" t="s">
        <v>138</v>
      </c>
      <c r="B198" t="s">
        <v>1376</v>
      </c>
      <c r="C198" t="s">
        <v>1377</v>
      </c>
      <c r="D198" t="s">
        <v>474</v>
      </c>
      <c r="E198">
        <v>193</v>
      </c>
      <c r="F198">
        <v>2</v>
      </c>
      <c r="G198">
        <v>157</v>
      </c>
      <c r="H198">
        <v>2007</v>
      </c>
      <c r="I198" t="s">
        <v>475</v>
      </c>
      <c r="K198" t="s">
        <v>143</v>
      </c>
      <c r="P198" t="s">
        <v>1352</v>
      </c>
      <c r="R198" t="s">
        <v>356</v>
      </c>
      <c r="S198" t="s">
        <v>1378</v>
      </c>
      <c r="T198" t="s">
        <v>1149</v>
      </c>
    </row>
    <row r="199" spans="1:20" x14ac:dyDescent="0.2">
      <c r="A199" t="s">
        <v>138</v>
      </c>
      <c r="B199" t="s">
        <v>1379</v>
      </c>
      <c r="C199" t="s">
        <v>1380</v>
      </c>
      <c r="D199" t="s">
        <v>1381</v>
      </c>
      <c r="E199">
        <v>39</v>
      </c>
      <c r="G199">
        <v>169</v>
      </c>
      <c r="H199">
        <v>2004</v>
      </c>
      <c r="I199" t="s">
        <v>1382</v>
      </c>
      <c r="J199" t="s">
        <v>1383</v>
      </c>
      <c r="K199" t="s">
        <v>143</v>
      </c>
      <c r="P199" t="s">
        <v>1352</v>
      </c>
      <c r="R199" t="s">
        <v>356</v>
      </c>
      <c r="S199" t="s">
        <v>1384</v>
      </c>
      <c r="T199" t="s">
        <v>1385</v>
      </c>
    </row>
    <row r="200" spans="1:20" x14ac:dyDescent="0.2">
      <c r="A200" t="s">
        <v>138</v>
      </c>
      <c r="B200" t="s">
        <v>1386</v>
      </c>
      <c r="C200" t="s">
        <v>1387</v>
      </c>
      <c r="D200" t="s">
        <v>1388</v>
      </c>
      <c r="E200">
        <v>51</v>
      </c>
      <c r="F200">
        <v>3</v>
      </c>
      <c r="G200">
        <v>269</v>
      </c>
      <c r="H200">
        <v>1981</v>
      </c>
      <c r="I200" t="s">
        <v>1389</v>
      </c>
      <c r="J200" t="s">
        <v>1390</v>
      </c>
      <c r="K200" t="s">
        <v>143</v>
      </c>
      <c r="P200" t="s">
        <v>1352</v>
      </c>
      <c r="R200" t="s">
        <v>433</v>
      </c>
      <c r="S200" t="s">
        <v>1391</v>
      </c>
      <c r="T200" t="s">
        <v>1385</v>
      </c>
    </row>
    <row r="201" spans="1:20" x14ac:dyDescent="0.2">
      <c r="A201" t="s">
        <v>138</v>
      </c>
      <c r="B201" t="s">
        <v>1392</v>
      </c>
      <c r="C201" t="s">
        <v>1393</v>
      </c>
      <c r="D201" t="s">
        <v>1394</v>
      </c>
      <c r="E201">
        <v>34</v>
      </c>
      <c r="F201">
        <v>4</v>
      </c>
      <c r="G201">
        <v>557</v>
      </c>
      <c r="H201">
        <v>2016</v>
      </c>
      <c r="I201" t="s">
        <v>1395</v>
      </c>
      <c r="J201" t="s">
        <v>1396</v>
      </c>
      <c r="K201" t="s">
        <v>143</v>
      </c>
      <c r="P201" t="s">
        <v>1352</v>
      </c>
      <c r="Q201" t="s">
        <v>1397</v>
      </c>
      <c r="R201" t="s">
        <v>433</v>
      </c>
      <c r="S201" t="s">
        <v>1398</v>
      </c>
      <c r="T201" t="s">
        <v>1385</v>
      </c>
    </row>
    <row r="202" spans="1:20" x14ac:dyDescent="0.2">
      <c r="A202" t="s">
        <v>138</v>
      </c>
      <c r="B202" t="s">
        <v>1399</v>
      </c>
      <c r="C202" t="s">
        <v>1400</v>
      </c>
      <c r="D202" t="s">
        <v>1086</v>
      </c>
      <c r="E202">
        <v>34</v>
      </c>
      <c r="F202">
        <v>4</v>
      </c>
      <c r="G202">
        <v>557</v>
      </c>
      <c r="H202">
        <v>2016</v>
      </c>
      <c r="I202" t="s">
        <v>1395</v>
      </c>
      <c r="J202" t="s">
        <v>1396</v>
      </c>
      <c r="K202" t="s">
        <v>143</v>
      </c>
      <c r="P202" t="s">
        <v>1352</v>
      </c>
      <c r="R202" t="s">
        <v>433</v>
      </c>
      <c r="S202" t="s">
        <v>1398</v>
      </c>
      <c r="T202" t="s">
        <v>1385</v>
      </c>
    </row>
    <row r="203" spans="1:20" x14ac:dyDescent="0.2">
      <c r="A203" t="s">
        <v>138</v>
      </c>
      <c r="B203" t="s">
        <v>1401</v>
      </c>
      <c r="C203" t="s">
        <v>1402</v>
      </c>
      <c r="D203" t="s">
        <v>1403</v>
      </c>
      <c r="E203">
        <v>25</v>
      </c>
      <c r="F203">
        <v>10</v>
      </c>
      <c r="G203">
        <v>125</v>
      </c>
      <c r="H203">
        <v>1983</v>
      </c>
      <c r="I203" t="s">
        <v>1404</v>
      </c>
      <c r="J203" t="s">
        <v>1405</v>
      </c>
      <c r="K203" t="s">
        <v>1406</v>
      </c>
      <c r="L203" t="s">
        <v>1407</v>
      </c>
      <c r="Q203" t="s">
        <v>1408</v>
      </c>
      <c r="R203" t="s">
        <v>433</v>
      </c>
      <c r="S203" t="s">
        <v>1409</v>
      </c>
      <c r="T203" t="s">
        <v>1385</v>
      </c>
    </row>
    <row r="204" spans="1:20" x14ac:dyDescent="0.2">
      <c r="A204" t="s">
        <v>138</v>
      </c>
      <c r="B204" t="s">
        <v>1410</v>
      </c>
      <c r="C204" t="s">
        <v>1411</v>
      </c>
      <c r="D204" t="s">
        <v>1412</v>
      </c>
      <c r="E204">
        <v>139</v>
      </c>
      <c r="F204">
        <v>1</v>
      </c>
      <c r="G204">
        <v>76</v>
      </c>
      <c r="H204">
        <v>2012</v>
      </c>
      <c r="I204" t="s">
        <v>682</v>
      </c>
      <c r="J204" t="s">
        <v>1413</v>
      </c>
      <c r="K204" t="s">
        <v>143</v>
      </c>
      <c r="P204" t="s">
        <v>1352</v>
      </c>
      <c r="R204" t="s">
        <v>433</v>
      </c>
      <c r="S204" t="s">
        <v>1414</v>
      </c>
      <c r="T204" t="s">
        <v>1385</v>
      </c>
    </row>
    <row r="205" spans="1:20" x14ac:dyDescent="0.2">
      <c r="A205" t="s">
        <v>138</v>
      </c>
      <c r="B205" t="s">
        <v>1415</v>
      </c>
      <c r="C205" t="s">
        <v>1416</v>
      </c>
      <c r="D205" t="s">
        <v>1417</v>
      </c>
      <c r="E205">
        <v>18</v>
      </c>
      <c r="F205">
        <v>2</v>
      </c>
      <c r="G205">
        <v>461</v>
      </c>
      <c r="H205">
        <v>2020</v>
      </c>
      <c r="I205" t="s">
        <v>578</v>
      </c>
      <c r="J205" t="s">
        <v>476</v>
      </c>
      <c r="K205" t="s">
        <v>143</v>
      </c>
      <c r="P205" t="s">
        <v>1352</v>
      </c>
      <c r="R205" t="s">
        <v>433</v>
      </c>
      <c r="S205" t="s">
        <v>1418</v>
      </c>
      <c r="T205" t="s">
        <v>1385</v>
      </c>
    </row>
    <row r="206" spans="1:20" x14ac:dyDescent="0.2">
      <c r="A206" t="s">
        <v>138</v>
      </c>
      <c r="B206" t="s">
        <v>1419</v>
      </c>
      <c r="C206" t="s">
        <v>1420</v>
      </c>
      <c r="D206" t="s">
        <v>1421</v>
      </c>
      <c r="F206">
        <v>60</v>
      </c>
      <c r="G206">
        <v>79</v>
      </c>
      <c r="H206">
        <v>2020</v>
      </c>
      <c r="I206" t="s">
        <v>1422</v>
      </c>
      <c r="J206" t="s">
        <v>1423</v>
      </c>
      <c r="K206" t="s">
        <v>143</v>
      </c>
      <c r="P206" t="s">
        <v>1352</v>
      </c>
      <c r="R206" t="s">
        <v>319</v>
      </c>
      <c r="S206" t="s">
        <v>1424</v>
      </c>
      <c r="T206" t="s">
        <v>1385</v>
      </c>
    </row>
    <row r="207" spans="1:20" x14ac:dyDescent="0.2">
      <c r="A207" t="s">
        <v>138</v>
      </c>
      <c r="B207" t="s">
        <v>1425</v>
      </c>
      <c r="C207" t="s">
        <v>1426</v>
      </c>
      <c r="D207" t="s">
        <v>1427</v>
      </c>
      <c r="F207">
        <v>7</v>
      </c>
      <c r="G207">
        <v>833</v>
      </c>
      <c r="H207">
        <v>1985</v>
      </c>
      <c r="I207" t="s">
        <v>1428</v>
      </c>
      <c r="J207" t="s">
        <v>1429</v>
      </c>
      <c r="K207" t="s">
        <v>143</v>
      </c>
      <c r="P207" t="s">
        <v>1352</v>
      </c>
      <c r="R207" t="s">
        <v>319</v>
      </c>
      <c r="S207" t="s">
        <v>1430</v>
      </c>
      <c r="T207" t="s">
        <v>1385</v>
      </c>
    </row>
    <row r="208" spans="1:20" x14ac:dyDescent="0.2">
      <c r="A208" t="s">
        <v>138</v>
      </c>
      <c r="B208" t="s">
        <v>1431</v>
      </c>
      <c r="C208" t="s">
        <v>1432</v>
      </c>
      <c r="D208" t="s">
        <v>1433</v>
      </c>
      <c r="E208">
        <v>48</v>
      </c>
      <c r="F208">
        <v>4</v>
      </c>
      <c r="G208">
        <v>229</v>
      </c>
      <c r="H208">
        <v>1994</v>
      </c>
      <c r="I208" t="s">
        <v>1382</v>
      </c>
      <c r="J208" t="s">
        <v>1434</v>
      </c>
      <c r="K208" t="s">
        <v>143</v>
      </c>
      <c r="P208" t="s">
        <v>1352</v>
      </c>
      <c r="R208" t="s">
        <v>319</v>
      </c>
      <c r="S208" t="s">
        <v>1435</v>
      </c>
      <c r="T208" t="s">
        <v>1385</v>
      </c>
    </row>
    <row r="209" spans="1:20" x14ac:dyDescent="0.2">
      <c r="A209" t="s">
        <v>138</v>
      </c>
      <c r="B209" t="s">
        <v>1436</v>
      </c>
      <c r="C209" t="s">
        <v>1437</v>
      </c>
      <c r="D209" t="s">
        <v>1438</v>
      </c>
      <c r="E209">
        <v>43</v>
      </c>
      <c r="F209">
        <v>2</v>
      </c>
      <c r="G209">
        <v>439</v>
      </c>
      <c r="H209">
        <v>2015</v>
      </c>
      <c r="I209" t="s">
        <v>1439</v>
      </c>
      <c r="J209" t="s">
        <v>1440</v>
      </c>
      <c r="K209" t="s">
        <v>143</v>
      </c>
      <c r="P209" t="s">
        <v>1352</v>
      </c>
      <c r="R209" t="s">
        <v>319</v>
      </c>
      <c r="S209" t="s">
        <v>1441</v>
      </c>
      <c r="T209" t="s">
        <v>1385</v>
      </c>
    </row>
    <row r="210" spans="1:20" x14ac:dyDescent="0.2">
      <c r="A210" t="s">
        <v>138</v>
      </c>
      <c r="B210" t="s">
        <v>1442</v>
      </c>
      <c r="C210" t="s">
        <v>1443</v>
      </c>
      <c r="D210" t="s">
        <v>645</v>
      </c>
      <c r="E210">
        <v>96</v>
      </c>
      <c r="F210">
        <v>5</v>
      </c>
      <c r="G210">
        <v>319</v>
      </c>
      <c r="H210">
        <v>2018</v>
      </c>
      <c r="I210" t="s">
        <v>1444</v>
      </c>
      <c r="J210" t="s">
        <v>186</v>
      </c>
      <c r="K210" t="s">
        <v>143</v>
      </c>
      <c r="P210" t="s">
        <v>1352</v>
      </c>
      <c r="R210" t="s">
        <v>319</v>
      </c>
      <c r="S210" t="s">
        <v>1445</v>
      </c>
      <c r="T210" t="s">
        <v>1385</v>
      </c>
    </row>
    <row r="211" spans="1:20" x14ac:dyDescent="0.2">
      <c r="A211" t="s">
        <v>138</v>
      </c>
      <c r="B211" t="s">
        <v>1442</v>
      </c>
      <c r="C211" t="s">
        <v>1446</v>
      </c>
      <c r="D211" t="s">
        <v>645</v>
      </c>
      <c r="E211">
        <v>97</v>
      </c>
      <c r="F211">
        <v>8</v>
      </c>
      <c r="G211">
        <v>452</v>
      </c>
      <c r="H211">
        <v>2019</v>
      </c>
      <c r="I211" t="s">
        <v>1447</v>
      </c>
      <c r="J211" t="s">
        <v>186</v>
      </c>
      <c r="K211" t="s">
        <v>143</v>
      </c>
      <c r="P211" t="s">
        <v>1352</v>
      </c>
      <c r="R211" t="s">
        <v>319</v>
      </c>
      <c r="S211" t="s">
        <v>1448</v>
      </c>
      <c r="T211" t="s">
        <v>1385</v>
      </c>
    </row>
    <row r="212" spans="1:20" x14ac:dyDescent="0.2">
      <c r="A212" t="s">
        <v>138</v>
      </c>
      <c r="B212" t="s">
        <v>1449</v>
      </c>
      <c r="C212" t="s">
        <v>1450</v>
      </c>
      <c r="D212" t="s">
        <v>1451</v>
      </c>
      <c r="E212">
        <v>8</v>
      </c>
      <c r="F212">
        <v>2</v>
      </c>
      <c r="G212">
        <v>55</v>
      </c>
      <c r="H212">
        <v>1998</v>
      </c>
      <c r="I212" t="s">
        <v>1452</v>
      </c>
      <c r="J212" t="s">
        <v>186</v>
      </c>
      <c r="K212" t="s">
        <v>143</v>
      </c>
      <c r="P212" t="s">
        <v>1453</v>
      </c>
      <c r="R212" t="s">
        <v>319</v>
      </c>
      <c r="S212" t="s">
        <v>1454</v>
      </c>
      <c r="T212" t="s">
        <v>1385</v>
      </c>
    </row>
    <row r="213" spans="1:20" x14ac:dyDescent="0.2">
      <c r="A213" t="s">
        <v>138</v>
      </c>
      <c r="B213" t="s">
        <v>1449</v>
      </c>
      <c r="C213" t="s">
        <v>1455</v>
      </c>
      <c r="D213" t="s">
        <v>1451</v>
      </c>
      <c r="E213">
        <v>10</v>
      </c>
      <c r="F213">
        <v>2</v>
      </c>
      <c r="G213">
        <v>88</v>
      </c>
      <c r="H213">
        <v>2000</v>
      </c>
      <c r="I213" t="s">
        <v>1241</v>
      </c>
      <c r="J213" t="s">
        <v>1456</v>
      </c>
      <c r="K213" t="s">
        <v>143</v>
      </c>
      <c r="P213" t="s">
        <v>1352</v>
      </c>
      <c r="R213" t="s">
        <v>319</v>
      </c>
      <c r="S213" t="s">
        <v>1457</v>
      </c>
      <c r="T213" t="s">
        <v>1385</v>
      </c>
    </row>
    <row r="214" spans="1:20" x14ac:dyDescent="0.2">
      <c r="A214" t="s">
        <v>138</v>
      </c>
      <c r="B214" t="s">
        <v>1458</v>
      </c>
      <c r="C214" t="s">
        <v>1459</v>
      </c>
      <c r="D214" t="s">
        <v>1460</v>
      </c>
      <c r="F214">
        <v>12</v>
      </c>
      <c r="G214">
        <v>11</v>
      </c>
      <c r="H214">
        <v>1997</v>
      </c>
      <c r="I214" t="s">
        <v>1461</v>
      </c>
      <c r="J214" t="s">
        <v>203</v>
      </c>
      <c r="K214" t="s">
        <v>143</v>
      </c>
      <c r="P214" t="s">
        <v>1352</v>
      </c>
      <c r="R214" t="s">
        <v>319</v>
      </c>
      <c r="S214" t="s">
        <v>1462</v>
      </c>
      <c r="T214" t="s">
        <v>1385</v>
      </c>
    </row>
    <row r="215" spans="1:20" x14ac:dyDescent="0.2">
      <c r="A215" t="s">
        <v>138</v>
      </c>
      <c r="B215" t="s">
        <v>1463</v>
      </c>
      <c r="C215" t="s">
        <v>1464</v>
      </c>
      <c r="D215" t="s">
        <v>593</v>
      </c>
      <c r="E215">
        <v>90</v>
      </c>
      <c r="F215">
        <v>2</v>
      </c>
      <c r="G215">
        <v>97</v>
      </c>
      <c r="H215">
        <v>2008</v>
      </c>
      <c r="I215" t="s">
        <v>1465</v>
      </c>
      <c r="J215" t="s">
        <v>1466</v>
      </c>
      <c r="K215" t="s">
        <v>1467</v>
      </c>
      <c r="P215" t="s">
        <v>1352</v>
      </c>
      <c r="R215" t="s">
        <v>319</v>
      </c>
      <c r="S215" t="s">
        <v>1468</v>
      </c>
      <c r="T215" t="s">
        <v>1385</v>
      </c>
    </row>
    <row r="216" spans="1:20" x14ac:dyDescent="0.2">
      <c r="A216" t="s">
        <v>138</v>
      </c>
      <c r="B216" t="s">
        <v>1469</v>
      </c>
      <c r="C216" t="s">
        <v>1470</v>
      </c>
      <c r="D216" t="s">
        <v>1038</v>
      </c>
      <c r="E216">
        <v>72</v>
      </c>
      <c r="F216">
        <v>1</v>
      </c>
      <c r="G216">
        <v>157</v>
      </c>
      <c r="H216">
        <v>2006</v>
      </c>
      <c r="I216" t="s">
        <v>1471</v>
      </c>
      <c r="J216" t="s">
        <v>1472</v>
      </c>
      <c r="K216" t="s">
        <v>143</v>
      </c>
      <c r="P216" t="s">
        <v>1352</v>
      </c>
      <c r="R216" t="s">
        <v>319</v>
      </c>
      <c r="S216" t="s">
        <v>1473</v>
      </c>
      <c r="T216" t="s">
        <v>1385</v>
      </c>
    </row>
    <row r="217" spans="1:20" x14ac:dyDescent="0.2">
      <c r="A217" t="s">
        <v>138</v>
      </c>
      <c r="B217" t="s">
        <v>1474</v>
      </c>
      <c r="C217" t="s">
        <v>1475</v>
      </c>
      <c r="D217" t="s">
        <v>1476</v>
      </c>
      <c r="E217">
        <v>134</v>
      </c>
      <c r="F217">
        <v>4</v>
      </c>
      <c r="G217">
        <v>500</v>
      </c>
      <c r="H217">
        <v>2008</v>
      </c>
      <c r="I217" t="s">
        <v>376</v>
      </c>
      <c r="J217" t="s">
        <v>1477</v>
      </c>
      <c r="K217" t="s">
        <v>1467</v>
      </c>
      <c r="P217" t="s">
        <v>1352</v>
      </c>
      <c r="Q217" t="s">
        <v>1478</v>
      </c>
      <c r="R217" t="s">
        <v>319</v>
      </c>
      <c r="S217" t="s">
        <v>1479</v>
      </c>
      <c r="T217" t="s">
        <v>1385</v>
      </c>
    </row>
    <row r="218" spans="1:20" x14ac:dyDescent="0.2">
      <c r="A218" t="s">
        <v>138</v>
      </c>
      <c r="B218" t="s">
        <v>1480</v>
      </c>
      <c r="C218" t="s">
        <v>1481</v>
      </c>
      <c r="D218" t="s">
        <v>1482</v>
      </c>
      <c r="F218">
        <v>154</v>
      </c>
      <c r="G218" t="s">
        <v>1483</v>
      </c>
      <c r="H218">
        <v>1984</v>
      </c>
      <c r="I218" t="s">
        <v>1484</v>
      </c>
      <c r="J218" t="s">
        <v>186</v>
      </c>
      <c r="K218" t="s">
        <v>143</v>
      </c>
      <c r="P218" t="s">
        <v>1352</v>
      </c>
      <c r="R218" t="s">
        <v>319</v>
      </c>
      <c r="S218" t="s">
        <v>1485</v>
      </c>
      <c r="T218" t="s">
        <v>1385</v>
      </c>
    </row>
    <row r="219" spans="1:20" x14ac:dyDescent="0.2">
      <c r="A219" t="s">
        <v>138</v>
      </c>
      <c r="B219" t="s">
        <v>1486</v>
      </c>
      <c r="C219" t="s">
        <v>1487</v>
      </c>
      <c r="D219" t="s">
        <v>1488</v>
      </c>
      <c r="E219">
        <v>28</v>
      </c>
      <c r="F219">
        <v>3</v>
      </c>
      <c r="G219">
        <v>139</v>
      </c>
      <c r="H219">
        <v>2020</v>
      </c>
      <c r="I219" t="s">
        <v>704</v>
      </c>
      <c r="J219" t="s">
        <v>186</v>
      </c>
      <c r="K219" t="s">
        <v>143</v>
      </c>
      <c r="P219" t="s">
        <v>1352</v>
      </c>
      <c r="R219" t="s">
        <v>319</v>
      </c>
      <c r="S219" t="s">
        <v>1489</v>
      </c>
      <c r="T219" t="s">
        <v>1385</v>
      </c>
    </row>
    <row r="220" spans="1:20" x14ac:dyDescent="0.2">
      <c r="A220" t="s">
        <v>138</v>
      </c>
      <c r="B220" t="s">
        <v>1490</v>
      </c>
      <c r="C220" t="s">
        <v>1491</v>
      </c>
      <c r="D220" t="s">
        <v>190</v>
      </c>
      <c r="E220">
        <v>36</v>
      </c>
      <c r="F220">
        <v>5</v>
      </c>
      <c r="G220">
        <v>620</v>
      </c>
      <c r="H220">
        <v>1995</v>
      </c>
      <c r="I220" t="s">
        <v>1492</v>
      </c>
      <c r="J220" t="s">
        <v>1493</v>
      </c>
      <c r="K220" t="s">
        <v>143</v>
      </c>
      <c r="P220" t="s">
        <v>1352</v>
      </c>
      <c r="R220" t="s">
        <v>319</v>
      </c>
      <c r="S220" t="s">
        <v>1494</v>
      </c>
      <c r="T220" t="s">
        <v>1385</v>
      </c>
    </row>
    <row r="221" spans="1:20" x14ac:dyDescent="0.2">
      <c r="A221" t="s">
        <v>138</v>
      </c>
      <c r="B221" t="s">
        <v>1495</v>
      </c>
      <c r="C221" t="s">
        <v>1496</v>
      </c>
      <c r="D221" t="s">
        <v>1497</v>
      </c>
      <c r="E221">
        <v>27</v>
      </c>
      <c r="F221">
        <v>5</v>
      </c>
      <c r="G221">
        <v>661</v>
      </c>
      <c r="H221">
        <v>2003</v>
      </c>
      <c r="I221" t="s">
        <v>420</v>
      </c>
      <c r="J221" t="s">
        <v>1498</v>
      </c>
      <c r="K221" t="s">
        <v>143</v>
      </c>
      <c r="P221" t="s">
        <v>1352</v>
      </c>
      <c r="R221" t="s">
        <v>319</v>
      </c>
      <c r="S221" t="s">
        <v>1499</v>
      </c>
      <c r="T221" t="s">
        <v>1385</v>
      </c>
    </row>
    <row r="222" spans="1:20" x14ac:dyDescent="0.2">
      <c r="A222" t="s">
        <v>138</v>
      </c>
      <c r="B222" t="s">
        <v>1500</v>
      </c>
      <c r="C222" t="s">
        <v>1501</v>
      </c>
      <c r="D222" t="s">
        <v>1502</v>
      </c>
      <c r="E222">
        <v>119</v>
      </c>
      <c r="F222">
        <v>977</v>
      </c>
      <c r="G222">
        <v>1</v>
      </c>
      <c r="H222">
        <v>2017</v>
      </c>
      <c r="I222" t="s">
        <v>475</v>
      </c>
      <c r="J222" t="s">
        <v>1503</v>
      </c>
      <c r="K222" t="s">
        <v>143</v>
      </c>
      <c r="P222" t="s">
        <v>1352</v>
      </c>
      <c r="R222" t="s">
        <v>319</v>
      </c>
      <c r="S222" t="s">
        <v>1504</v>
      </c>
      <c r="T222" t="s">
        <v>1385</v>
      </c>
    </row>
    <row r="223" spans="1:20" x14ac:dyDescent="0.2">
      <c r="A223" t="s">
        <v>138</v>
      </c>
      <c r="B223" t="s">
        <v>1505</v>
      </c>
      <c r="C223" t="s">
        <v>1506</v>
      </c>
      <c r="D223" t="s">
        <v>1507</v>
      </c>
      <c r="E223">
        <v>38</v>
      </c>
      <c r="F223">
        <v>4</v>
      </c>
      <c r="G223">
        <v>250</v>
      </c>
      <c r="H223">
        <v>2006</v>
      </c>
      <c r="I223" t="s">
        <v>755</v>
      </c>
      <c r="J223" t="s">
        <v>1508</v>
      </c>
      <c r="K223" t="s">
        <v>143</v>
      </c>
      <c r="P223" t="s">
        <v>1352</v>
      </c>
      <c r="R223" t="s">
        <v>319</v>
      </c>
      <c r="S223" t="s">
        <v>1509</v>
      </c>
      <c r="T223" t="s">
        <v>1385</v>
      </c>
    </row>
    <row r="224" spans="1:20" x14ac:dyDescent="0.2">
      <c r="A224" t="s">
        <v>138</v>
      </c>
      <c r="B224" t="s">
        <v>1510</v>
      </c>
      <c r="C224" t="s">
        <v>1511</v>
      </c>
      <c r="D224" t="s">
        <v>1512</v>
      </c>
      <c r="E224">
        <v>55</v>
      </c>
      <c r="F224">
        <v>5</v>
      </c>
      <c r="G224">
        <v>521</v>
      </c>
      <c r="H224">
        <v>1966</v>
      </c>
      <c r="I224" t="s">
        <v>1120</v>
      </c>
      <c r="J224" t="s">
        <v>1513</v>
      </c>
      <c r="K224" t="s">
        <v>1467</v>
      </c>
      <c r="P224" t="s">
        <v>1352</v>
      </c>
      <c r="Q224" t="s">
        <v>1478</v>
      </c>
      <c r="R224" t="s">
        <v>319</v>
      </c>
      <c r="S224" t="s">
        <v>1514</v>
      </c>
      <c r="T224" t="s">
        <v>1385</v>
      </c>
    </row>
    <row r="225" spans="1:20" x14ac:dyDescent="0.2">
      <c r="A225" t="s">
        <v>138</v>
      </c>
      <c r="B225" t="s">
        <v>1515</v>
      </c>
      <c r="C225" t="s">
        <v>1516</v>
      </c>
      <c r="D225" t="s">
        <v>1517</v>
      </c>
      <c r="E225">
        <v>19</v>
      </c>
      <c r="F225">
        <v>5</v>
      </c>
      <c r="G225">
        <v>3643</v>
      </c>
      <c r="H225">
        <v>2021</v>
      </c>
      <c r="I225" t="s">
        <v>1125</v>
      </c>
      <c r="J225" t="s">
        <v>1518</v>
      </c>
      <c r="K225" t="s">
        <v>143</v>
      </c>
      <c r="P225" t="s">
        <v>1352</v>
      </c>
      <c r="R225" t="s">
        <v>319</v>
      </c>
      <c r="S225" t="s">
        <v>1519</v>
      </c>
      <c r="T225" t="s">
        <v>1385</v>
      </c>
    </row>
    <row r="226" spans="1:20" x14ac:dyDescent="0.2">
      <c r="A226" t="s">
        <v>138</v>
      </c>
      <c r="B226" t="s">
        <v>1520</v>
      </c>
      <c r="C226" t="s">
        <v>1521</v>
      </c>
      <c r="D226" t="s">
        <v>190</v>
      </c>
      <c r="E226">
        <v>34</v>
      </c>
      <c r="F226">
        <v>2</v>
      </c>
      <c r="G226">
        <v>153</v>
      </c>
      <c r="H226">
        <v>1993</v>
      </c>
      <c r="I226" t="s">
        <v>1522</v>
      </c>
      <c r="J226" t="s">
        <v>186</v>
      </c>
      <c r="K226" t="s">
        <v>143</v>
      </c>
      <c r="P226" t="s">
        <v>1352</v>
      </c>
      <c r="R226" t="s">
        <v>319</v>
      </c>
      <c r="S226" t="s">
        <v>1523</v>
      </c>
      <c r="T226" t="s">
        <v>1385</v>
      </c>
    </row>
    <row r="227" spans="1:20" x14ac:dyDescent="0.2">
      <c r="A227" t="s">
        <v>138</v>
      </c>
      <c r="B227" t="s">
        <v>1524</v>
      </c>
      <c r="C227" t="s">
        <v>1525</v>
      </c>
      <c r="D227" t="s">
        <v>1526</v>
      </c>
      <c r="E227">
        <v>25</v>
      </c>
      <c r="F227">
        <v>4</v>
      </c>
      <c r="G227">
        <v>423</v>
      </c>
      <c r="H227">
        <v>2013</v>
      </c>
      <c r="I227" t="s">
        <v>1527</v>
      </c>
      <c r="J227" t="s">
        <v>1528</v>
      </c>
      <c r="K227" t="s">
        <v>143</v>
      </c>
      <c r="P227" t="s">
        <v>1352</v>
      </c>
      <c r="R227" t="s">
        <v>319</v>
      </c>
      <c r="S227" t="s">
        <v>1529</v>
      </c>
      <c r="T227" t="s">
        <v>1385</v>
      </c>
    </row>
    <row r="228" spans="1:20" x14ac:dyDescent="0.2">
      <c r="A228" t="s">
        <v>138</v>
      </c>
      <c r="B228" t="s">
        <v>1530</v>
      </c>
      <c r="C228" t="s">
        <v>1531</v>
      </c>
      <c r="D228" t="s">
        <v>1532</v>
      </c>
      <c r="E228">
        <v>27</v>
      </c>
      <c r="F228">
        <v>9</v>
      </c>
      <c r="G228">
        <v>1357</v>
      </c>
      <c r="H228">
        <v>1997</v>
      </c>
      <c r="I228" t="s">
        <v>1533</v>
      </c>
      <c r="J228" t="s">
        <v>1534</v>
      </c>
      <c r="K228" t="s">
        <v>143</v>
      </c>
      <c r="P228" t="s">
        <v>1352</v>
      </c>
      <c r="R228" t="s">
        <v>319</v>
      </c>
      <c r="S228" t="s">
        <v>1535</v>
      </c>
      <c r="T228" t="s">
        <v>1385</v>
      </c>
    </row>
    <row r="229" spans="1:20" x14ac:dyDescent="0.2">
      <c r="A229" t="s">
        <v>138</v>
      </c>
      <c r="B229" t="s">
        <v>1536</v>
      </c>
      <c r="C229" t="s">
        <v>1537</v>
      </c>
      <c r="D229" t="s">
        <v>1538</v>
      </c>
      <c r="E229">
        <v>43</v>
      </c>
      <c r="F229">
        <v>4</v>
      </c>
      <c r="G229">
        <v>456</v>
      </c>
      <c r="H229">
        <v>1989</v>
      </c>
      <c r="I229" t="s">
        <v>1539</v>
      </c>
      <c r="J229" t="s">
        <v>1540</v>
      </c>
      <c r="K229" t="s">
        <v>1467</v>
      </c>
      <c r="P229" t="s">
        <v>1352</v>
      </c>
      <c r="Q229" t="s">
        <v>1478</v>
      </c>
      <c r="R229" t="s">
        <v>319</v>
      </c>
      <c r="S229" t="s">
        <v>1541</v>
      </c>
      <c r="T229" t="s">
        <v>233</v>
      </c>
    </row>
    <row r="230" spans="1:20" x14ac:dyDescent="0.2">
      <c r="A230" t="s">
        <v>138</v>
      </c>
      <c r="B230" t="s">
        <v>1542</v>
      </c>
      <c r="C230" t="s">
        <v>1543</v>
      </c>
      <c r="D230" t="s">
        <v>948</v>
      </c>
      <c r="E230">
        <v>54</v>
      </c>
      <c r="F230">
        <v>2</v>
      </c>
      <c r="G230">
        <v>305</v>
      </c>
      <c r="H230">
        <v>2006</v>
      </c>
      <c r="I230" t="s">
        <v>1544</v>
      </c>
      <c r="J230" t="s">
        <v>1545</v>
      </c>
      <c r="K230" t="s">
        <v>143</v>
      </c>
      <c r="P230" t="s">
        <v>1352</v>
      </c>
      <c r="R230" t="s">
        <v>319</v>
      </c>
      <c r="S230" t="s">
        <v>1546</v>
      </c>
      <c r="T230" t="s">
        <v>233</v>
      </c>
    </row>
    <row r="231" spans="1:20" x14ac:dyDescent="0.2">
      <c r="A231" t="s">
        <v>138</v>
      </c>
      <c r="B231" t="s">
        <v>1547</v>
      </c>
      <c r="C231" t="s">
        <v>1548</v>
      </c>
      <c r="D231" t="s">
        <v>1549</v>
      </c>
      <c r="E231">
        <v>5</v>
      </c>
      <c r="G231">
        <v>93</v>
      </c>
      <c r="H231">
        <v>1969</v>
      </c>
      <c r="I231" t="s">
        <v>1550</v>
      </c>
      <c r="J231" t="s">
        <v>186</v>
      </c>
      <c r="K231" t="s">
        <v>143</v>
      </c>
      <c r="P231" t="s">
        <v>1352</v>
      </c>
      <c r="R231" t="s">
        <v>319</v>
      </c>
      <c r="S231" t="s">
        <v>1551</v>
      </c>
      <c r="T231" t="s">
        <v>233</v>
      </c>
    </row>
    <row r="232" spans="1:20" x14ac:dyDescent="0.2">
      <c r="A232" t="s">
        <v>138</v>
      </c>
      <c r="B232" t="s">
        <v>1552</v>
      </c>
      <c r="C232" t="s">
        <v>1553</v>
      </c>
      <c r="D232" t="s">
        <v>1554</v>
      </c>
      <c r="E232">
        <v>38</v>
      </c>
      <c r="F232">
        <v>6</v>
      </c>
      <c r="G232">
        <v>894</v>
      </c>
      <c r="H232">
        <v>2018</v>
      </c>
      <c r="I232" t="s">
        <v>672</v>
      </c>
      <c r="J232" t="s">
        <v>186</v>
      </c>
      <c r="K232" t="s">
        <v>143</v>
      </c>
      <c r="P232" t="s">
        <v>1352</v>
      </c>
      <c r="R232" t="s">
        <v>319</v>
      </c>
      <c r="S232" t="s">
        <v>1555</v>
      </c>
      <c r="T232" t="s">
        <v>233</v>
      </c>
    </row>
    <row r="233" spans="1:20" x14ac:dyDescent="0.2">
      <c r="A233" t="s">
        <v>138</v>
      </c>
      <c r="B233" t="s">
        <v>1556</v>
      </c>
      <c r="C233" t="s">
        <v>1557</v>
      </c>
      <c r="D233" t="s">
        <v>1558</v>
      </c>
      <c r="E233">
        <v>27</v>
      </c>
      <c r="F233">
        <v>4</v>
      </c>
      <c r="G233">
        <v>371</v>
      </c>
      <c r="H233">
        <v>2011</v>
      </c>
      <c r="I233" t="s">
        <v>1559</v>
      </c>
      <c r="J233" t="s">
        <v>1560</v>
      </c>
      <c r="K233" t="s">
        <v>143</v>
      </c>
      <c r="P233" t="s">
        <v>1352</v>
      </c>
      <c r="R233" t="s">
        <v>319</v>
      </c>
      <c r="S233" t="s">
        <v>1561</v>
      </c>
      <c r="T233" t="s">
        <v>233</v>
      </c>
    </row>
    <row r="234" spans="1:20" x14ac:dyDescent="0.2">
      <c r="A234" t="s">
        <v>138</v>
      </c>
      <c r="B234" t="s">
        <v>1562</v>
      </c>
      <c r="C234" t="s">
        <v>1563</v>
      </c>
      <c r="D234" t="s">
        <v>1564</v>
      </c>
      <c r="E234">
        <v>24</v>
      </c>
      <c r="F234">
        <v>1</v>
      </c>
      <c r="G234">
        <v>59</v>
      </c>
      <c r="H234">
        <v>2007</v>
      </c>
      <c r="I234" t="s">
        <v>1565</v>
      </c>
      <c r="J234" t="s">
        <v>1566</v>
      </c>
      <c r="K234" t="s">
        <v>143</v>
      </c>
      <c r="P234" t="s">
        <v>1352</v>
      </c>
      <c r="R234" t="s">
        <v>319</v>
      </c>
      <c r="S234" t="s">
        <v>1567</v>
      </c>
      <c r="T234" t="s">
        <v>233</v>
      </c>
    </row>
    <row r="235" spans="1:20" x14ac:dyDescent="0.2">
      <c r="A235" t="s">
        <v>138</v>
      </c>
      <c r="B235" t="s">
        <v>1568</v>
      </c>
      <c r="C235" t="s">
        <v>1569</v>
      </c>
      <c r="D235" t="s">
        <v>1570</v>
      </c>
      <c r="E235">
        <v>37</v>
      </c>
      <c r="F235">
        <v>10</v>
      </c>
      <c r="G235">
        <v>2033</v>
      </c>
      <c r="H235">
        <v>2017</v>
      </c>
      <c r="I235" t="s">
        <v>1571</v>
      </c>
      <c r="J235" t="s">
        <v>1051</v>
      </c>
      <c r="K235" t="s">
        <v>143</v>
      </c>
      <c r="P235" t="s">
        <v>1352</v>
      </c>
      <c r="R235" t="s">
        <v>319</v>
      </c>
      <c r="S235" t="s">
        <v>1572</v>
      </c>
      <c r="T235" t="s">
        <v>233</v>
      </c>
    </row>
    <row r="236" spans="1:20" x14ac:dyDescent="0.2">
      <c r="A236" t="s">
        <v>138</v>
      </c>
      <c r="B236" t="s">
        <v>1573</v>
      </c>
      <c r="C236" t="s">
        <v>1574</v>
      </c>
      <c r="D236" t="s">
        <v>1575</v>
      </c>
      <c r="E236">
        <v>38</v>
      </c>
      <c r="F236">
        <v>2</v>
      </c>
      <c r="G236">
        <v>57</v>
      </c>
      <c r="H236">
        <v>2014</v>
      </c>
      <c r="I236" t="s">
        <v>1576</v>
      </c>
      <c r="J236" t="s">
        <v>1577</v>
      </c>
      <c r="K236" t="s">
        <v>143</v>
      </c>
      <c r="P236" t="s">
        <v>1352</v>
      </c>
      <c r="R236" t="s">
        <v>319</v>
      </c>
      <c r="S236" t="s">
        <v>1578</v>
      </c>
      <c r="T236" t="s">
        <v>233</v>
      </c>
    </row>
    <row r="237" spans="1:20" x14ac:dyDescent="0.2">
      <c r="A237" t="s">
        <v>138</v>
      </c>
      <c r="B237" t="s">
        <v>1579</v>
      </c>
      <c r="C237" t="s">
        <v>1580</v>
      </c>
      <c r="D237" t="s">
        <v>1581</v>
      </c>
      <c r="E237">
        <v>13</v>
      </c>
      <c r="F237">
        <v>6</v>
      </c>
      <c r="H237">
        <v>2021</v>
      </c>
      <c r="I237" t="s">
        <v>1582</v>
      </c>
      <c r="J237" t="s">
        <v>1583</v>
      </c>
      <c r="K237" t="s">
        <v>143</v>
      </c>
      <c r="P237" t="s">
        <v>1352</v>
      </c>
      <c r="R237" t="s">
        <v>319</v>
      </c>
      <c r="S237" t="s">
        <v>1584</v>
      </c>
      <c r="T237" t="s">
        <v>233</v>
      </c>
    </row>
    <row r="238" spans="1:20" x14ac:dyDescent="0.2">
      <c r="A238" t="s">
        <v>138</v>
      </c>
      <c r="B238" t="s">
        <v>1585</v>
      </c>
      <c r="C238" t="s">
        <v>1586</v>
      </c>
      <c r="D238" t="s">
        <v>659</v>
      </c>
      <c r="E238">
        <v>291</v>
      </c>
      <c r="H238">
        <v>2022</v>
      </c>
      <c r="I238" t="s">
        <v>510</v>
      </c>
      <c r="J238" t="s">
        <v>1587</v>
      </c>
      <c r="K238" t="s">
        <v>143</v>
      </c>
      <c r="P238" t="s">
        <v>1352</v>
      </c>
      <c r="R238" t="s">
        <v>319</v>
      </c>
      <c r="S238" t="s">
        <v>1588</v>
      </c>
      <c r="T238" t="s">
        <v>233</v>
      </c>
    </row>
    <row r="239" spans="1:20" x14ac:dyDescent="0.2">
      <c r="A239" t="s">
        <v>138</v>
      </c>
      <c r="B239" t="s">
        <v>1589</v>
      </c>
      <c r="C239" t="s">
        <v>1590</v>
      </c>
      <c r="D239" t="s">
        <v>185</v>
      </c>
      <c r="E239">
        <v>39</v>
      </c>
      <c r="F239">
        <v>1</v>
      </c>
      <c r="G239">
        <v>82</v>
      </c>
      <c r="H239">
        <v>2011</v>
      </c>
      <c r="I239" t="s">
        <v>1591</v>
      </c>
      <c r="J239" t="s">
        <v>1592</v>
      </c>
      <c r="K239" t="s">
        <v>143</v>
      </c>
      <c r="P239" t="s">
        <v>1352</v>
      </c>
      <c r="R239" t="s">
        <v>319</v>
      </c>
      <c r="S239" t="s">
        <v>1561</v>
      </c>
      <c r="T239" t="s">
        <v>233</v>
      </c>
    </row>
    <row r="240" spans="1:20" x14ac:dyDescent="0.2">
      <c r="A240" t="s">
        <v>138</v>
      </c>
      <c r="B240" t="s">
        <v>1593</v>
      </c>
      <c r="C240" t="s">
        <v>1594</v>
      </c>
      <c r="D240" t="s">
        <v>1595</v>
      </c>
      <c r="E240">
        <v>44</v>
      </c>
      <c r="F240">
        <v>6</v>
      </c>
      <c r="G240">
        <v>14</v>
      </c>
      <c r="H240">
        <v>2016</v>
      </c>
      <c r="I240" t="s">
        <v>1596</v>
      </c>
      <c r="J240" t="s">
        <v>1597</v>
      </c>
      <c r="K240" t="s">
        <v>143</v>
      </c>
      <c r="P240" t="s">
        <v>1352</v>
      </c>
      <c r="R240" t="s">
        <v>319</v>
      </c>
      <c r="S240" t="s">
        <v>1598</v>
      </c>
      <c r="T240" t="s">
        <v>233</v>
      </c>
    </row>
    <row r="241" spans="1:20" x14ac:dyDescent="0.2">
      <c r="A241" t="s">
        <v>138</v>
      </c>
      <c r="B241" t="s">
        <v>1599</v>
      </c>
      <c r="C241" t="s">
        <v>1600</v>
      </c>
      <c r="D241" t="s">
        <v>1601</v>
      </c>
      <c r="E241">
        <v>15</v>
      </c>
      <c r="F241">
        <v>1</v>
      </c>
      <c r="G241">
        <v>39</v>
      </c>
      <c r="H241">
        <v>2010</v>
      </c>
      <c r="I241" t="s">
        <v>1602</v>
      </c>
      <c r="J241" t="s">
        <v>1603</v>
      </c>
      <c r="K241" t="s">
        <v>143</v>
      </c>
      <c r="P241" t="s">
        <v>1352</v>
      </c>
      <c r="R241" t="s">
        <v>319</v>
      </c>
      <c r="S241" t="s">
        <v>1604</v>
      </c>
      <c r="T241" t="s">
        <v>233</v>
      </c>
    </row>
    <row r="242" spans="1:20" x14ac:dyDescent="0.2">
      <c r="A242" t="s">
        <v>138</v>
      </c>
      <c r="B242" t="s">
        <v>1605</v>
      </c>
      <c r="C242" t="s">
        <v>1606</v>
      </c>
      <c r="D242" t="s">
        <v>850</v>
      </c>
      <c r="E242">
        <v>28</v>
      </c>
      <c r="F242">
        <v>2</v>
      </c>
      <c r="G242">
        <v>253</v>
      </c>
      <c r="H242">
        <v>2015</v>
      </c>
      <c r="I242" t="s">
        <v>446</v>
      </c>
      <c r="J242" t="s">
        <v>635</v>
      </c>
      <c r="K242" t="s">
        <v>143</v>
      </c>
      <c r="P242" t="s">
        <v>1352</v>
      </c>
      <c r="R242" t="s">
        <v>319</v>
      </c>
      <c r="S242" t="s">
        <v>1607</v>
      </c>
      <c r="T242" t="s">
        <v>233</v>
      </c>
    </row>
    <row r="243" spans="1:20" x14ac:dyDescent="0.2">
      <c r="A243" t="s">
        <v>138</v>
      </c>
      <c r="B243" t="s">
        <v>1608</v>
      </c>
      <c r="C243" t="s">
        <v>1609</v>
      </c>
      <c r="D243" t="s">
        <v>1610</v>
      </c>
      <c r="E243">
        <v>67</v>
      </c>
      <c r="F243">
        <v>1</v>
      </c>
      <c r="G243">
        <v>9</v>
      </c>
      <c r="H243">
        <v>2013</v>
      </c>
      <c r="I243" t="s">
        <v>1522</v>
      </c>
      <c r="J243" t="s">
        <v>1611</v>
      </c>
      <c r="K243" t="s">
        <v>1467</v>
      </c>
      <c r="P243" t="s">
        <v>1352</v>
      </c>
      <c r="R243" t="s">
        <v>319</v>
      </c>
      <c r="S243" t="s">
        <v>1612</v>
      </c>
      <c r="T243" t="s">
        <v>233</v>
      </c>
    </row>
    <row r="244" spans="1:20" x14ac:dyDescent="0.2">
      <c r="A244" t="s">
        <v>138</v>
      </c>
      <c r="B244" t="s">
        <v>1613</v>
      </c>
      <c r="C244" t="s">
        <v>1614</v>
      </c>
      <c r="D244" t="s">
        <v>584</v>
      </c>
      <c r="E244">
        <v>11</v>
      </c>
      <c r="F244">
        <v>4</v>
      </c>
      <c r="G244">
        <v>373</v>
      </c>
      <c r="H244">
        <v>1996</v>
      </c>
      <c r="I244" t="s">
        <v>1615</v>
      </c>
      <c r="J244" t="s">
        <v>1616</v>
      </c>
      <c r="K244" t="s">
        <v>143</v>
      </c>
      <c r="P244" t="s">
        <v>1352</v>
      </c>
      <c r="R244" t="s">
        <v>319</v>
      </c>
      <c r="S244" t="s">
        <v>1617</v>
      </c>
      <c r="T244" t="s">
        <v>233</v>
      </c>
    </row>
    <row r="245" spans="1:20" x14ac:dyDescent="0.2">
      <c r="A245" t="s">
        <v>138</v>
      </c>
      <c r="B245" t="s">
        <v>1618</v>
      </c>
      <c r="C245" t="s">
        <v>1619</v>
      </c>
      <c r="D245" t="s">
        <v>1620</v>
      </c>
      <c r="E245">
        <v>8</v>
      </c>
      <c r="F245">
        <v>2</v>
      </c>
      <c r="G245">
        <v>143</v>
      </c>
      <c r="H245">
        <v>1993</v>
      </c>
      <c r="I245" t="s">
        <v>1621</v>
      </c>
      <c r="J245" t="s">
        <v>1622</v>
      </c>
      <c r="K245" t="s">
        <v>143</v>
      </c>
      <c r="P245" t="s">
        <v>1352</v>
      </c>
      <c r="R245" t="s">
        <v>319</v>
      </c>
      <c r="S245" t="s">
        <v>1623</v>
      </c>
      <c r="T245" t="s">
        <v>233</v>
      </c>
    </row>
    <row r="246" spans="1:20" x14ac:dyDescent="0.2">
      <c r="A246" t="s">
        <v>138</v>
      </c>
      <c r="B246" t="s">
        <v>1624</v>
      </c>
      <c r="C246" t="s">
        <v>1625</v>
      </c>
      <c r="D246" t="s">
        <v>1626</v>
      </c>
      <c r="E246">
        <v>36</v>
      </c>
      <c r="F246">
        <v>4</v>
      </c>
      <c r="G246">
        <v>15</v>
      </c>
      <c r="H246">
        <v>2016</v>
      </c>
      <c r="I246" t="s">
        <v>459</v>
      </c>
      <c r="J246" t="s">
        <v>1627</v>
      </c>
      <c r="K246" t="s">
        <v>143</v>
      </c>
      <c r="P246" t="s">
        <v>1352</v>
      </c>
      <c r="R246" t="s">
        <v>319</v>
      </c>
      <c r="S246" t="s">
        <v>1628</v>
      </c>
      <c r="T246" t="s">
        <v>233</v>
      </c>
    </row>
    <row r="247" spans="1:20" x14ac:dyDescent="0.2">
      <c r="A247" t="s">
        <v>138</v>
      </c>
      <c r="B247" t="s">
        <v>1629</v>
      </c>
      <c r="C247" t="s">
        <v>1630</v>
      </c>
      <c r="D247" t="s">
        <v>1631</v>
      </c>
      <c r="E247">
        <v>32</v>
      </c>
      <c r="F247">
        <v>1</v>
      </c>
      <c r="G247">
        <v>69</v>
      </c>
      <c r="H247">
        <v>2012</v>
      </c>
      <c r="I247" t="s">
        <v>1632</v>
      </c>
      <c r="J247" t="s">
        <v>1343</v>
      </c>
      <c r="K247" t="s">
        <v>143</v>
      </c>
      <c r="P247" t="s">
        <v>1352</v>
      </c>
      <c r="R247" t="s">
        <v>319</v>
      </c>
      <c r="S247" t="s">
        <v>1633</v>
      </c>
      <c r="T247" t="s">
        <v>233</v>
      </c>
    </row>
    <row r="248" spans="1:20" x14ac:dyDescent="0.2">
      <c r="A248" t="s">
        <v>138</v>
      </c>
      <c r="B248" t="s">
        <v>1634</v>
      </c>
      <c r="C248" t="s">
        <v>1635</v>
      </c>
      <c r="D248" t="s">
        <v>734</v>
      </c>
      <c r="E248">
        <v>13</v>
      </c>
      <c r="F248">
        <v>4</v>
      </c>
      <c r="G248">
        <v>55</v>
      </c>
      <c r="H248">
        <v>2004</v>
      </c>
      <c r="I248" t="s">
        <v>1636</v>
      </c>
      <c r="J248" t="s">
        <v>1637</v>
      </c>
      <c r="K248" t="s">
        <v>143</v>
      </c>
      <c r="P248" t="s">
        <v>1352</v>
      </c>
      <c r="R248" t="s">
        <v>319</v>
      </c>
      <c r="S248" t="s">
        <v>1638</v>
      </c>
      <c r="T248" t="s">
        <v>233</v>
      </c>
    </row>
    <row r="249" spans="1:20" x14ac:dyDescent="0.2">
      <c r="A249" t="s">
        <v>138</v>
      </c>
      <c r="B249" t="s">
        <v>1639</v>
      </c>
      <c r="C249" t="s">
        <v>1640</v>
      </c>
      <c r="D249" t="s">
        <v>1641</v>
      </c>
      <c r="E249">
        <v>33</v>
      </c>
      <c r="F249">
        <v>3</v>
      </c>
      <c r="G249">
        <v>279</v>
      </c>
      <c r="H249">
        <v>1999</v>
      </c>
      <c r="I249" t="s">
        <v>360</v>
      </c>
      <c r="J249" t="s">
        <v>361</v>
      </c>
      <c r="K249" t="s">
        <v>143</v>
      </c>
      <c r="N249" t="s">
        <v>3052</v>
      </c>
      <c r="P249" t="s">
        <v>1352</v>
      </c>
      <c r="R249" t="s">
        <v>267</v>
      </c>
      <c r="S249" t="s">
        <v>1642</v>
      </c>
      <c r="T249" t="s">
        <v>1149</v>
      </c>
    </row>
    <row r="250" spans="1:20" x14ac:dyDescent="0.2">
      <c r="A250" t="s">
        <v>138</v>
      </c>
      <c r="B250" t="s">
        <v>1643</v>
      </c>
      <c r="C250" t="s">
        <v>1644</v>
      </c>
      <c r="D250" t="s">
        <v>1645</v>
      </c>
      <c r="E250">
        <v>29</v>
      </c>
      <c r="F250">
        <v>1</v>
      </c>
      <c r="G250">
        <v>26</v>
      </c>
      <c r="H250">
        <v>2009</v>
      </c>
      <c r="I250" t="s">
        <v>1646</v>
      </c>
      <c r="J250" t="s">
        <v>1647</v>
      </c>
      <c r="K250" t="s">
        <v>143</v>
      </c>
      <c r="N250" t="s">
        <v>144</v>
      </c>
      <c r="P250" t="s">
        <v>1352</v>
      </c>
      <c r="R250" t="s">
        <v>267</v>
      </c>
      <c r="S250" t="s">
        <v>1648</v>
      </c>
      <c r="T250" t="s">
        <v>1149</v>
      </c>
    </row>
    <row r="251" spans="1:20" x14ac:dyDescent="0.2">
      <c r="A251" t="s">
        <v>138</v>
      </c>
      <c r="B251" t="s">
        <v>1649</v>
      </c>
      <c r="C251" t="s">
        <v>1650</v>
      </c>
      <c r="D251" t="s">
        <v>1651</v>
      </c>
      <c r="E251">
        <v>37</v>
      </c>
      <c r="F251">
        <v>4</v>
      </c>
      <c r="G251">
        <v>396</v>
      </c>
      <c r="H251">
        <v>1988</v>
      </c>
      <c r="I251" t="s">
        <v>1652</v>
      </c>
      <c r="J251" t="s">
        <v>1653</v>
      </c>
      <c r="K251" t="s">
        <v>143</v>
      </c>
      <c r="N251" t="s">
        <v>3053</v>
      </c>
      <c r="P251" t="s">
        <v>1352</v>
      </c>
      <c r="R251" t="s">
        <v>319</v>
      </c>
      <c r="S251" t="s">
        <v>1654</v>
      </c>
      <c r="T251" t="s">
        <v>1149</v>
      </c>
    </row>
    <row r="252" spans="1:20" x14ac:dyDescent="0.2">
      <c r="A252" t="s">
        <v>138</v>
      </c>
      <c r="B252" t="s">
        <v>1655</v>
      </c>
      <c r="C252" t="s">
        <v>1656</v>
      </c>
      <c r="D252" t="s">
        <v>185</v>
      </c>
      <c r="E252">
        <v>41</v>
      </c>
      <c r="F252">
        <v>3</v>
      </c>
      <c r="G252">
        <v>321</v>
      </c>
      <c r="H252">
        <v>2013</v>
      </c>
      <c r="I252" t="s">
        <v>1533</v>
      </c>
      <c r="J252" t="s">
        <v>1657</v>
      </c>
      <c r="K252" t="s">
        <v>143</v>
      </c>
      <c r="P252" t="s">
        <v>1352</v>
      </c>
      <c r="R252" t="s">
        <v>319</v>
      </c>
      <c r="S252" t="s">
        <v>1658</v>
      </c>
      <c r="T252" t="s">
        <v>1149</v>
      </c>
    </row>
    <row r="253" spans="1:20" x14ac:dyDescent="0.2">
      <c r="A253" t="s">
        <v>138</v>
      </c>
      <c r="B253" t="s">
        <v>1659</v>
      </c>
      <c r="C253" t="s">
        <v>1660</v>
      </c>
      <c r="D253" t="s">
        <v>659</v>
      </c>
      <c r="E253">
        <v>256</v>
      </c>
      <c r="H253">
        <v>2019</v>
      </c>
      <c r="I253" t="s">
        <v>1661</v>
      </c>
      <c r="J253" t="s">
        <v>1662</v>
      </c>
      <c r="K253" t="s">
        <v>143</v>
      </c>
      <c r="P253" t="s">
        <v>1352</v>
      </c>
      <c r="R253" t="s">
        <v>267</v>
      </c>
      <c r="S253" t="s">
        <v>1663</v>
      </c>
      <c r="T253" t="s">
        <v>1149</v>
      </c>
    </row>
    <row r="254" spans="1:20" x14ac:dyDescent="0.2">
      <c r="A254" t="s">
        <v>488</v>
      </c>
      <c r="B254" t="s">
        <v>1664</v>
      </c>
      <c r="C254" t="s">
        <v>1665</v>
      </c>
      <c r="D254" t="s">
        <v>1666</v>
      </c>
      <c r="E254">
        <v>1020</v>
      </c>
      <c r="G254">
        <v>53</v>
      </c>
      <c r="H254">
        <v>2014</v>
      </c>
      <c r="I254" t="s">
        <v>224</v>
      </c>
      <c r="J254" t="s">
        <v>505</v>
      </c>
      <c r="K254" t="s">
        <v>1165</v>
      </c>
      <c r="L254" t="s">
        <v>1302</v>
      </c>
      <c r="P254" t="s">
        <v>1453</v>
      </c>
      <c r="R254" t="s">
        <v>267</v>
      </c>
      <c r="S254" t="s">
        <v>1667</v>
      </c>
      <c r="T254" t="s">
        <v>1149</v>
      </c>
    </row>
    <row r="255" spans="1:20" x14ac:dyDescent="0.2">
      <c r="A255" t="s">
        <v>138</v>
      </c>
      <c r="B255" t="s">
        <v>1668</v>
      </c>
      <c r="C255" t="s">
        <v>1669</v>
      </c>
      <c r="D255" t="s">
        <v>1670</v>
      </c>
      <c r="E255">
        <v>42</v>
      </c>
      <c r="F255">
        <v>5</v>
      </c>
      <c r="G255">
        <v>30</v>
      </c>
      <c r="H255">
        <v>2014</v>
      </c>
      <c r="I255" t="s">
        <v>224</v>
      </c>
      <c r="J255" t="s">
        <v>1671</v>
      </c>
      <c r="K255" t="s">
        <v>143</v>
      </c>
      <c r="M255" t="s">
        <v>3066</v>
      </c>
      <c r="N255" t="s">
        <v>3065</v>
      </c>
      <c r="P255" t="s">
        <v>1453</v>
      </c>
      <c r="R255" t="s">
        <v>267</v>
      </c>
      <c r="S255" t="s">
        <v>1672</v>
      </c>
      <c r="T255" t="s">
        <v>1149</v>
      </c>
    </row>
    <row r="256" spans="1:20" x14ac:dyDescent="0.2">
      <c r="A256" t="s">
        <v>138</v>
      </c>
      <c r="B256" t="s">
        <v>1673</v>
      </c>
      <c r="C256" t="s">
        <v>1674</v>
      </c>
      <c r="D256" t="s">
        <v>633</v>
      </c>
      <c r="E256">
        <v>31</v>
      </c>
      <c r="F256">
        <v>9</v>
      </c>
      <c r="G256">
        <v>8</v>
      </c>
      <c r="H256">
        <v>2012</v>
      </c>
      <c r="I256" t="s">
        <v>1675</v>
      </c>
      <c r="J256" t="s">
        <v>1676</v>
      </c>
      <c r="K256" t="s">
        <v>143</v>
      </c>
      <c r="M256" t="s">
        <v>3066</v>
      </c>
      <c r="N256" t="s">
        <v>3065</v>
      </c>
      <c r="P256" t="s">
        <v>1352</v>
      </c>
      <c r="R256" t="s">
        <v>267</v>
      </c>
      <c r="S256" t="s">
        <v>1677</v>
      </c>
      <c r="T256" t="s">
        <v>1149</v>
      </c>
    </row>
    <row r="257" spans="1:20" x14ac:dyDescent="0.2">
      <c r="A257" t="s">
        <v>138</v>
      </c>
      <c r="B257" t="s">
        <v>1678</v>
      </c>
      <c r="C257" t="s">
        <v>1679</v>
      </c>
      <c r="D257" t="s">
        <v>1581</v>
      </c>
      <c r="E257">
        <v>10</v>
      </c>
      <c r="F257">
        <v>4</v>
      </c>
      <c r="H257">
        <v>2018</v>
      </c>
      <c r="I257" t="s">
        <v>1680</v>
      </c>
      <c r="J257" t="s">
        <v>1681</v>
      </c>
      <c r="K257" t="s">
        <v>143</v>
      </c>
      <c r="P257" t="s">
        <v>1352</v>
      </c>
      <c r="R257" t="s">
        <v>267</v>
      </c>
      <c r="S257" t="s">
        <v>1682</v>
      </c>
      <c r="T257" t="s">
        <v>1149</v>
      </c>
    </row>
    <row r="258" spans="1:20" x14ac:dyDescent="0.2">
      <c r="A258" t="s">
        <v>138</v>
      </c>
      <c r="B258" t="s">
        <v>1683</v>
      </c>
      <c r="C258" t="s">
        <v>1684</v>
      </c>
      <c r="D258" t="s">
        <v>963</v>
      </c>
      <c r="E258">
        <v>25</v>
      </c>
      <c r="F258">
        <v>1</v>
      </c>
      <c r="G258">
        <v>49</v>
      </c>
      <c r="H258">
        <v>2003</v>
      </c>
      <c r="I258" t="s">
        <v>420</v>
      </c>
      <c r="J258" t="s">
        <v>730</v>
      </c>
      <c r="K258" t="s">
        <v>143</v>
      </c>
      <c r="P258" t="s">
        <v>1352</v>
      </c>
      <c r="R258" t="s">
        <v>267</v>
      </c>
      <c r="S258" t="s">
        <v>1685</v>
      </c>
      <c r="T258" t="s">
        <v>1149</v>
      </c>
    </row>
    <row r="259" spans="1:20" x14ac:dyDescent="0.2">
      <c r="A259" t="s">
        <v>138</v>
      </c>
      <c r="B259" t="s">
        <v>1686</v>
      </c>
      <c r="C259" t="s">
        <v>1687</v>
      </c>
      <c r="D259" t="s">
        <v>366</v>
      </c>
      <c r="E259">
        <v>42</v>
      </c>
      <c r="F259">
        <v>5</v>
      </c>
      <c r="G259">
        <v>1263</v>
      </c>
      <c r="H259">
        <v>2007</v>
      </c>
      <c r="I259" t="s">
        <v>1688</v>
      </c>
      <c r="J259" t="s">
        <v>1331</v>
      </c>
      <c r="K259" t="s">
        <v>143</v>
      </c>
      <c r="P259" t="s">
        <v>1352</v>
      </c>
      <c r="R259" t="s">
        <v>267</v>
      </c>
      <c r="S259" t="s">
        <v>1689</v>
      </c>
      <c r="T259" t="s">
        <v>319</v>
      </c>
    </row>
    <row r="260" spans="1:20" x14ac:dyDescent="0.2">
      <c r="A260" t="s">
        <v>138</v>
      </c>
      <c r="B260" t="s">
        <v>1690</v>
      </c>
      <c r="C260" t="s">
        <v>1691</v>
      </c>
      <c r="D260" t="s">
        <v>1476</v>
      </c>
      <c r="E260">
        <v>116</v>
      </c>
      <c r="F260">
        <v>7</v>
      </c>
      <c r="G260">
        <v>577</v>
      </c>
      <c r="H260">
        <v>1990</v>
      </c>
      <c r="I260" t="s">
        <v>1692</v>
      </c>
      <c r="J260" t="s">
        <v>1693</v>
      </c>
      <c r="K260" t="s">
        <v>143</v>
      </c>
      <c r="P260" t="s">
        <v>1352</v>
      </c>
      <c r="R260" t="s">
        <v>267</v>
      </c>
      <c r="S260" t="s">
        <v>1694</v>
      </c>
      <c r="T260" t="s">
        <v>319</v>
      </c>
    </row>
    <row r="261" spans="1:20" x14ac:dyDescent="0.2">
      <c r="A261" t="s">
        <v>138</v>
      </c>
      <c r="B261" t="s">
        <v>1695</v>
      </c>
      <c r="C261" t="s">
        <v>1696</v>
      </c>
      <c r="D261" t="s">
        <v>1697</v>
      </c>
      <c r="E261">
        <v>352</v>
      </c>
      <c r="G261">
        <v>128</v>
      </c>
      <c r="H261">
        <v>2017</v>
      </c>
      <c r="I261" t="s">
        <v>388</v>
      </c>
      <c r="J261" t="s">
        <v>389</v>
      </c>
      <c r="K261" t="s">
        <v>143</v>
      </c>
      <c r="P261" t="s">
        <v>1352</v>
      </c>
      <c r="R261" t="s">
        <v>267</v>
      </c>
      <c r="S261" t="s">
        <v>1698</v>
      </c>
      <c r="T261" t="s">
        <v>319</v>
      </c>
    </row>
    <row r="262" spans="1:20" x14ac:dyDescent="0.2">
      <c r="A262" t="s">
        <v>138</v>
      </c>
      <c r="B262" t="s">
        <v>1699</v>
      </c>
      <c r="C262" t="s">
        <v>1700</v>
      </c>
      <c r="D262" t="s">
        <v>387</v>
      </c>
      <c r="E262">
        <v>30</v>
      </c>
      <c r="F262">
        <v>1</v>
      </c>
      <c r="G262">
        <v>37</v>
      </c>
      <c r="H262">
        <v>2020</v>
      </c>
      <c r="I262" t="s">
        <v>1701</v>
      </c>
      <c r="J262" t="s">
        <v>1702</v>
      </c>
      <c r="K262" t="s">
        <v>143</v>
      </c>
      <c r="P262" t="s">
        <v>1352</v>
      </c>
      <c r="R262" t="s">
        <v>267</v>
      </c>
      <c r="S262" t="s">
        <v>1703</v>
      </c>
      <c r="T262" t="s">
        <v>319</v>
      </c>
    </row>
    <row r="263" spans="1:20" x14ac:dyDescent="0.2">
      <c r="A263" t="s">
        <v>138</v>
      </c>
      <c r="B263" t="s">
        <v>1704</v>
      </c>
      <c r="C263" t="s">
        <v>1705</v>
      </c>
      <c r="D263" t="s">
        <v>1706</v>
      </c>
      <c r="E263">
        <v>5</v>
      </c>
      <c r="F263">
        <v>-2</v>
      </c>
      <c r="G263">
        <v>67</v>
      </c>
      <c r="H263">
        <v>1966</v>
      </c>
      <c r="I263" t="s">
        <v>1707</v>
      </c>
      <c r="J263" t="s">
        <v>1708</v>
      </c>
      <c r="K263" t="s">
        <v>143</v>
      </c>
      <c r="P263" t="s">
        <v>1352</v>
      </c>
      <c r="R263" t="s">
        <v>267</v>
      </c>
      <c r="S263" t="s">
        <v>1709</v>
      </c>
      <c r="T263" t="s">
        <v>319</v>
      </c>
    </row>
    <row r="264" spans="1:20" x14ac:dyDescent="0.2">
      <c r="A264" t="s">
        <v>488</v>
      </c>
      <c r="B264" t="s">
        <v>1710</v>
      </c>
      <c r="C264" t="s">
        <v>1711</v>
      </c>
      <c r="D264" t="s">
        <v>1712</v>
      </c>
      <c r="E264">
        <v>122</v>
      </c>
      <c r="G264">
        <v>416</v>
      </c>
      <c r="H264">
        <v>2009</v>
      </c>
      <c r="I264" t="s">
        <v>1713</v>
      </c>
      <c r="J264" t="s">
        <v>1714</v>
      </c>
      <c r="K264" t="s">
        <v>143</v>
      </c>
      <c r="P264" t="s">
        <v>1352</v>
      </c>
      <c r="R264" t="s">
        <v>267</v>
      </c>
      <c r="S264" t="s">
        <v>1715</v>
      </c>
      <c r="T264" t="s">
        <v>319</v>
      </c>
    </row>
    <row r="265" spans="1:20" x14ac:dyDescent="0.2">
      <c r="A265" t="s">
        <v>138</v>
      </c>
      <c r="B265" t="s">
        <v>1716</v>
      </c>
      <c r="C265" t="s">
        <v>1717</v>
      </c>
      <c r="D265" t="s">
        <v>1718</v>
      </c>
      <c r="E265">
        <v>10</v>
      </c>
      <c r="F265">
        <v>26</v>
      </c>
      <c r="G265">
        <v>2553</v>
      </c>
      <c r="H265">
        <v>2015</v>
      </c>
      <c r="I265" t="s">
        <v>1719</v>
      </c>
      <c r="J265" t="s">
        <v>1720</v>
      </c>
      <c r="K265" t="s">
        <v>143</v>
      </c>
      <c r="P265" t="s">
        <v>1352</v>
      </c>
      <c r="R265" t="s">
        <v>267</v>
      </c>
      <c r="S265" t="s">
        <v>1721</v>
      </c>
      <c r="T265" t="s">
        <v>319</v>
      </c>
    </row>
    <row r="266" spans="1:20" x14ac:dyDescent="0.2">
      <c r="A266" t="s">
        <v>501</v>
      </c>
      <c r="B266" t="s">
        <v>1722</v>
      </c>
      <c r="C266" t="s">
        <v>1723</v>
      </c>
      <c r="D266" t="s">
        <v>1724</v>
      </c>
      <c r="G266">
        <v>324</v>
      </c>
      <c r="H266">
        <v>2019</v>
      </c>
      <c r="I266" t="s">
        <v>578</v>
      </c>
      <c r="J266" t="s">
        <v>1725</v>
      </c>
      <c r="K266" t="s">
        <v>143</v>
      </c>
      <c r="P266" t="s">
        <v>1352</v>
      </c>
      <c r="R266" t="s">
        <v>267</v>
      </c>
      <c r="S266" t="s">
        <v>1726</v>
      </c>
      <c r="T266" t="s">
        <v>319</v>
      </c>
    </row>
    <row r="267" spans="1:20" x14ac:dyDescent="0.2">
      <c r="A267" t="s">
        <v>501</v>
      </c>
      <c r="B267" t="s">
        <v>1722</v>
      </c>
      <c r="C267" t="s">
        <v>1727</v>
      </c>
      <c r="D267" t="s">
        <v>1728</v>
      </c>
      <c r="G267">
        <v>567</v>
      </c>
      <c r="H267">
        <v>2017</v>
      </c>
      <c r="I267" t="s">
        <v>672</v>
      </c>
      <c r="J267" t="s">
        <v>1729</v>
      </c>
      <c r="K267" t="s">
        <v>143</v>
      </c>
      <c r="P267" t="s">
        <v>1352</v>
      </c>
      <c r="R267" t="s">
        <v>267</v>
      </c>
      <c r="S267" t="s">
        <v>1730</v>
      </c>
      <c r="T267" t="s">
        <v>319</v>
      </c>
    </row>
    <row r="268" spans="1:20" x14ac:dyDescent="0.2">
      <c r="A268" t="s">
        <v>501</v>
      </c>
      <c r="B268" t="s">
        <v>1722</v>
      </c>
      <c r="C268" t="s">
        <v>1731</v>
      </c>
      <c r="D268" t="s">
        <v>1724</v>
      </c>
      <c r="G268">
        <v>460</v>
      </c>
      <c r="H268">
        <v>2019</v>
      </c>
      <c r="I268" t="s">
        <v>376</v>
      </c>
      <c r="J268" t="s">
        <v>1732</v>
      </c>
      <c r="K268" t="s">
        <v>143</v>
      </c>
      <c r="O268" t="s">
        <v>488</v>
      </c>
      <c r="P268" t="s">
        <v>1733</v>
      </c>
      <c r="Q268" t="s">
        <v>267</v>
      </c>
      <c r="S268" t="s">
        <v>1726</v>
      </c>
      <c r="T268" t="s">
        <v>319</v>
      </c>
    </row>
    <row r="269" spans="1:20" x14ac:dyDescent="0.2">
      <c r="A269" t="s">
        <v>501</v>
      </c>
      <c r="B269" t="s">
        <v>1734</v>
      </c>
      <c r="C269" t="s">
        <v>1735</v>
      </c>
      <c r="D269" t="s">
        <v>1736</v>
      </c>
      <c r="G269">
        <v>83</v>
      </c>
      <c r="H269">
        <v>2020</v>
      </c>
      <c r="I269" t="s">
        <v>1737</v>
      </c>
      <c r="J269" t="s">
        <v>1738</v>
      </c>
      <c r="K269" t="s">
        <v>143</v>
      </c>
      <c r="N269" t="s">
        <v>3053</v>
      </c>
      <c r="P269" t="s">
        <v>1352</v>
      </c>
      <c r="R269" t="s">
        <v>267</v>
      </c>
      <c r="S269" t="s">
        <v>1739</v>
      </c>
      <c r="T269" t="s">
        <v>1149</v>
      </c>
    </row>
    <row r="270" spans="1:20" x14ac:dyDescent="0.2">
      <c r="A270" t="s">
        <v>138</v>
      </c>
      <c r="B270" t="s">
        <v>1740</v>
      </c>
      <c r="C270" t="s">
        <v>1741</v>
      </c>
      <c r="D270" t="s">
        <v>1742</v>
      </c>
      <c r="E270">
        <v>60</v>
      </c>
      <c r="F270">
        <v>7</v>
      </c>
      <c r="G270">
        <v>281</v>
      </c>
      <c r="H270">
        <v>2014</v>
      </c>
      <c r="I270" t="s">
        <v>1743</v>
      </c>
      <c r="J270" t="s">
        <v>1744</v>
      </c>
      <c r="K270" t="s">
        <v>143</v>
      </c>
      <c r="P270" t="s">
        <v>1352</v>
      </c>
      <c r="R270" t="s">
        <v>267</v>
      </c>
      <c r="S270" t="s">
        <v>1745</v>
      </c>
      <c r="T270" t="s">
        <v>1149</v>
      </c>
    </row>
    <row r="271" spans="1:20" x14ac:dyDescent="0.2">
      <c r="A271" t="s">
        <v>138</v>
      </c>
      <c r="B271" t="s">
        <v>1746</v>
      </c>
      <c r="C271" t="s">
        <v>1747</v>
      </c>
      <c r="D271" t="s">
        <v>1748</v>
      </c>
      <c r="E271">
        <v>25</v>
      </c>
      <c r="F271">
        <v>2</v>
      </c>
      <c r="G271">
        <v>201</v>
      </c>
      <c r="H271">
        <v>2009</v>
      </c>
      <c r="I271" t="s">
        <v>278</v>
      </c>
      <c r="J271" t="s">
        <v>1749</v>
      </c>
      <c r="K271" t="s">
        <v>143</v>
      </c>
      <c r="N271" t="s">
        <v>144</v>
      </c>
      <c r="P271" t="s">
        <v>1352</v>
      </c>
      <c r="R271" t="s">
        <v>267</v>
      </c>
      <c r="S271" t="s">
        <v>1750</v>
      </c>
      <c r="T271" t="s">
        <v>1149</v>
      </c>
    </row>
    <row r="272" spans="1:20" x14ac:dyDescent="0.2">
      <c r="A272" t="s">
        <v>138</v>
      </c>
      <c r="B272" t="s">
        <v>1751</v>
      </c>
      <c r="C272" t="s">
        <v>1752</v>
      </c>
      <c r="D272" t="s">
        <v>185</v>
      </c>
      <c r="E272">
        <v>37</v>
      </c>
      <c r="F272">
        <v>3</v>
      </c>
      <c r="G272">
        <v>758</v>
      </c>
      <c r="H272">
        <v>2009</v>
      </c>
      <c r="I272" t="s">
        <v>1753</v>
      </c>
      <c r="J272" t="s">
        <v>1754</v>
      </c>
      <c r="K272" t="s">
        <v>143</v>
      </c>
      <c r="N272" t="s">
        <v>144</v>
      </c>
      <c r="P272" t="s">
        <v>1352</v>
      </c>
      <c r="R272" t="s">
        <v>267</v>
      </c>
      <c r="S272" t="s">
        <v>1755</v>
      </c>
      <c r="T272" t="s">
        <v>1149</v>
      </c>
    </row>
    <row r="273" spans="1:20" x14ac:dyDescent="0.2">
      <c r="A273" t="s">
        <v>138</v>
      </c>
      <c r="B273" t="s">
        <v>1756</v>
      </c>
      <c r="C273" t="s">
        <v>1757</v>
      </c>
      <c r="D273" t="s">
        <v>499</v>
      </c>
      <c r="E273">
        <v>150</v>
      </c>
      <c r="F273">
        <v>4</v>
      </c>
      <c r="G273">
        <v>846</v>
      </c>
      <c r="H273">
        <v>2016</v>
      </c>
      <c r="I273" t="s">
        <v>1758</v>
      </c>
      <c r="J273" t="s">
        <v>1759</v>
      </c>
      <c r="K273" t="s">
        <v>143</v>
      </c>
      <c r="P273" t="s">
        <v>1352</v>
      </c>
      <c r="R273" t="s">
        <v>267</v>
      </c>
      <c r="S273" t="s">
        <v>1760</v>
      </c>
      <c r="T273" t="s">
        <v>1149</v>
      </c>
    </row>
    <row r="274" spans="1:20" x14ac:dyDescent="0.2">
      <c r="A274" t="s">
        <v>138</v>
      </c>
      <c r="B274" t="s">
        <v>1761</v>
      </c>
      <c r="C274" t="s">
        <v>1762</v>
      </c>
      <c r="D274" t="s">
        <v>817</v>
      </c>
      <c r="E274">
        <v>28</v>
      </c>
      <c r="F274">
        <v>1</v>
      </c>
      <c r="G274">
        <v>87</v>
      </c>
      <c r="H274">
        <v>2006</v>
      </c>
      <c r="I274" t="s">
        <v>1763</v>
      </c>
      <c r="J274" t="s">
        <v>1764</v>
      </c>
      <c r="K274" t="s">
        <v>143</v>
      </c>
      <c r="P274" t="s">
        <v>1352</v>
      </c>
      <c r="R274" t="s">
        <v>267</v>
      </c>
      <c r="S274" t="s">
        <v>1765</v>
      </c>
      <c r="T274" t="s">
        <v>1149</v>
      </c>
    </row>
    <row r="275" spans="1:20" x14ac:dyDescent="0.2">
      <c r="A275" t="s">
        <v>138</v>
      </c>
      <c r="B275" t="s">
        <v>1766</v>
      </c>
      <c r="C275" t="s">
        <v>1767</v>
      </c>
      <c r="D275" t="s">
        <v>248</v>
      </c>
      <c r="E275">
        <v>6</v>
      </c>
      <c r="F275">
        <v>1</v>
      </c>
      <c r="G275" t="s">
        <v>1768</v>
      </c>
      <c r="H275">
        <v>2019</v>
      </c>
      <c r="I275" t="s">
        <v>755</v>
      </c>
      <c r="J275" t="s">
        <v>1769</v>
      </c>
      <c r="K275" t="s">
        <v>143</v>
      </c>
      <c r="M275" t="s">
        <v>3125</v>
      </c>
      <c r="P275" t="s">
        <v>1352</v>
      </c>
      <c r="R275" t="s">
        <v>267</v>
      </c>
      <c r="S275" t="s">
        <v>1770</v>
      </c>
      <c r="T275" t="s">
        <v>1149</v>
      </c>
    </row>
    <row r="276" spans="1:20" x14ac:dyDescent="0.2">
      <c r="A276" t="s">
        <v>138</v>
      </c>
      <c r="B276" t="s">
        <v>1771</v>
      </c>
      <c r="C276" t="s">
        <v>1772</v>
      </c>
      <c r="D276" t="s">
        <v>1773</v>
      </c>
      <c r="E276">
        <v>132</v>
      </c>
      <c r="F276">
        <v>2</v>
      </c>
      <c r="G276">
        <v>349</v>
      </c>
      <c r="H276">
        <v>1994</v>
      </c>
      <c r="I276" t="s">
        <v>1774</v>
      </c>
      <c r="J276" t="s">
        <v>730</v>
      </c>
      <c r="K276" t="s">
        <v>143</v>
      </c>
      <c r="P276" t="s">
        <v>1352</v>
      </c>
      <c r="R276" t="s">
        <v>267</v>
      </c>
      <c r="S276" t="s">
        <v>1775</v>
      </c>
      <c r="T276" t="s">
        <v>1149</v>
      </c>
    </row>
    <row r="277" spans="1:20" x14ac:dyDescent="0.2">
      <c r="A277" t="s">
        <v>138</v>
      </c>
      <c r="B277" t="s">
        <v>1776</v>
      </c>
      <c r="C277" t="s">
        <v>1777</v>
      </c>
      <c r="D277" t="s">
        <v>897</v>
      </c>
      <c r="E277">
        <v>82</v>
      </c>
      <c r="F277">
        <v>3</v>
      </c>
      <c r="G277">
        <v>377</v>
      </c>
      <c r="H277">
        <v>1995</v>
      </c>
      <c r="I277" t="s">
        <v>1774</v>
      </c>
      <c r="J277" t="s">
        <v>730</v>
      </c>
      <c r="K277" t="s">
        <v>143</v>
      </c>
      <c r="P277" t="s">
        <v>1352</v>
      </c>
      <c r="R277" t="s">
        <v>267</v>
      </c>
      <c r="S277" t="s">
        <v>1778</v>
      </c>
      <c r="T277" t="s">
        <v>1149</v>
      </c>
    </row>
    <row r="278" spans="1:20" x14ac:dyDescent="0.2">
      <c r="A278" t="s">
        <v>138</v>
      </c>
      <c r="B278" t="s">
        <v>1779</v>
      </c>
      <c r="C278" t="s">
        <v>1780</v>
      </c>
      <c r="D278" t="s">
        <v>1781</v>
      </c>
      <c r="E278">
        <v>54</v>
      </c>
      <c r="F278">
        <v>3</v>
      </c>
      <c r="G278">
        <v>331</v>
      </c>
      <c r="H278">
        <v>2004</v>
      </c>
      <c r="I278" t="s">
        <v>1782</v>
      </c>
      <c r="J278" t="s">
        <v>1783</v>
      </c>
      <c r="K278" t="s">
        <v>143</v>
      </c>
      <c r="M278" t="s">
        <v>3219</v>
      </c>
      <c r="P278" t="s">
        <v>1352</v>
      </c>
      <c r="R278" t="s">
        <v>267</v>
      </c>
      <c r="S278" t="s">
        <v>1784</v>
      </c>
      <c r="T278" t="s">
        <v>1149</v>
      </c>
    </row>
    <row r="279" spans="1:20" x14ac:dyDescent="0.2">
      <c r="A279" t="s">
        <v>138</v>
      </c>
      <c r="B279" t="s">
        <v>1785</v>
      </c>
      <c r="C279" t="s">
        <v>1786</v>
      </c>
      <c r="D279" t="s">
        <v>1787</v>
      </c>
      <c r="E279">
        <v>105</v>
      </c>
      <c r="F279">
        <v>6</v>
      </c>
      <c r="G279">
        <v>1798</v>
      </c>
      <c r="H279">
        <v>2021</v>
      </c>
      <c r="I279" t="s">
        <v>1788</v>
      </c>
      <c r="J279" t="s">
        <v>1789</v>
      </c>
      <c r="K279" t="s">
        <v>143</v>
      </c>
      <c r="P279" t="s">
        <v>1352</v>
      </c>
      <c r="R279" t="s">
        <v>267</v>
      </c>
      <c r="S279" t="s">
        <v>1790</v>
      </c>
      <c r="T279" t="s">
        <v>3109</v>
      </c>
    </row>
    <row r="280" spans="1:20" x14ac:dyDescent="0.2">
      <c r="A280" t="s">
        <v>138</v>
      </c>
      <c r="B280" t="s">
        <v>1791</v>
      </c>
      <c r="C280" t="s">
        <v>1792</v>
      </c>
      <c r="D280" t="s">
        <v>1793</v>
      </c>
      <c r="E280">
        <v>108</v>
      </c>
      <c r="F280">
        <v>1</v>
      </c>
      <c r="G280">
        <v>43</v>
      </c>
      <c r="H280">
        <v>1996</v>
      </c>
      <c r="I280" t="s">
        <v>1794</v>
      </c>
      <c r="J280" t="s">
        <v>1795</v>
      </c>
      <c r="K280" t="s">
        <v>143</v>
      </c>
      <c r="P280" t="s">
        <v>1352</v>
      </c>
      <c r="R280" t="s">
        <v>267</v>
      </c>
      <c r="S280" t="s">
        <v>1796</v>
      </c>
      <c r="T280" t="s">
        <v>3109</v>
      </c>
    </row>
    <row r="281" spans="1:20" x14ac:dyDescent="0.2">
      <c r="A281" t="s">
        <v>138</v>
      </c>
      <c r="B281" t="s">
        <v>1797</v>
      </c>
      <c r="C281" t="s">
        <v>1798</v>
      </c>
      <c r="D281" t="s">
        <v>1799</v>
      </c>
      <c r="E281">
        <v>11</v>
      </c>
      <c r="F281">
        <v>68</v>
      </c>
      <c r="G281">
        <v>13173</v>
      </c>
      <c r="H281">
        <v>2012</v>
      </c>
      <c r="I281" t="s">
        <v>1800</v>
      </c>
      <c r="J281" t="s">
        <v>1225</v>
      </c>
      <c r="K281" t="s">
        <v>143</v>
      </c>
      <c r="P281" t="s">
        <v>1352</v>
      </c>
      <c r="R281" t="s">
        <v>267</v>
      </c>
      <c r="S281" t="s">
        <v>1801</v>
      </c>
      <c r="T281" t="s">
        <v>3109</v>
      </c>
    </row>
    <row r="282" spans="1:20" x14ac:dyDescent="0.2">
      <c r="A282" t="s">
        <v>138</v>
      </c>
      <c r="B282" t="s">
        <v>1802</v>
      </c>
      <c r="C282" t="s">
        <v>1803</v>
      </c>
      <c r="D282" t="s">
        <v>1804</v>
      </c>
      <c r="E282">
        <v>61</v>
      </c>
      <c r="F282">
        <v>4</v>
      </c>
      <c r="G282">
        <v>347</v>
      </c>
      <c r="H282">
        <v>2021</v>
      </c>
      <c r="I282" t="s">
        <v>1805</v>
      </c>
      <c r="J282" t="s">
        <v>1806</v>
      </c>
      <c r="K282" t="s">
        <v>143</v>
      </c>
      <c r="P282" t="s">
        <v>1352</v>
      </c>
      <c r="R282" t="s">
        <v>267</v>
      </c>
      <c r="S282" t="s">
        <v>1807</v>
      </c>
      <c r="T282" t="s">
        <v>3109</v>
      </c>
    </row>
    <row r="283" spans="1:20" x14ac:dyDescent="0.2">
      <c r="A283" t="s">
        <v>138</v>
      </c>
      <c r="B283" t="s">
        <v>1808</v>
      </c>
      <c r="C283" t="s">
        <v>1809</v>
      </c>
      <c r="D283" t="s">
        <v>1810</v>
      </c>
      <c r="E283">
        <v>5</v>
      </c>
      <c r="F283">
        <v>2</v>
      </c>
      <c r="G283">
        <v>109</v>
      </c>
      <c r="H283">
        <v>2021</v>
      </c>
      <c r="I283" t="s">
        <v>1811</v>
      </c>
      <c r="J283" t="s">
        <v>1812</v>
      </c>
      <c r="K283" t="s">
        <v>143</v>
      </c>
      <c r="P283" t="s">
        <v>1352</v>
      </c>
      <c r="R283" t="s">
        <v>267</v>
      </c>
      <c r="S283" t="s">
        <v>1813</v>
      </c>
      <c r="T283" t="s">
        <v>3109</v>
      </c>
    </row>
    <row r="284" spans="1:20" x14ac:dyDescent="0.2">
      <c r="A284" t="s">
        <v>138</v>
      </c>
      <c r="B284" t="s">
        <v>1814</v>
      </c>
      <c r="C284" t="s">
        <v>1815</v>
      </c>
      <c r="D284" t="s">
        <v>1816</v>
      </c>
      <c r="E284">
        <v>21</v>
      </c>
      <c r="G284">
        <v>97</v>
      </c>
      <c r="H284">
        <v>1979</v>
      </c>
      <c r="I284" t="s">
        <v>1652</v>
      </c>
      <c r="J284" t="s">
        <v>1653</v>
      </c>
      <c r="K284" t="s">
        <v>143</v>
      </c>
      <c r="P284" t="s">
        <v>1352</v>
      </c>
      <c r="R284" t="s">
        <v>267</v>
      </c>
      <c r="S284" t="s">
        <v>1817</v>
      </c>
      <c r="T284" t="s">
        <v>3109</v>
      </c>
    </row>
    <row r="285" spans="1:20" x14ac:dyDescent="0.2">
      <c r="A285" t="s">
        <v>138</v>
      </c>
      <c r="B285" t="s">
        <v>1818</v>
      </c>
      <c r="C285" t="s">
        <v>1819</v>
      </c>
      <c r="D285" t="s">
        <v>328</v>
      </c>
      <c r="E285">
        <v>5</v>
      </c>
      <c r="F285">
        <v>1</v>
      </c>
      <c r="G285" t="s">
        <v>1820</v>
      </c>
      <c r="H285">
        <v>2018</v>
      </c>
      <c r="I285" t="s">
        <v>1821</v>
      </c>
      <c r="J285" t="s">
        <v>1822</v>
      </c>
      <c r="K285" t="s">
        <v>143</v>
      </c>
      <c r="P285" t="s">
        <v>1352</v>
      </c>
      <c r="R285" t="s">
        <v>267</v>
      </c>
      <c r="S285" t="s">
        <v>1823</v>
      </c>
      <c r="T285" t="s">
        <v>3109</v>
      </c>
    </row>
    <row r="286" spans="1:20" x14ac:dyDescent="0.2">
      <c r="A286" t="s">
        <v>138</v>
      </c>
      <c r="B286" t="s">
        <v>1824</v>
      </c>
      <c r="C286" t="s">
        <v>1825</v>
      </c>
      <c r="D286" t="s">
        <v>1826</v>
      </c>
      <c r="E286">
        <v>32</v>
      </c>
      <c r="F286">
        <v>1</v>
      </c>
      <c r="G286" t="s">
        <v>1827</v>
      </c>
      <c r="H286">
        <v>2018</v>
      </c>
      <c r="I286" t="s">
        <v>1828</v>
      </c>
      <c r="J286" t="s">
        <v>1829</v>
      </c>
      <c r="K286" t="s">
        <v>143</v>
      </c>
      <c r="P286" t="s">
        <v>1352</v>
      </c>
      <c r="R286" t="s">
        <v>267</v>
      </c>
      <c r="S286" t="s">
        <v>1830</v>
      </c>
      <c r="T286" t="s">
        <v>3109</v>
      </c>
    </row>
    <row r="287" spans="1:20" x14ac:dyDescent="0.2">
      <c r="A287" t="s">
        <v>138</v>
      </c>
      <c r="B287" t="s">
        <v>1831</v>
      </c>
      <c r="C287" t="s">
        <v>1832</v>
      </c>
      <c r="D287" t="s">
        <v>1055</v>
      </c>
      <c r="E287">
        <v>10</v>
      </c>
      <c r="F287">
        <v>3</v>
      </c>
      <c r="G287">
        <v>26</v>
      </c>
      <c r="H287">
        <v>2012</v>
      </c>
      <c r="I287" t="s">
        <v>1833</v>
      </c>
      <c r="J287" t="s">
        <v>1834</v>
      </c>
      <c r="K287" t="s">
        <v>143</v>
      </c>
      <c r="P287" t="s">
        <v>1352</v>
      </c>
      <c r="R287" t="s">
        <v>267</v>
      </c>
      <c r="S287" t="s">
        <v>1835</v>
      </c>
      <c r="T287" t="s">
        <v>3109</v>
      </c>
    </row>
    <row r="288" spans="1:20" x14ac:dyDescent="0.2">
      <c r="A288" t="s">
        <v>138</v>
      </c>
      <c r="B288" t="s">
        <v>1836</v>
      </c>
      <c r="C288" t="s">
        <v>1837</v>
      </c>
      <c r="D288" t="s">
        <v>1838</v>
      </c>
      <c r="E288">
        <v>7</v>
      </c>
      <c r="F288">
        <v>1</v>
      </c>
      <c r="G288">
        <v>20</v>
      </c>
      <c r="H288">
        <v>2013</v>
      </c>
      <c r="I288" t="s">
        <v>1782</v>
      </c>
      <c r="J288" t="s">
        <v>1839</v>
      </c>
      <c r="K288" t="s">
        <v>143</v>
      </c>
      <c r="P288" t="s">
        <v>1352</v>
      </c>
      <c r="R288" t="s">
        <v>267</v>
      </c>
      <c r="S288" t="s">
        <v>1840</v>
      </c>
      <c r="T288" t="s">
        <v>3109</v>
      </c>
    </row>
    <row r="289" spans="1:20" x14ac:dyDescent="0.2">
      <c r="A289" t="s">
        <v>138</v>
      </c>
      <c r="B289" t="s">
        <v>1841</v>
      </c>
      <c r="C289" t="s">
        <v>1842</v>
      </c>
      <c r="D289" t="s">
        <v>1843</v>
      </c>
      <c r="E289">
        <v>14</v>
      </c>
      <c r="F289">
        <v>1</v>
      </c>
      <c r="G289">
        <v>243</v>
      </c>
      <c r="H289">
        <v>2002</v>
      </c>
      <c r="I289" t="s">
        <v>1844</v>
      </c>
      <c r="J289" t="s">
        <v>1845</v>
      </c>
      <c r="K289" t="s">
        <v>143</v>
      </c>
      <c r="N289" t="s">
        <v>3220</v>
      </c>
      <c r="P289" t="s">
        <v>1352</v>
      </c>
      <c r="R289" t="s">
        <v>267</v>
      </c>
      <c r="S289" t="s">
        <v>1846</v>
      </c>
      <c r="T289" t="s">
        <v>1149</v>
      </c>
    </row>
    <row r="290" spans="1:20" s="7" customFormat="1" x14ac:dyDescent="0.2">
      <c r="A290" s="7" t="s">
        <v>138</v>
      </c>
      <c r="B290" s="7" t="s">
        <v>1847</v>
      </c>
      <c r="C290" s="7" t="s">
        <v>1848</v>
      </c>
      <c r="D290" s="7" t="s">
        <v>366</v>
      </c>
      <c r="E290" s="7">
        <v>51</v>
      </c>
      <c r="F290" s="7">
        <v>9</v>
      </c>
      <c r="G290" s="7" t="s">
        <v>1849</v>
      </c>
      <c r="H290" s="7">
        <v>2016</v>
      </c>
      <c r="I290" s="7" t="s">
        <v>1106</v>
      </c>
      <c r="J290" s="7" t="s">
        <v>1850</v>
      </c>
      <c r="K290" s="7" t="s">
        <v>143</v>
      </c>
      <c r="P290" s="7" t="s">
        <v>1851</v>
      </c>
      <c r="R290" s="7" t="s">
        <v>267</v>
      </c>
      <c r="S290" s="7" t="s">
        <v>1852</v>
      </c>
      <c r="T290" s="7" t="s">
        <v>1149</v>
      </c>
    </row>
    <row r="291" spans="1:20" x14ac:dyDescent="0.2">
      <c r="A291" t="s">
        <v>138</v>
      </c>
      <c r="B291" t="s">
        <v>1853</v>
      </c>
      <c r="C291" t="s">
        <v>1854</v>
      </c>
      <c r="D291" t="s">
        <v>1855</v>
      </c>
      <c r="E291">
        <v>9</v>
      </c>
      <c r="F291">
        <v>1</v>
      </c>
      <c r="G291" t="s">
        <v>1856</v>
      </c>
      <c r="H291">
        <v>2011</v>
      </c>
      <c r="I291" t="s">
        <v>1857</v>
      </c>
      <c r="J291" t="s">
        <v>1858</v>
      </c>
      <c r="K291" t="s">
        <v>143</v>
      </c>
      <c r="M291" t="s">
        <v>3125</v>
      </c>
      <c r="P291" t="s">
        <v>1352</v>
      </c>
      <c r="R291" t="s">
        <v>267</v>
      </c>
      <c r="S291" t="s">
        <v>1859</v>
      </c>
      <c r="T291" t="s">
        <v>1149</v>
      </c>
    </row>
    <row r="292" spans="1:20" x14ac:dyDescent="0.2">
      <c r="A292" t="s">
        <v>138</v>
      </c>
      <c r="B292" t="s">
        <v>1860</v>
      </c>
      <c r="C292" t="s">
        <v>1861</v>
      </c>
      <c r="D292" t="s">
        <v>1862</v>
      </c>
      <c r="E292">
        <v>35</v>
      </c>
      <c r="F292">
        <v>1</v>
      </c>
      <c r="G292">
        <v>48</v>
      </c>
      <c r="H292">
        <v>2007</v>
      </c>
      <c r="I292" t="s">
        <v>1533</v>
      </c>
      <c r="J292" t="s">
        <v>1863</v>
      </c>
      <c r="K292" t="s">
        <v>143</v>
      </c>
      <c r="N292" t="s">
        <v>3221</v>
      </c>
      <c r="P292" t="s">
        <v>1352</v>
      </c>
      <c r="R292" t="s">
        <v>267</v>
      </c>
      <c r="S292" t="s">
        <v>1864</v>
      </c>
      <c r="T292" t="s">
        <v>1149</v>
      </c>
    </row>
    <row r="293" spans="1:20" x14ac:dyDescent="0.2">
      <c r="A293" t="s">
        <v>138</v>
      </c>
      <c r="B293" t="s">
        <v>1865</v>
      </c>
      <c r="C293" t="s">
        <v>1866</v>
      </c>
      <c r="D293" t="s">
        <v>1476</v>
      </c>
      <c r="E293">
        <v>136</v>
      </c>
      <c r="F293">
        <v>3</v>
      </c>
      <c r="G293">
        <v>359</v>
      </c>
      <c r="H293">
        <v>2010</v>
      </c>
      <c r="I293" t="s">
        <v>1465</v>
      </c>
      <c r="J293" t="s">
        <v>1867</v>
      </c>
      <c r="K293" t="s">
        <v>143</v>
      </c>
      <c r="N293" t="s">
        <v>144</v>
      </c>
      <c r="P293" t="s">
        <v>1352</v>
      </c>
      <c r="R293" t="s">
        <v>267</v>
      </c>
      <c r="S293" t="s">
        <v>1868</v>
      </c>
      <c r="T293" t="s">
        <v>1149</v>
      </c>
    </row>
    <row r="294" spans="1:20" x14ac:dyDescent="0.2">
      <c r="A294" t="s">
        <v>138</v>
      </c>
      <c r="B294" t="s">
        <v>1869</v>
      </c>
      <c r="C294" t="s">
        <v>1870</v>
      </c>
      <c r="D294" t="s">
        <v>185</v>
      </c>
      <c r="E294">
        <v>37</v>
      </c>
      <c r="F294">
        <v>2</v>
      </c>
      <c r="G294">
        <v>527</v>
      </c>
      <c r="H294">
        <v>2009</v>
      </c>
      <c r="I294" t="s">
        <v>1871</v>
      </c>
      <c r="J294" t="s">
        <v>730</v>
      </c>
      <c r="K294" t="s">
        <v>143</v>
      </c>
      <c r="N294" t="s">
        <v>144</v>
      </c>
      <c r="P294" t="s">
        <v>1352</v>
      </c>
      <c r="R294" t="s">
        <v>267</v>
      </c>
      <c r="S294" t="s">
        <v>1872</v>
      </c>
      <c r="T294" t="s">
        <v>1149</v>
      </c>
    </row>
    <row r="295" spans="1:20" x14ac:dyDescent="0.2">
      <c r="A295" t="s">
        <v>138</v>
      </c>
      <c r="B295" t="s">
        <v>1873</v>
      </c>
      <c r="C295" t="s">
        <v>1874</v>
      </c>
      <c r="D295" t="s">
        <v>817</v>
      </c>
      <c r="E295">
        <v>25</v>
      </c>
      <c r="F295">
        <v>2</v>
      </c>
      <c r="G295">
        <v>83</v>
      </c>
      <c r="H295">
        <v>2003</v>
      </c>
      <c r="I295" t="s">
        <v>1857</v>
      </c>
      <c r="J295" t="s">
        <v>1875</v>
      </c>
      <c r="K295" t="s">
        <v>143</v>
      </c>
      <c r="P295" t="s">
        <v>1352</v>
      </c>
      <c r="R295" t="s">
        <v>267</v>
      </c>
      <c r="S295" t="s">
        <v>1876</v>
      </c>
      <c r="T295" t="s">
        <v>1149</v>
      </c>
    </row>
    <row r="296" spans="1:20" x14ac:dyDescent="0.2">
      <c r="A296" t="s">
        <v>138</v>
      </c>
      <c r="B296" t="s">
        <v>1877</v>
      </c>
      <c r="C296" t="s">
        <v>1878</v>
      </c>
      <c r="D296" t="s">
        <v>1038</v>
      </c>
      <c r="E296">
        <v>98</v>
      </c>
      <c r="G296">
        <v>213</v>
      </c>
      <c r="H296">
        <v>2015</v>
      </c>
      <c r="I296" t="s">
        <v>1879</v>
      </c>
      <c r="J296" t="s">
        <v>1880</v>
      </c>
      <c r="K296" t="s">
        <v>143</v>
      </c>
      <c r="P296" t="s">
        <v>1352</v>
      </c>
      <c r="R296" t="s">
        <v>267</v>
      </c>
      <c r="S296" t="s">
        <v>1881</v>
      </c>
      <c r="T296" t="s">
        <v>1149</v>
      </c>
    </row>
    <row r="297" spans="1:20" x14ac:dyDescent="0.2">
      <c r="A297" t="s">
        <v>488</v>
      </c>
      <c r="B297" t="s">
        <v>1882</v>
      </c>
      <c r="C297" t="s">
        <v>1883</v>
      </c>
      <c r="D297" t="s">
        <v>1884</v>
      </c>
      <c r="E297" t="s">
        <v>1885</v>
      </c>
      <c r="G297">
        <v>678</v>
      </c>
      <c r="H297">
        <v>2011</v>
      </c>
      <c r="I297" t="s">
        <v>265</v>
      </c>
      <c r="J297" t="s">
        <v>1886</v>
      </c>
      <c r="K297" t="s">
        <v>143</v>
      </c>
      <c r="P297" t="s">
        <v>1352</v>
      </c>
      <c r="R297" t="s">
        <v>267</v>
      </c>
      <c r="S297" t="s">
        <v>1887</v>
      </c>
      <c r="T297" t="s">
        <v>1149</v>
      </c>
    </row>
    <row r="298" spans="1:20" x14ac:dyDescent="0.2">
      <c r="A298" t="s">
        <v>138</v>
      </c>
      <c r="B298" t="s">
        <v>1888</v>
      </c>
      <c r="C298" t="s">
        <v>1889</v>
      </c>
      <c r="D298" t="s">
        <v>1890</v>
      </c>
      <c r="E298">
        <v>8</v>
      </c>
      <c r="F298">
        <v>1</v>
      </c>
      <c r="G298" t="s">
        <v>1891</v>
      </c>
      <c r="H298">
        <v>2016</v>
      </c>
      <c r="I298" t="s">
        <v>578</v>
      </c>
      <c r="J298" t="s">
        <v>1892</v>
      </c>
      <c r="K298" t="s">
        <v>143</v>
      </c>
      <c r="P298" t="s">
        <v>1352</v>
      </c>
      <c r="R298" t="s">
        <v>267</v>
      </c>
      <c r="S298" t="s">
        <v>1893</v>
      </c>
      <c r="T298" t="s">
        <v>1149</v>
      </c>
    </row>
    <row r="299" spans="1:20" x14ac:dyDescent="0.2">
      <c r="A299" t="s">
        <v>138</v>
      </c>
      <c r="B299" t="s">
        <v>1894</v>
      </c>
      <c r="C299" t="s">
        <v>1895</v>
      </c>
      <c r="D299" t="s">
        <v>185</v>
      </c>
      <c r="E299">
        <v>46</v>
      </c>
      <c r="F299">
        <v>3</v>
      </c>
      <c r="G299">
        <v>473</v>
      </c>
      <c r="H299">
        <v>2018</v>
      </c>
      <c r="I299" t="s">
        <v>578</v>
      </c>
      <c r="J299" t="s">
        <v>1896</v>
      </c>
      <c r="P299" t="s">
        <v>1352</v>
      </c>
      <c r="R299" t="s">
        <v>267</v>
      </c>
      <c r="S299" t="s">
        <v>1897</v>
      </c>
    </row>
    <row r="300" spans="1:20" x14ac:dyDescent="0.2">
      <c r="A300" t="s">
        <v>138</v>
      </c>
      <c r="B300" t="s">
        <v>1898</v>
      </c>
      <c r="C300" t="s">
        <v>1899</v>
      </c>
      <c r="D300" t="s">
        <v>754</v>
      </c>
      <c r="E300">
        <v>16</v>
      </c>
      <c r="F300">
        <v>1</v>
      </c>
      <c r="G300" t="s">
        <v>1900</v>
      </c>
      <c r="H300">
        <v>2008</v>
      </c>
      <c r="I300" t="s">
        <v>578</v>
      </c>
      <c r="J300" t="s">
        <v>1901</v>
      </c>
      <c r="K300" t="s">
        <v>143</v>
      </c>
      <c r="P300" t="s">
        <v>1352</v>
      </c>
      <c r="R300" t="s">
        <v>267</v>
      </c>
      <c r="S300" t="s">
        <v>1902</v>
      </c>
    </row>
    <row r="301" spans="1:20" x14ac:dyDescent="0.2">
      <c r="A301" t="s">
        <v>138</v>
      </c>
      <c r="B301" t="s">
        <v>1898</v>
      </c>
      <c r="C301" t="s">
        <v>1903</v>
      </c>
      <c r="D301" t="s">
        <v>754</v>
      </c>
      <c r="E301">
        <v>14</v>
      </c>
      <c r="F301">
        <v>3</v>
      </c>
      <c r="G301">
        <v>148</v>
      </c>
      <c r="H301">
        <v>2006</v>
      </c>
      <c r="I301" t="s">
        <v>265</v>
      </c>
      <c r="J301" t="s">
        <v>1904</v>
      </c>
      <c r="K301" t="s">
        <v>143</v>
      </c>
      <c r="P301" t="s">
        <v>1352</v>
      </c>
      <c r="R301" t="s">
        <v>267</v>
      </c>
      <c r="S301" t="s">
        <v>1905</v>
      </c>
    </row>
    <row r="302" spans="1:20" x14ac:dyDescent="0.2">
      <c r="A302" t="s">
        <v>138</v>
      </c>
      <c r="B302" t="s">
        <v>1906</v>
      </c>
      <c r="C302" t="s">
        <v>1907</v>
      </c>
      <c r="D302" t="s">
        <v>1055</v>
      </c>
      <c r="E302">
        <v>12</v>
      </c>
      <c r="F302">
        <v>1</v>
      </c>
      <c r="G302">
        <v>38</v>
      </c>
      <c r="H302">
        <v>2014</v>
      </c>
      <c r="I302" t="s">
        <v>1908</v>
      </c>
      <c r="J302" t="s">
        <v>1909</v>
      </c>
      <c r="K302" t="s">
        <v>143</v>
      </c>
      <c r="P302" t="s">
        <v>1352</v>
      </c>
      <c r="R302" t="s">
        <v>267</v>
      </c>
      <c r="S302" t="s">
        <v>1910</v>
      </c>
    </row>
    <row r="303" spans="1:20" x14ac:dyDescent="0.2">
      <c r="A303" t="s">
        <v>138</v>
      </c>
      <c r="B303" t="s">
        <v>1911</v>
      </c>
      <c r="C303" t="s">
        <v>1912</v>
      </c>
      <c r="D303" t="s">
        <v>1913</v>
      </c>
      <c r="E303">
        <v>64</v>
      </c>
      <c r="F303">
        <v>2</v>
      </c>
      <c r="G303">
        <v>323</v>
      </c>
      <c r="H303">
        <v>2005</v>
      </c>
      <c r="I303" t="s">
        <v>1914</v>
      </c>
      <c r="J303" t="s">
        <v>1915</v>
      </c>
      <c r="K303" t="s">
        <v>143</v>
      </c>
      <c r="P303" t="s">
        <v>1352</v>
      </c>
      <c r="R303" t="s">
        <v>267</v>
      </c>
      <c r="S303" t="s">
        <v>1916</v>
      </c>
    </row>
    <row r="304" spans="1:20" x14ac:dyDescent="0.2">
      <c r="A304" t="s">
        <v>138</v>
      </c>
      <c r="B304" t="s">
        <v>1917</v>
      </c>
      <c r="C304" t="s">
        <v>1918</v>
      </c>
      <c r="D304" t="s">
        <v>771</v>
      </c>
      <c r="E304">
        <v>12</v>
      </c>
      <c r="F304">
        <v>5</v>
      </c>
      <c r="H304">
        <v>2021</v>
      </c>
      <c r="I304" t="s">
        <v>446</v>
      </c>
      <c r="J304" t="s">
        <v>1919</v>
      </c>
      <c r="K304" t="s">
        <v>143</v>
      </c>
      <c r="P304" t="s">
        <v>1352</v>
      </c>
      <c r="R304" t="s">
        <v>267</v>
      </c>
      <c r="S304" t="s">
        <v>1920</v>
      </c>
    </row>
    <row r="305" spans="1:19" x14ac:dyDescent="0.2">
      <c r="A305" t="s">
        <v>138</v>
      </c>
      <c r="B305" t="s">
        <v>1921</v>
      </c>
      <c r="C305" t="s">
        <v>1922</v>
      </c>
      <c r="D305" t="s">
        <v>1923</v>
      </c>
      <c r="E305">
        <v>62</v>
      </c>
      <c r="F305">
        <v>2</v>
      </c>
      <c r="G305">
        <v>150</v>
      </c>
      <c r="H305">
        <v>2013</v>
      </c>
      <c r="I305" t="s">
        <v>1924</v>
      </c>
      <c r="J305" t="s">
        <v>1925</v>
      </c>
      <c r="K305" t="s">
        <v>143</v>
      </c>
      <c r="P305" t="s">
        <v>1352</v>
      </c>
      <c r="R305" t="s">
        <v>267</v>
      </c>
      <c r="S305" t="s">
        <v>1926</v>
      </c>
    </row>
    <row r="306" spans="1:19" x14ac:dyDescent="0.2">
      <c r="A306" t="s">
        <v>501</v>
      </c>
      <c r="B306" t="s">
        <v>1927</v>
      </c>
      <c r="C306" t="s">
        <v>1928</v>
      </c>
      <c r="D306" t="s">
        <v>1929</v>
      </c>
      <c r="G306">
        <v>114</v>
      </c>
      <c r="H306">
        <v>2010</v>
      </c>
      <c r="I306" t="s">
        <v>1930</v>
      </c>
      <c r="J306" t="s">
        <v>1931</v>
      </c>
      <c r="K306" t="s">
        <v>143</v>
      </c>
      <c r="P306" t="s">
        <v>1352</v>
      </c>
      <c r="R306" t="s">
        <v>267</v>
      </c>
      <c r="S306" t="s">
        <v>1932</v>
      </c>
    </row>
    <row r="307" spans="1:19" x14ac:dyDescent="0.2">
      <c r="A307" t="s">
        <v>138</v>
      </c>
      <c r="B307" t="s">
        <v>1933</v>
      </c>
      <c r="C307" t="s">
        <v>1934</v>
      </c>
      <c r="D307" t="s">
        <v>659</v>
      </c>
      <c r="E307">
        <v>226</v>
      </c>
      <c r="G307">
        <v>241</v>
      </c>
      <c r="H307">
        <v>2017</v>
      </c>
      <c r="I307" t="s">
        <v>1935</v>
      </c>
      <c r="J307" t="s">
        <v>1936</v>
      </c>
      <c r="K307" t="s">
        <v>143</v>
      </c>
      <c r="P307" t="s">
        <v>1352</v>
      </c>
      <c r="R307" t="s">
        <v>267</v>
      </c>
      <c r="S307" t="s">
        <v>1937</v>
      </c>
    </row>
    <row r="308" spans="1:19" x14ac:dyDescent="0.2">
      <c r="A308" t="s">
        <v>138</v>
      </c>
      <c r="B308" t="s">
        <v>1938</v>
      </c>
      <c r="C308" t="s">
        <v>1939</v>
      </c>
      <c r="D308" t="s">
        <v>593</v>
      </c>
      <c r="E308">
        <v>91</v>
      </c>
      <c r="F308">
        <v>4</v>
      </c>
      <c r="G308">
        <v>295</v>
      </c>
      <c r="H308">
        <v>2009</v>
      </c>
      <c r="I308" t="s">
        <v>1940</v>
      </c>
      <c r="J308" t="s">
        <v>1941</v>
      </c>
      <c r="K308" t="s">
        <v>143</v>
      </c>
      <c r="P308" t="s">
        <v>1352</v>
      </c>
      <c r="R308" t="s">
        <v>267</v>
      </c>
      <c r="S308" t="s">
        <v>1942</v>
      </c>
    </row>
    <row r="309" spans="1:19" x14ac:dyDescent="0.2">
      <c r="A309" t="s">
        <v>138</v>
      </c>
      <c r="B309" t="s">
        <v>1943</v>
      </c>
      <c r="C309" t="s">
        <v>1944</v>
      </c>
      <c r="D309" t="s">
        <v>1595</v>
      </c>
      <c r="F309">
        <v>11</v>
      </c>
      <c r="G309">
        <v>56</v>
      </c>
      <c r="H309">
        <v>2012</v>
      </c>
      <c r="I309" t="s">
        <v>634</v>
      </c>
      <c r="J309" t="s">
        <v>1945</v>
      </c>
      <c r="K309" t="s">
        <v>143</v>
      </c>
      <c r="P309" t="s">
        <v>1352</v>
      </c>
      <c r="R309" t="s">
        <v>267</v>
      </c>
      <c r="S309" t="s">
        <v>1946</v>
      </c>
    </row>
    <row r="310" spans="1:19" x14ac:dyDescent="0.2">
      <c r="A310" t="s">
        <v>138</v>
      </c>
      <c r="B310" t="s">
        <v>1947</v>
      </c>
      <c r="C310" t="s">
        <v>1948</v>
      </c>
      <c r="D310" t="s">
        <v>1363</v>
      </c>
      <c r="E310">
        <v>8</v>
      </c>
      <c r="F310">
        <v>6</v>
      </c>
      <c r="G310">
        <v>1078</v>
      </c>
      <c r="H310">
        <v>2009</v>
      </c>
      <c r="I310" t="s">
        <v>1949</v>
      </c>
      <c r="J310" t="s">
        <v>1950</v>
      </c>
      <c r="K310" t="s">
        <v>143</v>
      </c>
      <c r="P310" t="s">
        <v>1352</v>
      </c>
      <c r="R310" t="s">
        <v>267</v>
      </c>
      <c r="S310" t="s">
        <v>1951</v>
      </c>
    </row>
    <row r="311" spans="1:19" x14ac:dyDescent="0.2">
      <c r="A311" t="s">
        <v>138</v>
      </c>
      <c r="B311" t="s">
        <v>1952</v>
      </c>
      <c r="C311" t="s">
        <v>1953</v>
      </c>
      <c r="D311" t="s">
        <v>1954</v>
      </c>
      <c r="E311">
        <v>40</v>
      </c>
      <c r="F311">
        <v>4</v>
      </c>
      <c r="G311">
        <v>189</v>
      </c>
      <c r="H311">
        <v>1996</v>
      </c>
      <c r="I311" t="s">
        <v>1955</v>
      </c>
      <c r="J311" t="s">
        <v>1956</v>
      </c>
      <c r="K311" t="s">
        <v>143</v>
      </c>
      <c r="P311" t="s">
        <v>1352</v>
      </c>
      <c r="R311" t="s">
        <v>267</v>
      </c>
      <c r="S311" t="s">
        <v>1957</v>
      </c>
    </row>
    <row r="312" spans="1:19" x14ac:dyDescent="0.2">
      <c r="A312" t="s">
        <v>138</v>
      </c>
      <c r="B312" t="s">
        <v>1958</v>
      </c>
      <c r="C312" t="s">
        <v>1959</v>
      </c>
      <c r="D312" t="s">
        <v>948</v>
      </c>
      <c r="E312">
        <v>56</v>
      </c>
      <c r="F312">
        <v>2</v>
      </c>
      <c r="G312">
        <v>216</v>
      </c>
      <c r="H312">
        <v>2008</v>
      </c>
      <c r="I312" t="s">
        <v>1591</v>
      </c>
      <c r="J312" t="s">
        <v>1960</v>
      </c>
      <c r="K312" t="s">
        <v>143</v>
      </c>
      <c r="P312" t="s">
        <v>1352</v>
      </c>
      <c r="R312" t="s">
        <v>267</v>
      </c>
      <c r="S312" t="s">
        <v>1961</v>
      </c>
    </row>
    <row r="313" spans="1:19" x14ac:dyDescent="0.2">
      <c r="A313" t="s">
        <v>138</v>
      </c>
      <c r="B313" t="s">
        <v>1962</v>
      </c>
      <c r="C313" t="s">
        <v>1963</v>
      </c>
      <c r="D313" t="s">
        <v>185</v>
      </c>
      <c r="E313">
        <v>36</v>
      </c>
      <c r="F313">
        <v>1</v>
      </c>
      <c r="G313">
        <v>46</v>
      </c>
      <c r="H313">
        <v>2008</v>
      </c>
      <c r="I313" t="s">
        <v>1964</v>
      </c>
      <c r="J313" t="s">
        <v>1965</v>
      </c>
      <c r="K313" t="s">
        <v>143</v>
      </c>
      <c r="P313" t="s">
        <v>1352</v>
      </c>
      <c r="R313" t="s">
        <v>267</v>
      </c>
      <c r="S313" t="s">
        <v>1966</v>
      </c>
    </row>
    <row r="314" spans="1:19" x14ac:dyDescent="0.2">
      <c r="A314" t="s">
        <v>138</v>
      </c>
      <c r="B314" t="s">
        <v>1967</v>
      </c>
      <c r="C314" t="s">
        <v>1968</v>
      </c>
      <c r="D314" t="s">
        <v>1363</v>
      </c>
      <c r="E314">
        <v>10</v>
      </c>
      <c r="F314">
        <v>9</v>
      </c>
      <c r="G314">
        <v>1545</v>
      </c>
      <c r="H314">
        <v>2011</v>
      </c>
      <c r="I314" t="s">
        <v>1969</v>
      </c>
      <c r="J314" t="s">
        <v>1970</v>
      </c>
      <c r="K314" t="s">
        <v>143</v>
      </c>
      <c r="P314" t="s">
        <v>1352</v>
      </c>
      <c r="R314" t="s">
        <v>267</v>
      </c>
      <c r="S314" t="s">
        <v>1971</v>
      </c>
    </row>
    <row r="315" spans="1:19" x14ac:dyDescent="0.2">
      <c r="A315" t="s">
        <v>501</v>
      </c>
      <c r="B315" t="s">
        <v>1972</v>
      </c>
      <c r="C315" t="s">
        <v>1973</v>
      </c>
      <c r="D315" t="s">
        <v>1974</v>
      </c>
      <c r="G315">
        <v>347</v>
      </c>
      <c r="H315">
        <v>2020</v>
      </c>
      <c r="I315" t="s">
        <v>1975</v>
      </c>
      <c r="J315" t="s">
        <v>1976</v>
      </c>
      <c r="K315" t="s">
        <v>143</v>
      </c>
      <c r="P315" t="s">
        <v>1352</v>
      </c>
      <c r="R315" t="s">
        <v>267</v>
      </c>
      <c r="S315" t="s">
        <v>1977</v>
      </c>
    </row>
    <row r="316" spans="1:19" x14ac:dyDescent="0.2">
      <c r="A316" t="s">
        <v>138</v>
      </c>
      <c r="B316" t="s">
        <v>1978</v>
      </c>
      <c r="C316" t="s">
        <v>1979</v>
      </c>
      <c r="D316" t="s">
        <v>185</v>
      </c>
      <c r="E316">
        <v>35</v>
      </c>
      <c r="F316">
        <v>2</v>
      </c>
      <c r="G316">
        <v>266</v>
      </c>
      <c r="H316">
        <v>2007</v>
      </c>
      <c r="I316" t="s">
        <v>1980</v>
      </c>
      <c r="J316" t="s">
        <v>1981</v>
      </c>
      <c r="K316" t="s">
        <v>143</v>
      </c>
      <c r="P316" t="s">
        <v>1352</v>
      </c>
      <c r="R316" t="s">
        <v>267</v>
      </c>
      <c r="S316" t="s">
        <v>1982</v>
      </c>
    </row>
    <row r="317" spans="1:19" x14ac:dyDescent="0.2">
      <c r="A317" t="s">
        <v>138</v>
      </c>
      <c r="B317" t="s">
        <v>1983</v>
      </c>
      <c r="C317" t="s">
        <v>1984</v>
      </c>
      <c r="D317" t="s">
        <v>1363</v>
      </c>
      <c r="E317">
        <v>8</v>
      </c>
      <c r="F317">
        <v>13</v>
      </c>
      <c r="G317">
        <v>2973</v>
      </c>
      <c r="H317">
        <v>2009</v>
      </c>
      <c r="I317" t="s">
        <v>1980</v>
      </c>
      <c r="J317" t="s">
        <v>1981</v>
      </c>
      <c r="K317" t="s">
        <v>143</v>
      </c>
      <c r="P317" t="s">
        <v>1352</v>
      </c>
      <c r="R317" t="s">
        <v>267</v>
      </c>
      <c r="S317" t="s">
        <v>1985</v>
      </c>
    </row>
    <row r="318" spans="1:19" x14ac:dyDescent="0.2">
      <c r="A318" t="s">
        <v>138</v>
      </c>
      <c r="B318" t="s">
        <v>1986</v>
      </c>
      <c r="C318" t="s">
        <v>1987</v>
      </c>
      <c r="D318" t="s">
        <v>1988</v>
      </c>
      <c r="E318">
        <v>26</v>
      </c>
      <c r="F318">
        <v>8</v>
      </c>
      <c r="G318">
        <v>5142</v>
      </c>
      <c r="H318">
        <v>2017</v>
      </c>
      <c r="I318" t="s">
        <v>219</v>
      </c>
      <c r="J318" t="s">
        <v>404</v>
      </c>
      <c r="K318" t="s">
        <v>143</v>
      </c>
      <c r="P318" t="s">
        <v>1352</v>
      </c>
      <c r="R318" t="s">
        <v>267</v>
      </c>
      <c r="S318" t="s">
        <v>1989</v>
      </c>
    </row>
    <row r="319" spans="1:19" x14ac:dyDescent="0.2">
      <c r="A319" t="s">
        <v>138</v>
      </c>
      <c r="B319" t="s">
        <v>1990</v>
      </c>
      <c r="C319" t="s">
        <v>1991</v>
      </c>
      <c r="D319" t="s">
        <v>375</v>
      </c>
      <c r="E319">
        <v>29</v>
      </c>
      <c r="F319">
        <v>3</v>
      </c>
      <c r="G319">
        <v>319</v>
      </c>
      <c r="H319">
        <v>2008</v>
      </c>
      <c r="I319" t="s">
        <v>1980</v>
      </c>
      <c r="J319" t="s">
        <v>1981</v>
      </c>
      <c r="K319" t="s">
        <v>143</v>
      </c>
      <c r="P319" t="s">
        <v>1352</v>
      </c>
      <c r="R319" t="s">
        <v>267</v>
      </c>
      <c r="S319" t="s">
        <v>1992</v>
      </c>
    </row>
    <row r="320" spans="1:19" x14ac:dyDescent="0.2">
      <c r="A320" t="s">
        <v>138</v>
      </c>
      <c r="B320" t="s">
        <v>1993</v>
      </c>
      <c r="C320" t="s">
        <v>1994</v>
      </c>
      <c r="D320" t="s">
        <v>1995</v>
      </c>
      <c r="E320">
        <v>17</v>
      </c>
      <c r="F320" t="s">
        <v>1996</v>
      </c>
      <c r="G320">
        <v>1031</v>
      </c>
      <c r="H320">
        <v>2021</v>
      </c>
      <c r="I320" t="s">
        <v>1404</v>
      </c>
      <c r="J320" t="s">
        <v>1997</v>
      </c>
      <c r="K320" t="s">
        <v>143</v>
      </c>
      <c r="P320" t="s">
        <v>1352</v>
      </c>
      <c r="R320" t="s">
        <v>233</v>
      </c>
      <c r="S320" t="s">
        <v>1998</v>
      </c>
    </row>
    <row r="321" spans="1:19" x14ac:dyDescent="0.2">
      <c r="A321" t="s">
        <v>138</v>
      </c>
      <c r="B321" t="s">
        <v>1999</v>
      </c>
      <c r="C321" t="s">
        <v>2000</v>
      </c>
      <c r="D321" t="s">
        <v>2001</v>
      </c>
      <c r="E321">
        <v>66</v>
      </c>
      <c r="F321">
        <v>3</v>
      </c>
      <c r="G321">
        <v>169</v>
      </c>
      <c r="H321">
        <v>2020</v>
      </c>
      <c r="I321" t="s">
        <v>2002</v>
      </c>
      <c r="J321" t="s">
        <v>2003</v>
      </c>
      <c r="K321" t="s">
        <v>143</v>
      </c>
      <c r="P321" t="s">
        <v>1352</v>
      </c>
      <c r="R321" t="s">
        <v>233</v>
      </c>
      <c r="S321" t="s">
        <v>2004</v>
      </c>
    </row>
    <row r="322" spans="1:19" x14ac:dyDescent="0.2">
      <c r="A322" t="s">
        <v>138</v>
      </c>
      <c r="B322" t="s">
        <v>2005</v>
      </c>
      <c r="C322" t="s">
        <v>2006</v>
      </c>
      <c r="D322" t="s">
        <v>2007</v>
      </c>
      <c r="E322">
        <v>20</v>
      </c>
      <c r="F322">
        <v>2</v>
      </c>
      <c r="G322">
        <v>211</v>
      </c>
      <c r="H322">
        <v>2007</v>
      </c>
      <c r="I322" t="s">
        <v>1452</v>
      </c>
      <c r="J322" t="s">
        <v>2008</v>
      </c>
      <c r="K322" t="s">
        <v>143</v>
      </c>
      <c r="P322" t="s">
        <v>1352</v>
      </c>
      <c r="R322" t="s">
        <v>233</v>
      </c>
      <c r="S322" t="s">
        <v>2009</v>
      </c>
    </row>
    <row r="323" spans="1:19" x14ac:dyDescent="0.2">
      <c r="A323" t="s">
        <v>138</v>
      </c>
      <c r="B323" t="s">
        <v>2010</v>
      </c>
      <c r="C323" t="s">
        <v>2011</v>
      </c>
      <c r="D323" t="s">
        <v>242</v>
      </c>
      <c r="E323">
        <v>115</v>
      </c>
      <c r="G323">
        <v>73</v>
      </c>
      <c r="H323">
        <v>2015</v>
      </c>
      <c r="I323" t="s">
        <v>2012</v>
      </c>
      <c r="K323" t="s">
        <v>143</v>
      </c>
      <c r="P323" t="s">
        <v>1352</v>
      </c>
      <c r="R323" t="s">
        <v>233</v>
      </c>
      <c r="S323" t="s">
        <v>2013</v>
      </c>
    </row>
    <row r="324" spans="1:19" x14ac:dyDescent="0.2">
      <c r="A324" t="s">
        <v>138</v>
      </c>
      <c r="B324" t="s">
        <v>2014</v>
      </c>
      <c r="C324" t="s">
        <v>2015</v>
      </c>
      <c r="D324" t="s">
        <v>2016</v>
      </c>
      <c r="E324">
        <v>38</v>
      </c>
      <c r="G324">
        <v>125</v>
      </c>
      <c r="H324">
        <v>2003</v>
      </c>
      <c r="I324" t="s">
        <v>510</v>
      </c>
      <c r="K324" t="s">
        <v>143</v>
      </c>
      <c r="P324" t="s">
        <v>1851</v>
      </c>
      <c r="R324" t="s">
        <v>233</v>
      </c>
      <c r="S324" t="s">
        <v>2017</v>
      </c>
    </row>
    <row r="325" spans="1:19" x14ac:dyDescent="0.2">
      <c r="A325" t="s">
        <v>138</v>
      </c>
      <c r="B325" t="s">
        <v>2018</v>
      </c>
      <c r="C325" t="s">
        <v>2019</v>
      </c>
      <c r="D325" t="s">
        <v>2020</v>
      </c>
      <c r="E325">
        <v>33</v>
      </c>
      <c r="F325">
        <v>8</v>
      </c>
      <c r="G325">
        <v>1658</v>
      </c>
      <c r="H325">
        <v>2013</v>
      </c>
      <c r="I325" t="s">
        <v>2021</v>
      </c>
      <c r="J325" t="s">
        <v>2022</v>
      </c>
      <c r="K325" t="s">
        <v>143</v>
      </c>
      <c r="P325" t="s">
        <v>1352</v>
      </c>
      <c r="R325" t="s">
        <v>233</v>
      </c>
      <c r="S325" t="s">
        <v>2023</v>
      </c>
    </row>
    <row r="326" spans="1:19" x14ac:dyDescent="0.2">
      <c r="A326" t="s">
        <v>138</v>
      </c>
      <c r="B326" t="s">
        <v>2024</v>
      </c>
      <c r="C326" t="s">
        <v>2025</v>
      </c>
      <c r="D326" t="s">
        <v>916</v>
      </c>
      <c r="E326">
        <v>45</v>
      </c>
      <c r="F326">
        <v>11</v>
      </c>
      <c r="G326">
        <v>1089</v>
      </c>
      <c r="H326">
        <v>2009</v>
      </c>
      <c r="I326" t="s">
        <v>2026</v>
      </c>
      <c r="J326" t="s">
        <v>2027</v>
      </c>
      <c r="K326" t="s">
        <v>143</v>
      </c>
      <c r="P326" t="s">
        <v>1352</v>
      </c>
      <c r="R326" t="s">
        <v>233</v>
      </c>
      <c r="S326" t="s">
        <v>2028</v>
      </c>
    </row>
    <row r="327" spans="1:19" x14ac:dyDescent="0.2">
      <c r="A327" t="s">
        <v>138</v>
      </c>
      <c r="B327" t="s">
        <v>2029</v>
      </c>
      <c r="C327" t="s">
        <v>2030</v>
      </c>
      <c r="D327" t="s">
        <v>2031</v>
      </c>
      <c r="E327">
        <v>58</v>
      </c>
      <c r="G327">
        <v>284</v>
      </c>
      <c r="H327">
        <v>2015</v>
      </c>
      <c r="I327" t="s">
        <v>2032</v>
      </c>
      <c r="J327" t="s">
        <v>2033</v>
      </c>
      <c r="K327" t="s">
        <v>143</v>
      </c>
      <c r="P327" t="s">
        <v>1352</v>
      </c>
      <c r="R327" t="s">
        <v>233</v>
      </c>
      <c r="S327" t="s">
        <v>2034</v>
      </c>
    </row>
    <row r="328" spans="1:19" x14ac:dyDescent="0.2">
      <c r="A328" t="s">
        <v>138</v>
      </c>
      <c r="B328" t="s">
        <v>2035</v>
      </c>
      <c r="C328" t="s">
        <v>2036</v>
      </c>
      <c r="D328" t="s">
        <v>2037</v>
      </c>
      <c r="E328">
        <v>89</v>
      </c>
      <c r="F328">
        <v>2</v>
      </c>
      <c r="G328">
        <v>159</v>
      </c>
      <c r="H328">
        <v>1999</v>
      </c>
      <c r="I328" t="s">
        <v>2038</v>
      </c>
      <c r="J328" t="s">
        <v>2039</v>
      </c>
      <c r="K328" t="s">
        <v>143</v>
      </c>
      <c r="P328" t="s">
        <v>2040</v>
      </c>
      <c r="R328" t="s">
        <v>233</v>
      </c>
      <c r="S328" t="s">
        <v>2041</v>
      </c>
    </row>
    <row r="329" spans="1:19" x14ac:dyDescent="0.2">
      <c r="A329" t="s">
        <v>138</v>
      </c>
      <c r="B329" t="s">
        <v>2042</v>
      </c>
      <c r="C329" t="s">
        <v>2043</v>
      </c>
      <c r="D329" t="s">
        <v>2044</v>
      </c>
      <c r="E329">
        <v>5</v>
      </c>
      <c r="F329" s="5">
        <v>44563</v>
      </c>
      <c r="G329">
        <v>39</v>
      </c>
      <c r="H329">
        <v>2001</v>
      </c>
      <c r="I329" t="s">
        <v>2045</v>
      </c>
      <c r="J329" t="s">
        <v>2046</v>
      </c>
      <c r="K329" t="s">
        <v>143</v>
      </c>
      <c r="P329" t="s">
        <v>1352</v>
      </c>
      <c r="R329" t="s">
        <v>233</v>
      </c>
      <c r="S329" t="s">
        <v>2047</v>
      </c>
    </row>
    <row r="330" spans="1:19" x14ac:dyDescent="0.2">
      <c r="A330" t="s">
        <v>138</v>
      </c>
      <c r="B330" t="s">
        <v>2048</v>
      </c>
      <c r="C330" t="s">
        <v>2049</v>
      </c>
      <c r="D330" t="s">
        <v>2050</v>
      </c>
      <c r="E330">
        <v>24</v>
      </c>
      <c r="F330">
        <v>1</v>
      </c>
      <c r="G330">
        <v>109</v>
      </c>
      <c r="H330">
        <v>1996</v>
      </c>
      <c r="I330" t="s">
        <v>640</v>
      </c>
      <c r="J330" t="s">
        <v>1708</v>
      </c>
      <c r="K330" t="s">
        <v>143</v>
      </c>
      <c r="P330" t="s">
        <v>1352</v>
      </c>
      <c r="R330" t="s">
        <v>233</v>
      </c>
      <c r="S330" t="s">
        <v>2051</v>
      </c>
    </row>
    <row r="331" spans="1:19" x14ac:dyDescent="0.2">
      <c r="A331" t="s">
        <v>138</v>
      </c>
      <c r="B331" t="s">
        <v>2052</v>
      </c>
      <c r="C331" t="s">
        <v>2053</v>
      </c>
      <c r="D331" t="s">
        <v>2054</v>
      </c>
      <c r="E331">
        <v>6</v>
      </c>
      <c r="F331">
        <v>1</v>
      </c>
      <c r="G331">
        <v>67</v>
      </c>
      <c r="H331">
        <v>2015</v>
      </c>
      <c r="I331" t="s">
        <v>415</v>
      </c>
      <c r="J331" t="s">
        <v>794</v>
      </c>
      <c r="K331" t="s">
        <v>143</v>
      </c>
      <c r="P331" t="s">
        <v>1352</v>
      </c>
      <c r="R331" t="s">
        <v>233</v>
      </c>
      <c r="S331" t="s">
        <v>2055</v>
      </c>
    </row>
    <row r="332" spans="1:19" x14ac:dyDescent="0.2">
      <c r="A332" t="s">
        <v>138</v>
      </c>
      <c r="B332" t="s">
        <v>2056</v>
      </c>
      <c r="C332" t="s">
        <v>2057</v>
      </c>
      <c r="D332" t="s">
        <v>2058</v>
      </c>
      <c r="E332">
        <v>16</v>
      </c>
      <c r="F332">
        <v>1</v>
      </c>
      <c r="G332">
        <v>133</v>
      </c>
      <c r="H332">
        <v>2011</v>
      </c>
      <c r="I332" t="s">
        <v>2059</v>
      </c>
      <c r="J332" t="s">
        <v>2060</v>
      </c>
      <c r="K332" t="s">
        <v>143</v>
      </c>
      <c r="P332" t="s">
        <v>1352</v>
      </c>
      <c r="R332" t="s">
        <v>233</v>
      </c>
      <c r="S332" t="s">
        <v>2061</v>
      </c>
    </row>
    <row r="333" spans="1:19" x14ac:dyDescent="0.2">
      <c r="A333" t="s">
        <v>138</v>
      </c>
      <c r="B333" t="s">
        <v>2062</v>
      </c>
      <c r="C333" t="s">
        <v>2063</v>
      </c>
      <c r="D333" t="s">
        <v>2064</v>
      </c>
      <c r="E333">
        <v>38</v>
      </c>
      <c r="F333">
        <v>5</v>
      </c>
      <c r="G333">
        <v>73</v>
      </c>
      <c r="H333">
        <v>2002</v>
      </c>
      <c r="I333" t="s">
        <v>415</v>
      </c>
      <c r="J333" t="s">
        <v>794</v>
      </c>
      <c r="K333" t="s">
        <v>143</v>
      </c>
      <c r="P333" t="s">
        <v>1352</v>
      </c>
      <c r="R333" t="s">
        <v>233</v>
      </c>
      <c r="S333" t="s">
        <v>2065</v>
      </c>
    </row>
    <row r="334" spans="1:19" x14ac:dyDescent="0.2">
      <c r="A334" t="s">
        <v>138</v>
      </c>
      <c r="B334" t="s">
        <v>2066</v>
      </c>
      <c r="C334" t="s">
        <v>2067</v>
      </c>
      <c r="D334" t="s">
        <v>2068</v>
      </c>
      <c r="E334">
        <v>26</v>
      </c>
      <c r="F334">
        <v>4</v>
      </c>
      <c r="G334">
        <v>19</v>
      </c>
      <c r="H334">
        <v>2014</v>
      </c>
      <c r="I334" t="s">
        <v>578</v>
      </c>
      <c r="K334" t="s">
        <v>143</v>
      </c>
      <c r="P334" t="s">
        <v>1352</v>
      </c>
      <c r="R334" t="s">
        <v>233</v>
      </c>
      <c r="S334" t="s">
        <v>2069</v>
      </c>
    </row>
    <row r="335" spans="1:19" x14ac:dyDescent="0.2">
      <c r="A335" t="s">
        <v>138</v>
      </c>
      <c r="B335" t="s">
        <v>2070</v>
      </c>
      <c r="C335" t="s">
        <v>2071</v>
      </c>
      <c r="D335" t="s">
        <v>2072</v>
      </c>
      <c r="F335">
        <v>285</v>
      </c>
      <c r="G335">
        <v>20</v>
      </c>
      <c r="H335">
        <v>2001</v>
      </c>
      <c r="I335" t="s">
        <v>2073</v>
      </c>
      <c r="J335" t="s">
        <v>1657</v>
      </c>
      <c r="K335" t="s">
        <v>143</v>
      </c>
      <c r="P335" t="s">
        <v>1352</v>
      </c>
      <c r="R335" t="s">
        <v>233</v>
      </c>
      <c r="S335" t="s">
        <v>2074</v>
      </c>
    </row>
    <row r="336" spans="1:19" x14ac:dyDescent="0.2">
      <c r="A336" t="s">
        <v>138</v>
      </c>
      <c r="B336" t="s">
        <v>2075</v>
      </c>
      <c r="C336" t="s">
        <v>2076</v>
      </c>
      <c r="D336" t="s">
        <v>2077</v>
      </c>
      <c r="E336">
        <v>33</v>
      </c>
      <c r="F336" s="5">
        <v>44750</v>
      </c>
      <c r="G336">
        <v>221</v>
      </c>
      <c r="H336">
        <v>2010</v>
      </c>
      <c r="I336" t="s">
        <v>798</v>
      </c>
      <c r="J336" t="s">
        <v>2078</v>
      </c>
      <c r="K336" t="s">
        <v>143</v>
      </c>
      <c r="P336" t="s">
        <v>1352</v>
      </c>
      <c r="R336" t="s">
        <v>233</v>
      </c>
      <c r="S336" t="s">
        <v>2079</v>
      </c>
    </row>
    <row r="337" spans="1:19" x14ac:dyDescent="0.2">
      <c r="A337" t="s">
        <v>138</v>
      </c>
      <c r="B337" t="s">
        <v>2080</v>
      </c>
      <c r="C337" t="s">
        <v>2081</v>
      </c>
      <c r="D337" t="s">
        <v>861</v>
      </c>
      <c r="E337">
        <v>21</v>
      </c>
      <c r="F337">
        <v>3</v>
      </c>
      <c r="G337">
        <v>498</v>
      </c>
      <c r="H337">
        <v>2019</v>
      </c>
      <c r="I337" t="s">
        <v>1355</v>
      </c>
      <c r="K337" t="s">
        <v>143</v>
      </c>
      <c r="P337" t="s">
        <v>1352</v>
      </c>
      <c r="R337" t="s">
        <v>233</v>
      </c>
      <c r="S337" t="s">
        <v>2082</v>
      </c>
    </row>
    <row r="338" spans="1:19" x14ac:dyDescent="0.2">
      <c r="A338" t="s">
        <v>138</v>
      </c>
      <c r="B338" t="s">
        <v>2083</v>
      </c>
      <c r="C338" t="s">
        <v>2084</v>
      </c>
      <c r="D338" t="s">
        <v>645</v>
      </c>
      <c r="E338">
        <v>95</v>
      </c>
      <c r="F338">
        <v>8</v>
      </c>
      <c r="G338">
        <v>847</v>
      </c>
      <c r="H338">
        <v>2017</v>
      </c>
      <c r="I338" t="s">
        <v>2085</v>
      </c>
      <c r="J338" t="s">
        <v>2086</v>
      </c>
      <c r="K338" t="s">
        <v>143</v>
      </c>
      <c r="P338" t="s">
        <v>1352</v>
      </c>
      <c r="R338" t="s">
        <v>233</v>
      </c>
      <c r="S338" t="s">
        <v>2087</v>
      </c>
    </row>
    <row r="339" spans="1:19" x14ac:dyDescent="0.2">
      <c r="A339" t="s">
        <v>138</v>
      </c>
      <c r="B339" t="s">
        <v>2088</v>
      </c>
      <c r="C339" t="s">
        <v>2089</v>
      </c>
      <c r="D339" t="s">
        <v>2090</v>
      </c>
      <c r="E339">
        <v>5</v>
      </c>
      <c r="F339">
        <v>2</v>
      </c>
      <c r="G339">
        <v>181</v>
      </c>
      <c r="H339">
        <v>2009</v>
      </c>
      <c r="I339" t="s">
        <v>2091</v>
      </c>
      <c r="J339" t="s">
        <v>2092</v>
      </c>
      <c r="K339" t="s">
        <v>143</v>
      </c>
      <c r="P339" t="s">
        <v>1453</v>
      </c>
      <c r="R339" t="s">
        <v>233</v>
      </c>
      <c r="S339" t="s">
        <v>2093</v>
      </c>
    </row>
    <row r="340" spans="1:19" x14ac:dyDescent="0.2">
      <c r="A340" t="s">
        <v>138</v>
      </c>
      <c r="B340" t="s">
        <v>2094</v>
      </c>
      <c r="C340" t="s">
        <v>2095</v>
      </c>
      <c r="D340" t="s">
        <v>185</v>
      </c>
      <c r="E340">
        <v>40</v>
      </c>
      <c r="F340">
        <v>1</v>
      </c>
      <c r="G340">
        <v>21</v>
      </c>
      <c r="H340">
        <v>2012</v>
      </c>
      <c r="I340" t="s">
        <v>2096</v>
      </c>
      <c r="J340" t="s">
        <v>2097</v>
      </c>
      <c r="K340" t="s">
        <v>143</v>
      </c>
      <c r="P340" t="s">
        <v>1352</v>
      </c>
      <c r="R340" t="s">
        <v>233</v>
      </c>
      <c r="S340" t="s">
        <v>2098</v>
      </c>
    </row>
    <row r="341" spans="1:19" x14ac:dyDescent="0.2">
      <c r="A341" t="s">
        <v>138</v>
      </c>
      <c r="B341" t="s">
        <v>2099</v>
      </c>
      <c r="C341" t="s">
        <v>2100</v>
      </c>
      <c r="D341" t="s">
        <v>740</v>
      </c>
      <c r="E341">
        <v>31</v>
      </c>
      <c r="F341">
        <v>3</v>
      </c>
      <c r="G341">
        <v>743</v>
      </c>
      <c r="H341">
        <v>2020</v>
      </c>
      <c r="I341" t="s">
        <v>1033</v>
      </c>
      <c r="J341" t="s">
        <v>2101</v>
      </c>
      <c r="K341" t="s">
        <v>143</v>
      </c>
      <c r="P341" t="s">
        <v>1352</v>
      </c>
      <c r="R341" t="s">
        <v>233</v>
      </c>
      <c r="S341" t="s">
        <v>2102</v>
      </c>
    </row>
    <row r="342" spans="1:19" x14ac:dyDescent="0.2">
      <c r="A342" t="s">
        <v>138</v>
      </c>
      <c r="B342" t="s">
        <v>2103</v>
      </c>
      <c r="C342" t="s">
        <v>2104</v>
      </c>
      <c r="D342" t="s">
        <v>2105</v>
      </c>
      <c r="E342">
        <v>73</v>
      </c>
      <c r="F342">
        <v>10</v>
      </c>
      <c r="G342">
        <v>945</v>
      </c>
      <c r="H342">
        <v>2018</v>
      </c>
      <c r="I342" t="s">
        <v>2106</v>
      </c>
      <c r="J342" t="s">
        <v>2107</v>
      </c>
      <c r="K342" t="s">
        <v>143</v>
      </c>
      <c r="P342" t="s">
        <v>1352</v>
      </c>
      <c r="R342" t="s">
        <v>233</v>
      </c>
      <c r="S342" t="s">
        <v>2108</v>
      </c>
    </row>
    <row r="343" spans="1:19" x14ac:dyDescent="0.2">
      <c r="A343" t="s">
        <v>488</v>
      </c>
      <c r="B343" t="s">
        <v>2109</v>
      </c>
      <c r="C343" t="s">
        <v>2110</v>
      </c>
      <c r="D343" t="s">
        <v>2111</v>
      </c>
      <c r="E343">
        <v>925</v>
      </c>
      <c r="G343">
        <v>213</v>
      </c>
      <c r="H343">
        <v>2011</v>
      </c>
      <c r="I343" t="s">
        <v>2112</v>
      </c>
      <c r="J343" t="s">
        <v>2113</v>
      </c>
      <c r="K343" t="s">
        <v>143</v>
      </c>
      <c r="P343" t="s">
        <v>1352</v>
      </c>
      <c r="R343" t="s">
        <v>233</v>
      </c>
      <c r="S343" t="s">
        <v>2114</v>
      </c>
    </row>
    <row r="344" spans="1:19" x14ac:dyDescent="0.2">
      <c r="A344" t="s">
        <v>488</v>
      </c>
      <c r="B344" t="s">
        <v>2115</v>
      </c>
      <c r="C344" t="s">
        <v>2116</v>
      </c>
      <c r="D344" t="s">
        <v>2117</v>
      </c>
      <c r="E344">
        <v>826</v>
      </c>
      <c r="G344">
        <v>185</v>
      </c>
      <c r="H344">
        <v>2009</v>
      </c>
      <c r="I344" t="s">
        <v>2118</v>
      </c>
      <c r="J344" t="s">
        <v>2119</v>
      </c>
      <c r="K344" t="s">
        <v>143</v>
      </c>
      <c r="P344" t="s">
        <v>1352</v>
      </c>
      <c r="R344" t="s">
        <v>233</v>
      </c>
      <c r="S344" t="s">
        <v>2120</v>
      </c>
    </row>
    <row r="345" spans="1:19" x14ac:dyDescent="0.2">
      <c r="A345" t="s">
        <v>138</v>
      </c>
      <c r="B345" t="s">
        <v>2121</v>
      </c>
      <c r="C345" t="s">
        <v>2122</v>
      </c>
      <c r="D345" t="s">
        <v>2123</v>
      </c>
      <c r="E345">
        <v>123</v>
      </c>
      <c r="F345">
        <v>4</v>
      </c>
      <c r="G345">
        <v>801</v>
      </c>
      <c r="H345">
        <v>1993</v>
      </c>
      <c r="I345" t="s">
        <v>2124</v>
      </c>
      <c r="J345" t="s">
        <v>2125</v>
      </c>
      <c r="K345" t="s">
        <v>143</v>
      </c>
      <c r="P345" t="s">
        <v>1352</v>
      </c>
      <c r="R345" t="s">
        <v>233</v>
      </c>
      <c r="S345" t="s">
        <v>2126</v>
      </c>
    </row>
    <row r="346" spans="1:19" x14ac:dyDescent="0.2">
      <c r="A346" t="s">
        <v>138</v>
      </c>
      <c r="B346" t="s">
        <v>2127</v>
      </c>
      <c r="C346" t="s">
        <v>2128</v>
      </c>
      <c r="D346" t="s">
        <v>1742</v>
      </c>
      <c r="E346">
        <v>61</v>
      </c>
      <c r="F346">
        <v>10</v>
      </c>
      <c r="G346">
        <v>417</v>
      </c>
      <c r="H346">
        <v>2015</v>
      </c>
      <c r="I346" t="s">
        <v>2129</v>
      </c>
      <c r="J346" t="s">
        <v>2130</v>
      </c>
      <c r="K346" t="s">
        <v>143</v>
      </c>
      <c r="P346" t="s">
        <v>1352</v>
      </c>
      <c r="R346" t="s">
        <v>233</v>
      </c>
      <c r="S346" t="s">
        <v>2131</v>
      </c>
    </row>
    <row r="347" spans="1:19" x14ac:dyDescent="0.2">
      <c r="A347" t="s">
        <v>138</v>
      </c>
      <c r="B347" t="s">
        <v>2132</v>
      </c>
      <c r="C347" t="s">
        <v>2133</v>
      </c>
      <c r="D347" t="s">
        <v>1595</v>
      </c>
      <c r="F347">
        <v>4</v>
      </c>
      <c r="G347">
        <v>78</v>
      </c>
      <c r="H347">
        <v>2011</v>
      </c>
      <c r="I347" t="s">
        <v>2134</v>
      </c>
      <c r="J347" t="s">
        <v>651</v>
      </c>
      <c r="K347" t="s">
        <v>143</v>
      </c>
      <c r="P347" t="s">
        <v>1352</v>
      </c>
      <c r="R347" t="s">
        <v>233</v>
      </c>
      <c r="S347" t="s">
        <v>2135</v>
      </c>
    </row>
    <row r="348" spans="1:19" x14ac:dyDescent="0.2">
      <c r="A348" t="s">
        <v>138</v>
      </c>
      <c r="B348" t="s">
        <v>2136</v>
      </c>
      <c r="C348" t="s">
        <v>2137</v>
      </c>
      <c r="D348" t="s">
        <v>1570</v>
      </c>
      <c r="E348">
        <v>37</v>
      </c>
      <c r="F348">
        <v>3</v>
      </c>
      <c r="G348">
        <v>552</v>
      </c>
      <c r="H348">
        <v>2017</v>
      </c>
      <c r="I348" t="s">
        <v>2138</v>
      </c>
      <c r="J348" t="s">
        <v>2139</v>
      </c>
      <c r="K348" t="s">
        <v>143</v>
      </c>
      <c r="P348" t="s">
        <v>1352</v>
      </c>
      <c r="R348" t="s">
        <v>233</v>
      </c>
      <c r="S348" t="s">
        <v>2140</v>
      </c>
    </row>
    <row r="349" spans="1:19" x14ac:dyDescent="0.2">
      <c r="A349" t="s">
        <v>138</v>
      </c>
      <c r="B349" t="s">
        <v>2141</v>
      </c>
      <c r="C349" t="s">
        <v>2142</v>
      </c>
      <c r="D349" t="s">
        <v>633</v>
      </c>
      <c r="E349">
        <v>30</v>
      </c>
      <c r="F349">
        <v>3</v>
      </c>
      <c r="G349">
        <v>44</v>
      </c>
      <c r="H349">
        <v>2011</v>
      </c>
      <c r="I349" t="s">
        <v>415</v>
      </c>
      <c r="J349" t="s">
        <v>2143</v>
      </c>
      <c r="K349" t="s">
        <v>143</v>
      </c>
      <c r="P349" t="s">
        <v>1352</v>
      </c>
      <c r="R349" t="s">
        <v>233</v>
      </c>
      <c r="S349" t="s">
        <v>2144</v>
      </c>
    </row>
    <row r="350" spans="1:19" x14ac:dyDescent="0.2">
      <c r="A350" t="s">
        <v>138</v>
      </c>
      <c r="B350" t="s">
        <v>2145</v>
      </c>
      <c r="C350" t="s">
        <v>2146</v>
      </c>
      <c r="D350" t="s">
        <v>2147</v>
      </c>
      <c r="E350">
        <v>10</v>
      </c>
      <c r="F350">
        <v>1</v>
      </c>
      <c r="G350">
        <v>25</v>
      </c>
      <c r="H350">
        <v>2007</v>
      </c>
      <c r="I350" t="s">
        <v>578</v>
      </c>
      <c r="J350" t="s">
        <v>2148</v>
      </c>
      <c r="K350" t="s">
        <v>143</v>
      </c>
      <c r="P350" t="s">
        <v>1352</v>
      </c>
      <c r="R350" t="s">
        <v>233</v>
      </c>
      <c r="S350" t="s">
        <v>2149</v>
      </c>
    </row>
    <row r="351" spans="1:19" x14ac:dyDescent="0.2">
      <c r="A351" t="s">
        <v>138</v>
      </c>
      <c r="B351" t="s">
        <v>2150</v>
      </c>
      <c r="C351" t="s">
        <v>2151</v>
      </c>
      <c r="D351" t="s">
        <v>328</v>
      </c>
      <c r="E351">
        <v>4</v>
      </c>
      <c r="F351">
        <v>4</v>
      </c>
      <c r="G351" t="s">
        <v>2152</v>
      </c>
      <c r="H351">
        <v>2017</v>
      </c>
      <c r="I351" t="s">
        <v>760</v>
      </c>
      <c r="J351" t="s">
        <v>2153</v>
      </c>
      <c r="K351" t="s">
        <v>143</v>
      </c>
      <c r="P351" t="s">
        <v>1352</v>
      </c>
      <c r="R351" t="s">
        <v>233</v>
      </c>
      <c r="S351" t="s">
        <v>2154</v>
      </c>
    </row>
    <row r="352" spans="1:19" x14ac:dyDescent="0.2">
      <c r="A352" t="s">
        <v>138</v>
      </c>
      <c r="B352" t="s">
        <v>2155</v>
      </c>
      <c r="C352" t="s">
        <v>2156</v>
      </c>
      <c r="D352" t="s">
        <v>1890</v>
      </c>
      <c r="E352">
        <v>13</v>
      </c>
      <c r="F352">
        <v>1</v>
      </c>
      <c r="G352" t="s">
        <v>2157</v>
      </c>
      <c r="H352">
        <v>2021</v>
      </c>
      <c r="I352" t="s">
        <v>2129</v>
      </c>
      <c r="J352" t="s">
        <v>2158</v>
      </c>
      <c r="K352" t="s">
        <v>143</v>
      </c>
      <c r="P352" t="s">
        <v>1352</v>
      </c>
      <c r="R352" t="s">
        <v>233</v>
      </c>
      <c r="S352" t="s">
        <v>2159</v>
      </c>
    </row>
    <row r="353" spans="1:19" x14ac:dyDescent="0.2">
      <c r="A353" t="s">
        <v>138</v>
      </c>
      <c r="B353" t="s">
        <v>2160</v>
      </c>
      <c r="C353" t="s">
        <v>2161</v>
      </c>
      <c r="D353" t="s">
        <v>341</v>
      </c>
      <c r="E353">
        <v>7</v>
      </c>
      <c r="F353">
        <v>12</v>
      </c>
      <c r="H353">
        <v>2021</v>
      </c>
      <c r="I353" t="s">
        <v>2162</v>
      </c>
      <c r="J353" t="s">
        <v>2163</v>
      </c>
      <c r="K353" t="s">
        <v>143</v>
      </c>
      <c r="P353" t="s">
        <v>1352</v>
      </c>
      <c r="R353" t="s">
        <v>233</v>
      </c>
      <c r="S353" t="s">
        <v>2164</v>
      </c>
    </row>
    <row r="354" spans="1:19" x14ac:dyDescent="0.2">
      <c r="A354" t="s">
        <v>138</v>
      </c>
      <c r="B354" t="s">
        <v>2165</v>
      </c>
      <c r="C354" t="s">
        <v>2166</v>
      </c>
      <c r="D354" t="s">
        <v>2167</v>
      </c>
      <c r="E354">
        <v>6</v>
      </c>
      <c r="F354">
        <v>4</v>
      </c>
      <c r="G354">
        <v>611</v>
      </c>
      <c r="H354">
        <v>2007</v>
      </c>
      <c r="I354" t="s">
        <v>278</v>
      </c>
      <c r="J354" t="s">
        <v>2168</v>
      </c>
      <c r="K354" t="s">
        <v>143</v>
      </c>
      <c r="P354" t="s">
        <v>1352</v>
      </c>
      <c r="R354" t="s">
        <v>233</v>
      </c>
      <c r="S354" t="s">
        <v>2169</v>
      </c>
    </row>
    <row r="355" spans="1:19" x14ac:dyDescent="0.2">
      <c r="A355" t="s">
        <v>138</v>
      </c>
      <c r="B355" t="s">
        <v>2170</v>
      </c>
      <c r="C355" t="s">
        <v>2171</v>
      </c>
      <c r="D355" t="s">
        <v>2172</v>
      </c>
      <c r="E355">
        <v>21</v>
      </c>
      <c r="F355">
        <v>3</v>
      </c>
      <c r="G355">
        <v>379</v>
      </c>
      <c r="H355">
        <v>2013</v>
      </c>
      <c r="I355" t="s">
        <v>278</v>
      </c>
      <c r="J355" t="s">
        <v>1749</v>
      </c>
      <c r="K355" t="s">
        <v>143</v>
      </c>
      <c r="P355" t="s">
        <v>1352</v>
      </c>
      <c r="R355" t="s">
        <v>233</v>
      </c>
      <c r="S355" t="s">
        <v>2173</v>
      </c>
    </row>
    <row r="356" spans="1:19" x14ac:dyDescent="0.2">
      <c r="A356" t="s">
        <v>138</v>
      </c>
      <c r="B356" t="s">
        <v>2174</v>
      </c>
      <c r="C356" t="s">
        <v>2175</v>
      </c>
      <c r="D356" t="s">
        <v>2176</v>
      </c>
      <c r="E356">
        <v>23</v>
      </c>
      <c r="F356">
        <v>3</v>
      </c>
      <c r="G356">
        <v>391</v>
      </c>
      <c r="H356">
        <v>2007</v>
      </c>
      <c r="I356" t="s">
        <v>278</v>
      </c>
      <c r="J356" t="s">
        <v>1749</v>
      </c>
      <c r="K356" t="s">
        <v>143</v>
      </c>
      <c r="P356" t="s">
        <v>1352</v>
      </c>
      <c r="R356" t="s">
        <v>233</v>
      </c>
      <c r="S356" t="s">
        <v>2177</v>
      </c>
    </row>
    <row r="357" spans="1:19" x14ac:dyDescent="0.2">
      <c r="A357" t="s">
        <v>138</v>
      </c>
      <c r="B357" t="s">
        <v>2178</v>
      </c>
      <c r="C357" t="s">
        <v>2179</v>
      </c>
      <c r="D357" t="s">
        <v>659</v>
      </c>
      <c r="E357">
        <v>193</v>
      </c>
      <c r="G357">
        <v>174</v>
      </c>
      <c r="H357">
        <v>2015</v>
      </c>
      <c r="I357" t="s">
        <v>867</v>
      </c>
      <c r="J357" t="s">
        <v>2180</v>
      </c>
      <c r="K357" t="s">
        <v>143</v>
      </c>
      <c r="P357" t="s">
        <v>1352</v>
      </c>
      <c r="R357" t="s">
        <v>233</v>
      </c>
      <c r="S357" t="s">
        <v>2181</v>
      </c>
    </row>
    <row r="358" spans="1:19" x14ac:dyDescent="0.2">
      <c r="A358" t="s">
        <v>138</v>
      </c>
      <c r="B358" t="s">
        <v>2182</v>
      </c>
      <c r="C358" t="s">
        <v>2183</v>
      </c>
      <c r="D358" t="s">
        <v>803</v>
      </c>
      <c r="E358">
        <v>28</v>
      </c>
      <c r="F358">
        <v>2</v>
      </c>
      <c r="G358">
        <v>101</v>
      </c>
      <c r="H358">
        <v>2013</v>
      </c>
      <c r="I358" t="s">
        <v>1844</v>
      </c>
      <c r="J358" t="s">
        <v>2184</v>
      </c>
      <c r="K358" t="s">
        <v>143</v>
      </c>
      <c r="P358" t="s">
        <v>1352</v>
      </c>
      <c r="R358" t="s">
        <v>233</v>
      </c>
      <c r="S358" t="s">
        <v>2185</v>
      </c>
    </row>
    <row r="359" spans="1:19" x14ac:dyDescent="0.2">
      <c r="A359" t="s">
        <v>138</v>
      </c>
      <c r="B359" t="s">
        <v>2186</v>
      </c>
      <c r="C359" t="s">
        <v>2187</v>
      </c>
      <c r="D359" t="s">
        <v>242</v>
      </c>
      <c r="E359">
        <v>75</v>
      </c>
      <c r="F359">
        <v>3</v>
      </c>
      <c r="G359">
        <v>309</v>
      </c>
      <c r="H359">
        <v>2011</v>
      </c>
      <c r="I359" t="s">
        <v>682</v>
      </c>
      <c r="J359" t="s">
        <v>2188</v>
      </c>
      <c r="K359" t="s">
        <v>143</v>
      </c>
      <c r="P359" t="s">
        <v>1352</v>
      </c>
      <c r="R359" t="s">
        <v>233</v>
      </c>
      <c r="S359" t="s">
        <v>2189</v>
      </c>
    </row>
    <row r="360" spans="1:19" x14ac:dyDescent="0.2">
      <c r="A360" t="s">
        <v>138</v>
      </c>
      <c r="B360" t="s">
        <v>2190</v>
      </c>
      <c r="C360" t="s">
        <v>2191</v>
      </c>
      <c r="D360" t="s">
        <v>2192</v>
      </c>
      <c r="E360">
        <v>2</v>
      </c>
      <c r="F360">
        <v>4</v>
      </c>
      <c r="G360">
        <v>29</v>
      </c>
      <c r="H360">
        <v>2000</v>
      </c>
      <c r="I360" t="s">
        <v>2193</v>
      </c>
      <c r="J360" t="s">
        <v>1560</v>
      </c>
      <c r="K360" t="s">
        <v>143</v>
      </c>
      <c r="P360" t="s">
        <v>1352</v>
      </c>
      <c r="R360" t="s">
        <v>233</v>
      </c>
      <c r="S360" t="s">
        <v>2194</v>
      </c>
    </row>
    <row r="361" spans="1:19" x14ac:dyDescent="0.2">
      <c r="A361" t="s">
        <v>138</v>
      </c>
      <c r="B361" t="s">
        <v>2195</v>
      </c>
      <c r="C361" t="s">
        <v>2196</v>
      </c>
      <c r="D361" t="s">
        <v>2197</v>
      </c>
      <c r="E361">
        <v>214</v>
      </c>
      <c r="F361">
        <v>9</v>
      </c>
      <c r="H361">
        <v>2018</v>
      </c>
      <c r="I361" t="s">
        <v>1713</v>
      </c>
      <c r="J361" t="s">
        <v>2198</v>
      </c>
      <c r="K361" t="s">
        <v>143</v>
      </c>
      <c r="P361" t="s">
        <v>1352</v>
      </c>
      <c r="R361" t="s">
        <v>233</v>
      </c>
      <c r="S361" t="s">
        <v>2199</v>
      </c>
    </row>
    <row r="362" spans="1:19" x14ac:dyDescent="0.2">
      <c r="A362" t="s">
        <v>138</v>
      </c>
      <c r="B362" t="s">
        <v>2200</v>
      </c>
      <c r="C362" t="s">
        <v>2201</v>
      </c>
      <c r="D362" t="s">
        <v>2202</v>
      </c>
      <c r="E362">
        <v>195</v>
      </c>
      <c r="F362">
        <v>3</v>
      </c>
      <c r="G362">
        <v>291</v>
      </c>
      <c r="H362">
        <v>2004</v>
      </c>
      <c r="I362" t="s">
        <v>2203</v>
      </c>
      <c r="K362" t="s">
        <v>143</v>
      </c>
      <c r="P362" t="s">
        <v>1352</v>
      </c>
      <c r="R362" t="s">
        <v>233</v>
      </c>
      <c r="S362" t="s">
        <v>2204</v>
      </c>
    </row>
    <row r="363" spans="1:19" x14ac:dyDescent="0.2">
      <c r="A363" t="s">
        <v>138</v>
      </c>
      <c r="B363" t="s">
        <v>2205</v>
      </c>
      <c r="C363" t="s">
        <v>2206</v>
      </c>
      <c r="D363" t="s">
        <v>2207</v>
      </c>
      <c r="E363">
        <v>18</v>
      </c>
      <c r="F363">
        <v>1</v>
      </c>
      <c r="G363">
        <v>64</v>
      </c>
      <c r="H363">
        <v>2015</v>
      </c>
      <c r="I363" t="s">
        <v>798</v>
      </c>
      <c r="K363" t="s">
        <v>143</v>
      </c>
      <c r="P363" t="s">
        <v>1352</v>
      </c>
      <c r="R363" t="s">
        <v>233</v>
      </c>
      <c r="S363" t="s">
        <v>2208</v>
      </c>
    </row>
    <row r="364" spans="1:19" x14ac:dyDescent="0.2">
      <c r="A364" t="s">
        <v>138</v>
      </c>
      <c r="B364" t="s">
        <v>2209</v>
      </c>
      <c r="C364" t="s">
        <v>2210</v>
      </c>
      <c r="D364" t="s">
        <v>185</v>
      </c>
      <c r="E364">
        <v>36</v>
      </c>
      <c r="F364">
        <v>1</v>
      </c>
      <c r="G364">
        <v>225</v>
      </c>
      <c r="H364">
        <v>2008</v>
      </c>
      <c r="I364" t="s">
        <v>2211</v>
      </c>
      <c r="J364" t="s">
        <v>730</v>
      </c>
      <c r="K364" t="s">
        <v>143</v>
      </c>
      <c r="P364" t="s">
        <v>1352</v>
      </c>
      <c r="R364" t="s">
        <v>356</v>
      </c>
      <c r="S364" t="s">
        <v>2212</v>
      </c>
    </row>
    <row r="365" spans="1:19" x14ac:dyDescent="0.2">
      <c r="A365" t="s">
        <v>138</v>
      </c>
      <c r="B365" t="s">
        <v>2213</v>
      </c>
      <c r="C365" t="s">
        <v>2214</v>
      </c>
      <c r="D365" t="s">
        <v>2215</v>
      </c>
      <c r="E365">
        <v>36</v>
      </c>
      <c r="F365">
        <v>1</v>
      </c>
      <c r="G365">
        <v>225</v>
      </c>
      <c r="H365">
        <v>2008</v>
      </c>
      <c r="I365" t="s">
        <v>2211</v>
      </c>
      <c r="J365" t="s">
        <v>730</v>
      </c>
      <c r="K365" t="s">
        <v>143</v>
      </c>
      <c r="P365" t="s">
        <v>1352</v>
      </c>
      <c r="R365" t="s">
        <v>356</v>
      </c>
      <c r="S365" t="s">
        <v>2212</v>
      </c>
    </row>
    <row r="366" spans="1:19" x14ac:dyDescent="0.2">
      <c r="A366" t="s">
        <v>138</v>
      </c>
      <c r="B366" t="s">
        <v>2216</v>
      </c>
      <c r="C366" t="s">
        <v>2217</v>
      </c>
      <c r="D366" t="s">
        <v>2218</v>
      </c>
      <c r="E366">
        <v>28</v>
      </c>
      <c r="F366">
        <v>4</v>
      </c>
      <c r="G366">
        <v>495</v>
      </c>
      <c r="H366">
        <v>2014</v>
      </c>
      <c r="I366" t="s">
        <v>2219</v>
      </c>
      <c r="J366" t="s">
        <v>2220</v>
      </c>
      <c r="K366" t="s">
        <v>143</v>
      </c>
      <c r="P366" t="s">
        <v>1352</v>
      </c>
      <c r="R366" t="s">
        <v>356</v>
      </c>
      <c r="S366" t="s">
        <v>2221</v>
      </c>
    </row>
    <row r="367" spans="1:19" x14ac:dyDescent="0.2">
      <c r="A367" t="s">
        <v>138</v>
      </c>
      <c r="B367" t="s">
        <v>2222</v>
      </c>
      <c r="C367" t="s">
        <v>2223</v>
      </c>
      <c r="D367" t="s">
        <v>754</v>
      </c>
      <c r="E367">
        <v>13</v>
      </c>
      <c r="F367">
        <v>3</v>
      </c>
      <c r="G367" t="s">
        <v>2224</v>
      </c>
      <c r="H367">
        <v>2005</v>
      </c>
      <c r="I367" t="s">
        <v>2225</v>
      </c>
      <c r="J367" t="s">
        <v>730</v>
      </c>
      <c r="K367" t="s">
        <v>143</v>
      </c>
      <c r="P367" t="s">
        <v>1352</v>
      </c>
      <c r="R367" t="s">
        <v>356</v>
      </c>
      <c r="S367" t="s">
        <v>2226</v>
      </c>
    </row>
    <row r="368" spans="1:19" x14ac:dyDescent="0.2">
      <c r="A368" t="s">
        <v>138</v>
      </c>
      <c r="B368" t="s">
        <v>2227</v>
      </c>
      <c r="C368" t="s">
        <v>2228</v>
      </c>
      <c r="D368" t="s">
        <v>2229</v>
      </c>
      <c r="E368">
        <v>50</v>
      </c>
      <c r="F368">
        <v>2</v>
      </c>
      <c r="G368">
        <v>605</v>
      </c>
      <c r="H368">
        <v>2018</v>
      </c>
      <c r="I368" t="s">
        <v>1719</v>
      </c>
      <c r="J368" t="s">
        <v>1720</v>
      </c>
      <c r="K368" t="s">
        <v>143</v>
      </c>
      <c r="P368" t="s">
        <v>1352</v>
      </c>
      <c r="R368" t="s">
        <v>356</v>
      </c>
      <c r="S368" t="s">
        <v>2230</v>
      </c>
    </row>
    <row r="369" spans="1:19" x14ac:dyDescent="0.2">
      <c r="A369" t="s">
        <v>138</v>
      </c>
      <c r="B369" t="s">
        <v>2231</v>
      </c>
      <c r="C369" t="s">
        <v>2232</v>
      </c>
      <c r="D369" t="s">
        <v>213</v>
      </c>
      <c r="E369">
        <v>74</v>
      </c>
      <c r="F369">
        <v>2</v>
      </c>
      <c r="G369">
        <v>282</v>
      </c>
      <c r="H369">
        <v>2017</v>
      </c>
      <c r="I369" t="s">
        <v>2233</v>
      </c>
      <c r="J369" t="s">
        <v>2234</v>
      </c>
      <c r="K369" t="s">
        <v>143</v>
      </c>
      <c r="P369" t="s">
        <v>1352</v>
      </c>
      <c r="R369" t="s">
        <v>356</v>
      </c>
      <c r="S369" t="s">
        <v>2235</v>
      </c>
    </row>
    <row r="370" spans="1:19" x14ac:dyDescent="0.2">
      <c r="A370" t="s">
        <v>138</v>
      </c>
      <c r="B370" t="s">
        <v>2236</v>
      </c>
      <c r="C370" t="s">
        <v>2237</v>
      </c>
      <c r="D370" t="s">
        <v>659</v>
      </c>
      <c r="E370">
        <v>118</v>
      </c>
      <c r="F370">
        <v>4</v>
      </c>
      <c r="G370">
        <v>347</v>
      </c>
      <c r="H370">
        <v>2008</v>
      </c>
      <c r="I370" t="s">
        <v>2238</v>
      </c>
      <c r="J370" t="s">
        <v>343</v>
      </c>
      <c r="K370" t="s">
        <v>143</v>
      </c>
      <c r="P370" t="s">
        <v>1352</v>
      </c>
      <c r="R370" t="s">
        <v>356</v>
      </c>
      <c r="S370" t="s">
        <v>2239</v>
      </c>
    </row>
    <row r="371" spans="1:19" x14ac:dyDescent="0.2">
      <c r="A371" t="s">
        <v>138</v>
      </c>
      <c r="B371" t="s">
        <v>2240</v>
      </c>
      <c r="C371" t="s">
        <v>2241</v>
      </c>
      <c r="D371" t="s">
        <v>366</v>
      </c>
      <c r="E371">
        <v>40</v>
      </c>
      <c r="F371">
        <v>6</v>
      </c>
      <c r="G371">
        <v>1751</v>
      </c>
      <c r="H371">
        <v>2005</v>
      </c>
      <c r="I371" t="s">
        <v>640</v>
      </c>
      <c r="J371" t="s">
        <v>730</v>
      </c>
      <c r="K371" t="s">
        <v>143</v>
      </c>
      <c r="P371" t="s">
        <v>1352</v>
      </c>
      <c r="R371" t="s">
        <v>356</v>
      </c>
      <c r="S371" t="s">
        <v>2242</v>
      </c>
    </row>
    <row r="372" spans="1:19" x14ac:dyDescent="0.2">
      <c r="A372" t="s">
        <v>138</v>
      </c>
      <c r="B372" t="s">
        <v>2243</v>
      </c>
      <c r="C372" t="s">
        <v>2244</v>
      </c>
      <c r="D372" t="s">
        <v>178</v>
      </c>
      <c r="E372">
        <v>4</v>
      </c>
      <c r="F372">
        <v>2</v>
      </c>
      <c r="G372" t="s">
        <v>2245</v>
      </c>
      <c r="H372">
        <v>2015</v>
      </c>
      <c r="I372" t="s">
        <v>755</v>
      </c>
      <c r="J372" t="s">
        <v>2246</v>
      </c>
      <c r="K372" t="s">
        <v>143</v>
      </c>
      <c r="P372" t="s">
        <v>1352</v>
      </c>
      <c r="R372" t="s">
        <v>356</v>
      </c>
      <c r="S372" t="s">
        <v>2247</v>
      </c>
    </row>
    <row r="373" spans="1:19" x14ac:dyDescent="0.2">
      <c r="A373" t="s">
        <v>138</v>
      </c>
      <c r="B373" t="s">
        <v>2248</v>
      </c>
      <c r="C373" t="s">
        <v>2249</v>
      </c>
      <c r="D373" t="s">
        <v>248</v>
      </c>
      <c r="E373">
        <v>6</v>
      </c>
      <c r="F373">
        <v>2</v>
      </c>
      <c r="G373" t="s">
        <v>2250</v>
      </c>
      <c r="H373">
        <v>2020</v>
      </c>
      <c r="I373" t="s">
        <v>755</v>
      </c>
      <c r="J373" t="s">
        <v>2246</v>
      </c>
      <c r="K373" t="s">
        <v>143</v>
      </c>
      <c r="P373" t="s">
        <v>1352</v>
      </c>
      <c r="R373" t="s">
        <v>356</v>
      </c>
      <c r="S373" t="s">
        <v>2251</v>
      </c>
    </row>
    <row r="374" spans="1:19" x14ac:dyDescent="0.2">
      <c r="A374" t="s">
        <v>138</v>
      </c>
      <c r="B374" t="s">
        <v>2252</v>
      </c>
      <c r="C374" t="s">
        <v>2253</v>
      </c>
      <c r="D374" t="s">
        <v>2254</v>
      </c>
      <c r="E374">
        <v>3</v>
      </c>
      <c r="F374">
        <v>1</v>
      </c>
      <c r="G374">
        <v>172</v>
      </c>
      <c r="H374">
        <v>2013</v>
      </c>
      <c r="I374" t="s">
        <v>2255</v>
      </c>
      <c r="J374" t="s">
        <v>2256</v>
      </c>
      <c r="K374" t="s">
        <v>143</v>
      </c>
      <c r="P374" t="s">
        <v>1352</v>
      </c>
      <c r="R374" t="s">
        <v>356</v>
      </c>
      <c r="S374" t="s">
        <v>2257</v>
      </c>
    </row>
    <row r="375" spans="1:19" x14ac:dyDescent="0.2">
      <c r="A375" t="s">
        <v>138</v>
      </c>
      <c r="B375" t="s">
        <v>2258</v>
      </c>
      <c r="C375" t="s">
        <v>2259</v>
      </c>
      <c r="D375" t="s">
        <v>2260</v>
      </c>
      <c r="E375">
        <v>2</v>
      </c>
      <c r="F375">
        <v>7</v>
      </c>
      <c r="G375">
        <v>598</v>
      </c>
      <c r="H375">
        <v>2012</v>
      </c>
      <c r="I375" t="s">
        <v>278</v>
      </c>
      <c r="J375" t="s">
        <v>2168</v>
      </c>
      <c r="K375" t="s">
        <v>143</v>
      </c>
      <c r="P375" t="s">
        <v>1352</v>
      </c>
      <c r="R375" t="s">
        <v>356</v>
      </c>
      <c r="S375" t="s">
        <v>2261</v>
      </c>
    </row>
    <row r="376" spans="1:19" x14ac:dyDescent="0.2">
      <c r="A376" t="s">
        <v>138</v>
      </c>
      <c r="B376" t="s">
        <v>2262</v>
      </c>
      <c r="C376" t="s">
        <v>2263</v>
      </c>
      <c r="D376" t="s">
        <v>2264</v>
      </c>
      <c r="E376">
        <v>71</v>
      </c>
      <c r="G376">
        <v>57</v>
      </c>
      <c r="H376">
        <v>2015</v>
      </c>
      <c r="I376" t="s">
        <v>1226</v>
      </c>
      <c r="J376" t="s">
        <v>2265</v>
      </c>
      <c r="K376" t="s">
        <v>143</v>
      </c>
      <c r="P376" t="s">
        <v>1352</v>
      </c>
      <c r="R376" t="s">
        <v>356</v>
      </c>
      <c r="S376" t="s">
        <v>2266</v>
      </c>
    </row>
    <row r="377" spans="1:19" x14ac:dyDescent="0.2">
      <c r="A377" t="s">
        <v>138</v>
      </c>
      <c r="B377" t="s">
        <v>2267</v>
      </c>
      <c r="C377" t="s">
        <v>2268</v>
      </c>
      <c r="D377" t="s">
        <v>897</v>
      </c>
      <c r="E377">
        <v>105</v>
      </c>
      <c r="F377">
        <v>4</v>
      </c>
      <c r="G377">
        <v>749</v>
      </c>
      <c r="H377">
        <v>2018</v>
      </c>
      <c r="I377" t="s">
        <v>2269</v>
      </c>
      <c r="J377" t="s">
        <v>2270</v>
      </c>
      <c r="K377" t="s">
        <v>143</v>
      </c>
      <c r="P377" t="s">
        <v>1352</v>
      </c>
      <c r="R377" t="s">
        <v>356</v>
      </c>
      <c r="S377" t="s">
        <v>2271</v>
      </c>
    </row>
    <row r="378" spans="1:19" x14ac:dyDescent="0.2">
      <c r="A378" t="s">
        <v>138</v>
      </c>
      <c r="B378" t="s">
        <v>2272</v>
      </c>
      <c r="C378" t="s">
        <v>2273</v>
      </c>
      <c r="D378" t="s">
        <v>2274</v>
      </c>
      <c r="E378">
        <v>35</v>
      </c>
      <c r="F378">
        <v>5</v>
      </c>
      <c r="G378">
        <v>525</v>
      </c>
      <c r="H378">
        <v>2017</v>
      </c>
      <c r="I378" t="s">
        <v>2275</v>
      </c>
      <c r="J378" t="s">
        <v>2276</v>
      </c>
      <c r="K378" t="s">
        <v>143</v>
      </c>
      <c r="P378" t="s">
        <v>1352</v>
      </c>
      <c r="R378" t="s">
        <v>319</v>
      </c>
      <c r="S378" t="s">
        <v>2277</v>
      </c>
    </row>
    <row r="379" spans="1:19" x14ac:dyDescent="0.2">
      <c r="A379" t="s">
        <v>138</v>
      </c>
      <c r="B379" t="s">
        <v>2278</v>
      </c>
      <c r="C379" t="s">
        <v>2279</v>
      </c>
      <c r="D379" t="s">
        <v>963</v>
      </c>
      <c r="E379">
        <v>27</v>
      </c>
      <c r="F379">
        <v>3</v>
      </c>
      <c r="G379">
        <v>239</v>
      </c>
      <c r="H379">
        <v>2004</v>
      </c>
      <c r="I379" t="s">
        <v>224</v>
      </c>
      <c r="J379" t="s">
        <v>2280</v>
      </c>
      <c r="K379" t="s">
        <v>143</v>
      </c>
      <c r="P379" t="s">
        <v>1352</v>
      </c>
      <c r="R379" t="s">
        <v>319</v>
      </c>
      <c r="S379" t="s">
        <v>2281</v>
      </c>
    </row>
    <row r="380" spans="1:19" x14ac:dyDescent="0.2">
      <c r="A380" t="s">
        <v>138</v>
      </c>
      <c r="B380" t="s">
        <v>2282</v>
      </c>
      <c r="C380" t="s">
        <v>2283</v>
      </c>
      <c r="D380" t="s">
        <v>2229</v>
      </c>
      <c r="E380">
        <v>48</v>
      </c>
      <c r="F380">
        <v>3</v>
      </c>
      <c r="G380">
        <v>963</v>
      </c>
      <c r="H380">
        <v>2016</v>
      </c>
      <c r="I380" t="s">
        <v>446</v>
      </c>
      <c r="J380" t="s">
        <v>186</v>
      </c>
      <c r="K380" t="s">
        <v>143</v>
      </c>
      <c r="P380" t="s">
        <v>1352</v>
      </c>
      <c r="R380" t="s">
        <v>319</v>
      </c>
      <c r="S380" t="s">
        <v>2284</v>
      </c>
    </row>
    <row r="381" spans="1:19" x14ac:dyDescent="0.2">
      <c r="A381" t="s">
        <v>138</v>
      </c>
      <c r="B381" t="s">
        <v>2285</v>
      </c>
      <c r="C381" t="s">
        <v>2286</v>
      </c>
      <c r="D381" t="s">
        <v>2287</v>
      </c>
      <c r="E381">
        <v>78</v>
      </c>
      <c r="F381">
        <v>2</v>
      </c>
      <c r="G381">
        <v>107</v>
      </c>
      <c r="H381">
        <v>2019</v>
      </c>
      <c r="I381" t="s">
        <v>2288</v>
      </c>
      <c r="J381" t="s">
        <v>2289</v>
      </c>
      <c r="K381" t="s">
        <v>143</v>
      </c>
      <c r="P381" t="s">
        <v>1352</v>
      </c>
      <c r="R381" t="s">
        <v>319</v>
      </c>
      <c r="S381" t="s">
        <v>2290</v>
      </c>
    </row>
    <row r="382" spans="1:19" x14ac:dyDescent="0.2">
      <c r="A382" t="s">
        <v>138</v>
      </c>
      <c r="B382" t="s">
        <v>2291</v>
      </c>
      <c r="C382" t="s">
        <v>2292</v>
      </c>
      <c r="D382" t="s">
        <v>178</v>
      </c>
      <c r="E382">
        <v>9</v>
      </c>
      <c r="F382">
        <v>4</v>
      </c>
      <c r="G382" t="s">
        <v>2293</v>
      </c>
      <c r="H382">
        <v>2021</v>
      </c>
      <c r="I382" t="s">
        <v>755</v>
      </c>
      <c r="J382" t="s">
        <v>186</v>
      </c>
      <c r="K382" t="s">
        <v>143</v>
      </c>
      <c r="P382" t="s">
        <v>1352</v>
      </c>
      <c r="R382" t="s">
        <v>319</v>
      </c>
      <c r="S382" t="s">
        <v>2294</v>
      </c>
    </row>
    <row r="383" spans="1:19" x14ac:dyDescent="0.2">
      <c r="A383" t="s">
        <v>138</v>
      </c>
      <c r="B383" t="s">
        <v>2295</v>
      </c>
      <c r="C383" t="s">
        <v>2296</v>
      </c>
      <c r="D383" t="s">
        <v>248</v>
      </c>
      <c r="E383">
        <v>2</v>
      </c>
      <c r="F383">
        <v>1</v>
      </c>
      <c r="G383" t="s">
        <v>2297</v>
      </c>
      <c r="H383">
        <v>2015</v>
      </c>
      <c r="I383" t="s">
        <v>1056</v>
      </c>
      <c r="J383" t="s">
        <v>2298</v>
      </c>
      <c r="K383" t="s">
        <v>143</v>
      </c>
      <c r="P383" t="s">
        <v>1352</v>
      </c>
      <c r="R383" t="s">
        <v>319</v>
      </c>
      <c r="S383" t="s">
        <v>2299</v>
      </c>
    </row>
    <row r="384" spans="1:19" x14ac:dyDescent="0.2">
      <c r="A384" t="s">
        <v>138</v>
      </c>
      <c r="B384" t="s">
        <v>2300</v>
      </c>
      <c r="C384" t="s">
        <v>2301</v>
      </c>
      <c r="D384" t="s">
        <v>409</v>
      </c>
      <c r="F384">
        <v>1249</v>
      </c>
      <c r="G384">
        <v>63</v>
      </c>
      <c r="H384">
        <v>2019</v>
      </c>
      <c r="I384" t="s">
        <v>2302</v>
      </c>
      <c r="J384" t="s">
        <v>2303</v>
      </c>
      <c r="K384" t="s">
        <v>143</v>
      </c>
      <c r="P384" t="s">
        <v>1352</v>
      </c>
      <c r="R384" t="s">
        <v>319</v>
      </c>
      <c r="S384" t="s">
        <v>2304</v>
      </c>
    </row>
    <row r="385" spans="1:19" x14ac:dyDescent="0.2">
      <c r="A385" t="s">
        <v>138</v>
      </c>
      <c r="B385" t="s">
        <v>2305</v>
      </c>
      <c r="C385" t="s">
        <v>2306</v>
      </c>
      <c r="D385" t="s">
        <v>2307</v>
      </c>
      <c r="E385">
        <v>85</v>
      </c>
      <c r="F385">
        <v>4</v>
      </c>
      <c r="G385">
        <v>346</v>
      </c>
      <c r="H385">
        <v>2003</v>
      </c>
      <c r="I385" t="s">
        <v>2308</v>
      </c>
      <c r="J385" t="s">
        <v>2309</v>
      </c>
      <c r="K385" t="s">
        <v>143</v>
      </c>
      <c r="P385" t="s">
        <v>1352</v>
      </c>
      <c r="R385" t="s">
        <v>319</v>
      </c>
      <c r="S385" t="s">
        <v>2310</v>
      </c>
    </row>
    <row r="386" spans="1:19" x14ac:dyDescent="0.2">
      <c r="A386" t="s">
        <v>138</v>
      </c>
      <c r="B386" t="s">
        <v>2311</v>
      </c>
      <c r="C386" t="s">
        <v>2312</v>
      </c>
      <c r="D386" t="s">
        <v>2313</v>
      </c>
      <c r="E386">
        <v>26</v>
      </c>
      <c r="F386">
        <v>2</v>
      </c>
      <c r="G386" t="s">
        <v>2314</v>
      </c>
      <c r="H386">
        <v>2018</v>
      </c>
      <c r="I386" t="s">
        <v>2129</v>
      </c>
      <c r="J386" t="s">
        <v>2315</v>
      </c>
      <c r="K386" t="s">
        <v>143</v>
      </c>
      <c r="P386" t="s">
        <v>1352</v>
      </c>
      <c r="R386" t="s">
        <v>319</v>
      </c>
      <c r="S386" t="s">
        <v>2316</v>
      </c>
    </row>
    <row r="387" spans="1:19" x14ac:dyDescent="0.2">
      <c r="A387" t="s">
        <v>138</v>
      </c>
      <c r="B387" t="s">
        <v>2317</v>
      </c>
      <c r="C387" t="s">
        <v>2318</v>
      </c>
      <c r="D387" t="s">
        <v>2319</v>
      </c>
      <c r="E387">
        <v>7</v>
      </c>
      <c r="F387">
        <v>4</v>
      </c>
      <c r="G387">
        <v>167</v>
      </c>
      <c r="H387">
        <v>1989</v>
      </c>
      <c r="I387" t="s">
        <v>2002</v>
      </c>
      <c r="J387" t="s">
        <v>616</v>
      </c>
      <c r="K387" t="s">
        <v>143</v>
      </c>
      <c r="P387" t="s">
        <v>1352</v>
      </c>
      <c r="R387" t="s">
        <v>319</v>
      </c>
      <c r="S387" t="s">
        <v>2320</v>
      </c>
    </row>
    <row r="388" spans="1:19" x14ac:dyDescent="0.2">
      <c r="A388" t="s">
        <v>138</v>
      </c>
      <c r="B388" t="s">
        <v>2321</v>
      </c>
      <c r="C388" t="s">
        <v>2322</v>
      </c>
      <c r="D388" t="s">
        <v>2323</v>
      </c>
      <c r="E388">
        <v>3</v>
      </c>
      <c r="F388">
        <v>2</v>
      </c>
      <c r="G388">
        <v>125</v>
      </c>
      <c r="H388">
        <v>2002</v>
      </c>
      <c r="I388" t="s">
        <v>475</v>
      </c>
      <c r="J388" t="s">
        <v>186</v>
      </c>
      <c r="K388" t="s">
        <v>143</v>
      </c>
      <c r="P388" t="s">
        <v>1352</v>
      </c>
      <c r="R388" t="s">
        <v>319</v>
      </c>
      <c r="S388" t="s">
        <v>2324</v>
      </c>
    </row>
    <row r="389" spans="1:19" x14ac:dyDescent="0.2">
      <c r="A389" t="s">
        <v>488</v>
      </c>
      <c r="B389" t="s">
        <v>2325</v>
      </c>
      <c r="C389" t="s">
        <v>2326</v>
      </c>
      <c r="D389" t="s">
        <v>2327</v>
      </c>
      <c r="F389">
        <v>457</v>
      </c>
      <c r="G389">
        <v>357</v>
      </c>
      <c r="H389">
        <v>1998</v>
      </c>
      <c r="I389" t="s">
        <v>2328</v>
      </c>
      <c r="J389" t="s">
        <v>2329</v>
      </c>
      <c r="K389" t="s">
        <v>143</v>
      </c>
      <c r="P389" t="s">
        <v>1352</v>
      </c>
      <c r="R389" t="s">
        <v>319</v>
      </c>
      <c r="S389" t="s">
        <v>2330</v>
      </c>
    </row>
    <row r="390" spans="1:19" x14ac:dyDescent="0.2">
      <c r="A390" t="s">
        <v>406</v>
      </c>
      <c r="B390" t="s">
        <v>2331</v>
      </c>
      <c r="C390" t="s">
        <v>2332</v>
      </c>
      <c r="D390" t="s">
        <v>409</v>
      </c>
      <c r="F390">
        <v>926</v>
      </c>
      <c r="G390">
        <v>371</v>
      </c>
      <c r="H390">
        <v>2012</v>
      </c>
      <c r="I390" t="s">
        <v>510</v>
      </c>
      <c r="J390" t="s">
        <v>2333</v>
      </c>
      <c r="K390" t="s">
        <v>143</v>
      </c>
      <c r="P390" t="s">
        <v>1352</v>
      </c>
      <c r="R390" t="s">
        <v>319</v>
      </c>
      <c r="S390" t="s">
        <v>2334</v>
      </c>
    </row>
    <row r="391" spans="1:19" x14ac:dyDescent="0.2">
      <c r="A391" t="s">
        <v>138</v>
      </c>
      <c r="B391" t="s">
        <v>2335</v>
      </c>
      <c r="C391" t="s">
        <v>2336</v>
      </c>
      <c r="D391" t="s">
        <v>2337</v>
      </c>
      <c r="E391">
        <v>16</v>
      </c>
      <c r="F391">
        <v>2</v>
      </c>
      <c r="G391">
        <v>68</v>
      </c>
      <c r="H391">
        <v>2020</v>
      </c>
      <c r="I391" t="s">
        <v>2338</v>
      </c>
      <c r="J391" t="s">
        <v>2339</v>
      </c>
      <c r="K391" t="s">
        <v>143</v>
      </c>
      <c r="P391" t="s">
        <v>1352</v>
      </c>
      <c r="R391" t="s">
        <v>319</v>
      </c>
      <c r="S391" t="s">
        <v>2340</v>
      </c>
    </row>
    <row r="392" spans="1:19" x14ac:dyDescent="0.2">
      <c r="A392" t="s">
        <v>138</v>
      </c>
      <c r="B392" t="s">
        <v>2341</v>
      </c>
      <c r="C392" t="s">
        <v>2342</v>
      </c>
      <c r="D392" t="s">
        <v>1526</v>
      </c>
      <c r="E392">
        <v>24</v>
      </c>
      <c r="F392">
        <v>3</v>
      </c>
      <c r="G392">
        <v>316</v>
      </c>
      <c r="H392">
        <v>2012</v>
      </c>
      <c r="I392" t="s">
        <v>2343</v>
      </c>
      <c r="J392" t="s">
        <v>2344</v>
      </c>
      <c r="K392" t="s">
        <v>143</v>
      </c>
      <c r="P392" t="s">
        <v>1352</v>
      </c>
      <c r="R392" t="s">
        <v>319</v>
      </c>
      <c r="S392" t="s">
        <v>2345</v>
      </c>
    </row>
    <row r="393" spans="1:19" x14ac:dyDescent="0.2">
      <c r="A393" t="s">
        <v>138</v>
      </c>
      <c r="B393" t="s">
        <v>2346</v>
      </c>
      <c r="C393" t="s">
        <v>2347</v>
      </c>
      <c r="D393" t="s">
        <v>2176</v>
      </c>
      <c r="E393">
        <v>27</v>
      </c>
      <c r="F393">
        <v>4</v>
      </c>
      <c r="G393">
        <v>659</v>
      </c>
      <c r="H393">
        <v>2012</v>
      </c>
      <c r="I393" t="s">
        <v>2348</v>
      </c>
      <c r="J393" t="s">
        <v>2349</v>
      </c>
      <c r="K393" t="s">
        <v>143</v>
      </c>
      <c r="P393" t="s">
        <v>1352</v>
      </c>
      <c r="R393" t="s">
        <v>319</v>
      </c>
      <c r="S393" t="s">
        <v>2350</v>
      </c>
    </row>
    <row r="394" spans="1:19" x14ac:dyDescent="0.2">
      <c r="A394" t="s">
        <v>138</v>
      </c>
      <c r="B394" t="s">
        <v>2351</v>
      </c>
      <c r="C394" t="s">
        <v>2352</v>
      </c>
      <c r="D394" t="s">
        <v>2353</v>
      </c>
      <c r="E394">
        <v>35</v>
      </c>
      <c r="F394">
        <v>11</v>
      </c>
      <c r="G394">
        <v>1735</v>
      </c>
      <c r="H394">
        <v>2012</v>
      </c>
      <c r="I394" t="s">
        <v>698</v>
      </c>
      <c r="J394" t="s">
        <v>699</v>
      </c>
      <c r="K394" t="s">
        <v>143</v>
      </c>
      <c r="P394" t="s">
        <v>1352</v>
      </c>
      <c r="R394" t="s">
        <v>319</v>
      </c>
      <c r="S394" t="s">
        <v>2354</v>
      </c>
    </row>
    <row r="395" spans="1:19" x14ac:dyDescent="0.2">
      <c r="A395" t="s">
        <v>138</v>
      </c>
      <c r="B395" t="s">
        <v>2355</v>
      </c>
      <c r="C395" t="s">
        <v>2356</v>
      </c>
      <c r="D395" t="s">
        <v>2313</v>
      </c>
      <c r="E395">
        <v>23</v>
      </c>
      <c r="F395">
        <v>4</v>
      </c>
      <c r="G395" t="s">
        <v>2357</v>
      </c>
      <c r="H395">
        <v>2016</v>
      </c>
      <c r="I395" t="s">
        <v>2129</v>
      </c>
      <c r="J395" t="s">
        <v>410</v>
      </c>
      <c r="K395" t="s">
        <v>143</v>
      </c>
      <c r="P395" t="s">
        <v>1352</v>
      </c>
      <c r="R395" t="s">
        <v>319</v>
      </c>
      <c r="S395" t="s">
        <v>2358</v>
      </c>
    </row>
    <row r="396" spans="1:19" x14ac:dyDescent="0.2">
      <c r="A396" t="s">
        <v>138</v>
      </c>
      <c r="B396" t="s">
        <v>2359</v>
      </c>
      <c r="C396" t="s">
        <v>2360</v>
      </c>
      <c r="D396" t="s">
        <v>248</v>
      </c>
      <c r="E396">
        <v>2</v>
      </c>
      <c r="F396">
        <v>2</v>
      </c>
      <c r="G396" t="s">
        <v>2361</v>
      </c>
      <c r="H396">
        <v>2016</v>
      </c>
      <c r="I396" t="s">
        <v>2045</v>
      </c>
      <c r="J396" t="s">
        <v>2046</v>
      </c>
      <c r="K396" t="s">
        <v>143</v>
      </c>
      <c r="P396" t="s">
        <v>1352</v>
      </c>
      <c r="R396" t="s">
        <v>319</v>
      </c>
      <c r="S396" t="s">
        <v>2362</v>
      </c>
    </row>
    <row r="397" spans="1:19" x14ac:dyDescent="0.2">
      <c r="A397" t="s">
        <v>138</v>
      </c>
      <c r="B397" t="s">
        <v>2363</v>
      </c>
      <c r="C397" t="s">
        <v>2364</v>
      </c>
      <c r="D397" t="s">
        <v>2365</v>
      </c>
      <c r="E397">
        <v>5</v>
      </c>
      <c r="F397" s="5">
        <v>44563</v>
      </c>
      <c r="G397">
        <v>53</v>
      </c>
      <c r="H397">
        <v>2003</v>
      </c>
      <c r="I397" t="s">
        <v>224</v>
      </c>
      <c r="J397" t="s">
        <v>410</v>
      </c>
      <c r="K397" t="s">
        <v>143</v>
      </c>
      <c r="R397" t="s">
        <v>319</v>
      </c>
      <c r="S397" t="s">
        <v>2366</v>
      </c>
    </row>
    <row r="398" spans="1:19" x14ac:dyDescent="0.2">
      <c r="A398" t="s">
        <v>138</v>
      </c>
      <c r="B398" t="s">
        <v>2367</v>
      </c>
      <c r="C398" t="s">
        <v>2368</v>
      </c>
      <c r="D398" t="s">
        <v>2369</v>
      </c>
      <c r="E398">
        <v>48</v>
      </c>
      <c r="F398">
        <v>5</v>
      </c>
      <c r="G398">
        <v>95</v>
      </c>
      <c r="H398">
        <v>2020</v>
      </c>
      <c r="I398" t="s">
        <v>2370</v>
      </c>
      <c r="J398" t="s">
        <v>2371</v>
      </c>
      <c r="K398" t="s">
        <v>143</v>
      </c>
      <c r="R398" t="s">
        <v>319</v>
      </c>
      <c r="S398" t="s">
        <v>2372</v>
      </c>
    </row>
    <row r="399" spans="1:19" x14ac:dyDescent="0.2">
      <c r="A399" t="s">
        <v>138</v>
      </c>
      <c r="B399" t="s">
        <v>2373</v>
      </c>
      <c r="C399" t="s">
        <v>2374</v>
      </c>
      <c r="D399" t="s">
        <v>2375</v>
      </c>
      <c r="F399">
        <v>26</v>
      </c>
      <c r="G399">
        <v>166</v>
      </c>
      <c r="H399">
        <v>1984</v>
      </c>
      <c r="I399" t="s">
        <v>510</v>
      </c>
      <c r="J399" t="s">
        <v>511</v>
      </c>
      <c r="K399" t="s">
        <v>1467</v>
      </c>
      <c r="P399" t="s">
        <v>1851</v>
      </c>
      <c r="R399" t="s">
        <v>319</v>
      </c>
      <c r="S399" t="s">
        <v>2376</v>
      </c>
    </row>
    <row r="400" spans="1:19" x14ac:dyDescent="0.2">
      <c r="A400" t="s">
        <v>138</v>
      </c>
      <c r="B400" t="s">
        <v>2377</v>
      </c>
      <c r="C400" t="s">
        <v>2378</v>
      </c>
      <c r="D400" t="s">
        <v>2379</v>
      </c>
      <c r="E400">
        <v>46</v>
      </c>
      <c r="F400">
        <v>6</v>
      </c>
      <c r="G400">
        <v>1216</v>
      </c>
      <c r="H400">
        <v>2009</v>
      </c>
      <c r="I400" t="s">
        <v>2380</v>
      </c>
      <c r="J400" t="s">
        <v>2381</v>
      </c>
      <c r="K400" t="s">
        <v>143</v>
      </c>
      <c r="P400" t="s">
        <v>1352</v>
      </c>
      <c r="R400" t="s">
        <v>319</v>
      </c>
      <c r="S400" t="s">
        <v>2382</v>
      </c>
    </row>
    <row r="401" spans="1:19" x14ac:dyDescent="0.2">
      <c r="A401" t="s">
        <v>138</v>
      </c>
      <c r="B401" t="s">
        <v>2383</v>
      </c>
      <c r="C401" t="s">
        <v>2384</v>
      </c>
      <c r="D401" t="s">
        <v>387</v>
      </c>
      <c r="E401">
        <v>5</v>
      </c>
      <c r="F401">
        <v>3</v>
      </c>
      <c r="G401">
        <v>151</v>
      </c>
      <c r="H401">
        <v>1995</v>
      </c>
      <c r="I401" t="s">
        <v>446</v>
      </c>
      <c r="J401" t="s">
        <v>186</v>
      </c>
      <c r="K401" t="s">
        <v>143</v>
      </c>
      <c r="R401" t="s">
        <v>319</v>
      </c>
      <c r="S401" t="s">
        <v>2385</v>
      </c>
    </row>
    <row r="402" spans="1:19" x14ac:dyDescent="0.2">
      <c r="A402" t="s">
        <v>138</v>
      </c>
      <c r="B402" t="s">
        <v>2386</v>
      </c>
      <c r="C402" t="s">
        <v>2387</v>
      </c>
      <c r="D402" t="s">
        <v>2388</v>
      </c>
      <c r="F402">
        <v>275</v>
      </c>
      <c r="G402" t="s">
        <v>2389</v>
      </c>
      <c r="H402">
        <v>2003</v>
      </c>
      <c r="I402" t="s">
        <v>1857</v>
      </c>
      <c r="J402" t="s">
        <v>1858</v>
      </c>
      <c r="K402" t="s">
        <v>143</v>
      </c>
      <c r="R402" t="s">
        <v>319</v>
      </c>
      <c r="S402" t="s">
        <v>2390</v>
      </c>
    </row>
    <row r="403" spans="1:19" x14ac:dyDescent="0.2">
      <c r="A403" t="s">
        <v>138</v>
      </c>
      <c r="B403" t="s">
        <v>2391</v>
      </c>
      <c r="C403" t="s">
        <v>2392</v>
      </c>
      <c r="D403" t="s">
        <v>2274</v>
      </c>
      <c r="E403">
        <v>37</v>
      </c>
      <c r="F403">
        <v>1</v>
      </c>
      <c r="G403">
        <v>20</v>
      </c>
      <c r="H403">
        <v>2019</v>
      </c>
      <c r="I403" t="s">
        <v>2393</v>
      </c>
      <c r="K403" t="s">
        <v>143</v>
      </c>
      <c r="R403" t="s">
        <v>233</v>
      </c>
      <c r="S403" t="s">
        <v>2394</v>
      </c>
    </row>
    <row r="404" spans="1:19" x14ac:dyDescent="0.2">
      <c r="A404" t="s">
        <v>138</v>
      </c>
      <c r="B404" t="s">
        <v>2395</v>
      </c>
      <c r="C404" t="s">
        <v>2396</v>
      </c>
      <c r="D404" t="s">
        <v>963</v>
      </c>
      <c r="E404">
        <v>51</v>
      </c>
      <c r="F404">
        <v>4</v>
      </c>
      <c r="G404">
        <v>657</v>
      </c>
      <c r="H404">
        <v>2020</v>
      </c>
      <c r="I404" t="s">
        <v>446</v>
      </c>
      <c r="K404" t="s">
        <v>143</v>
      </c>
      <c r="R404" t="s">
        <v>233</v>
      </c>
      <c r="S404" t="s">
        <v>2397</v>
      </c>
    </row>
    <row r="405" spans="1:19" x14ac:dyDescent="0.2">
      <c r="A405" t="s">
        <v>138</v>
      </c>
      <c r="B405" t="s">
        <v>2398</v>
      </c>
      <c r="C405" t="s">
        <v>2399</v>
      </c>
      <c r="D405" t="s">
        <v>2400</v>
      </c>
      <c r="E405">
        <v>198</v>
      </c>
      <c r="G405">
        <v>156</v>
      </c>
      <c r="H405">
        <v>2017</v>
      </c>
      <c r="I405" t="s">
        <v>2401</v>
      </c>
      <c r="J405" t="s">
        <v>2402</v>
      </c>
      <c r="K405" t="s">
        <v>143</v>
      </c>
      <c r="R405" t="s">
        <v>233</v>
      </c>
      <c r="S405" t="s">
        <v>2403</v>
      </c>
    </row>
    <row r="406" spans="1:19" x14ac:dyDescent="0.2">
      <c r="A406" t="s">
        <v>138</v>
      </c>
      <c r="B406" t="s">
        <v>2404</v>
      </c>
      <c r="C406" t="s">
        <v>2405</v>
      </c>
      <c r="D406" t="s">
        <v>2406</v>
      </c>
      <c r="E406">
        <v>445</v>
      </c>
      <c r="G406">
        <v>129</v>
      </c>
      <c r="H406">
        <v>2013</v>
      </c>
      <c r="I406" t="s">
        <v>615</v>
      </c>
      <c r="J406" t="s">
        <v>616</v>
      </c>
      <c r="K406" t="s">
        <v>143</v>
      </c>
      <c r="R406" t="s">
        <v>233</v>
      </c>
      <c r="S406" t="s">
        <v>2407</v>
      </c>
    </row>
    <row r="407" spans="1:19" x14ac:dyDescent="0.2">
      <c r="A407" t="s">
        <v>138</v>
      </c>
      <c r="B407" t="s">
        <v>2408</v>
      </c>
      <c r="C407" t="s">
        <v>2409</v>
      </c>
      <c r="D407" t="s">
        <v>2410</v>
      </c>
      <c r="E407">
        <v>41</v>
      </c>
      <c r="F407">
        <v>14</v>
      </c>
      <c r="G407">
        <v>2625</v>
      </c>
      <c r="H407">
        <v>2016</v>
      </c>
      <c r="I407" t="s">
        <v>2411</v>
      </c>
      <c r="J407" t="s">
        <v>2412</v>
      </c>
      <c r="K407" t="s">
        <v>143</v>
      </c>
      <c r="R407" t="s">
        <v>233</v>
      </c>
      <c r="S407" t="s">
        <v>2413</v>
      </c>
    </row>
    <row r="408" spans="1:19" x14ac:dyDescent="0.2">
      <c r="A408" t="s">
        <v>138</v>
      </c>
      <c r="B408" t="s">
        <v>2414</v>
      </c>
      <c r="C408" t="s">
        <v>2415</v>
      </c>
      <c r="D408" t="s">
        <v>2416</v>
      </c>
      <c r="E408">
        <v>40</v>
      </c>
      <c r="F408">
        <v>1</v>
      </c>
      <c r="G408">
        <v>125</v>
      </c>
      <c r="H408">
        <v>1998</v>
      </c>
      <c r="I408" t="s">
        <v>2417</v>
      </c>
      <c r="J408" t="s">
        <v>2418</v>
      </c>
      <c r="K408" t="s">
        <v>143</v>
      </c>
      <c r="R408" t="s">
        <v>233</v>
      </c>
      <c r="S408" t="s">
        <v>2419</v>
      </c>
    </row>
    <row r="409" spans="1:19" x14ac:dyDescent="0.2">
      <c r="A409" t="s">
        <v>138</v>
      </c>
      <c r="B409" t="s">
        <v>2420</v>
      </c>
      <c r="C409" t="s">
        <v>2421</v>
      </c>
      <c r="D409" t="s">
        <v>1433</v>
      </c>
      <c r="E409">
        <v>48</v>
      </c>
      <c r="F409">
        <v>4</v>
      </c>
      <c r="G409">
        <v>264</v>
      </c>
      <c r="H409">
        <v>1994</v>
      </c>
      <c r="I409" t="s">
        <v>2085</v>
      </c>
      <c r="J409" t="s">
        <v>651</v>
      </c>
      <c r="K409" t="s">
        <v>143</v>
      </c>
      <c r="R409" t="s">
        <v>233</v>
      </c>
      <c r="S409" t="s">
        <v>2422</v>
      </c>
    </row>
    <row r="410" spans="1:19" x14ac:dyDescent="0.2">
      <c r="A410" t="s">
        <v>138</v>
      </c>
      <c r="B410" t="s">
        <v>2423</v>
      </c>
      <c r="C410" t="s">
        <v>2424</v>
      </c>
      <c r="D410" t="s">
        <v>942</v>
      </c>
      <c r="E410">
        <v>11</v>
      </c>
      <c r="F410">
        <v>4</v>
      </c>
      <c r="G410">
        <v>407</v>
      </c>
      <c r="H410">
        <v>1998</v>
      </c>
      <c r="I410" t="s">
        <v>2425</v>
      </c>
      <c r="J410" t="s">
        <v>2426</v>
      </c>
      <c r="K410" t="s">
        <v>143</v>
      </c>
      <c r="R410" t="s">
        <v>233</v>
      </c>
      <c r="S410" t="s">
        <v>2427</v>
      </c>
    </row>
    <row r="411" spans="1:19" x14ac:dyDescent="0.2">
      <c r="A411" t="s">
        <v>138</v>
      </c>
      <c r="B411" t="s">
        <v>2428</v>
      </c>
      <c r="C411" t="s">
        <v>2429</v>
      </c>
      <c r="D411" t="s">
        <v>2430</v>
      </c>
      <c r="E411">
        <v>6</v>
      </c>
      <c r="F411" s="5">
        <v>44563</v>
      </c>
      <c r="G411">
        <v>25</v>
      </c>
      <c r="H411">
        <v>1993</v>
      </c>
      <c r="I411" t="s">
        <v>2431</v>
      </c>
      <c r="J411" t="s">
        <v>2432</v>
      </c>
      <c r="K411" t="s">
        <v>143</v>
      </c>
      <c r="R411" t="s">
        <v>233</v>
      </c>
      <c r="S411" t="s">
        <v>2433</v>
      </c>
    </row>
    <row r="412" spans="1:19" x14ac:dyDescent="0.2">
      <c r="A412" t="s">
        <v>138</v>
      </c>
      <c r="B412" t="s">
        <v>2434</v>
      </c>
      <c r="C412" t="s">
        <v>2435</v>
      </c>
      <c r="D412" t="s">
        <v>2436</v>
      </c>
      <c r="E412">
        <v>12</v>
      </c>
      <c r="F412">
        <v>1</v>
      </c>
      <c r="G412">
        <v>15</v>
      </c>
      <c r="H412">
        <v>2017</v>
      </c>
      <c r="I412" t="s">
        <v>2437</v>
      </c>
      <c r="K412" t="s">
        <v>143</v>
      </c>
      <c r="R412" t="s">
        <v>233</v>
      </c>
      <c r="S412" t="s">
        <v>2438</v>
      </c>
    </row>
    <row r="413" spans="1:19" x14ac:dyDescent="0.2">
      <c r="A413" t="s">
        <v>138</v>
      </c>
      <c r="B413" t="s">
        <v>2439</v>
      </c>
      <c r="C413" t="s">
        <v>2440</v>
      </c>
      <c r="D413" t="s">
        <v>2441</v>
      </c>
      <c r="E413">
        <v>12</v>
      </c>
      <c r="G413">
        <v>87</v>
      </c>
      <c r="H413">
        <v>1970</v>
      </c>
      <c r="I413" t="s">
        <v>2442</v>
      </c>
      <c r="J413" t="s">
        <v>2443</v>
      </c>
      <c r="K413" t="s">
        <v>143</v>
      </c>
      <c r="R413" t="s">
        <v>233</v>
      </c>
      <c r="S413" t="s">
        <v>2444</v>
      </c>
    </row>
    <row r="414" spans="1:19" x14ac:dyDescent="0.2">
      <c r="A414" t="s">
        <v>138</v>
      </c>
      <c r="B414" t="s">
        <v>2445</v>
      </c>
      <c r="C414" t="s">
        <v>2446</v>
      </c>
      <c r="D414" t="s">
        <v>817</v>
      </c>
      <c r="E414">
        <v>39</v>
      </c>
      <c r="F414" s="5">
        <v>44563</v>
      </c>
      <c r="G414">
        <v>105</v>
      </c>
      <c r="H414">
        <v>2018</v>
      </c>
      <c r="I414" t="s">
        <v>715</v>
      </c>
      <c r="J414" t="s">
        <v>716</v>
      </c>
      <c r="K414" t="s">
        <v>143</v>
      </c>
      <c r="R414" t="s">
        <v>233</v>
      </c>
      <c r="S414" t="s">
        <v>2447</v>
      </c>
    </row>
    <row r="415" spans="1:19" x14ac:dyDescent="0.2">
      <c r="A415" t="s">
        <v>138</v>
      </c>
      <c r="B415" t="s">
        <v>2448</v>
      </c>
      <c r="C415" t="s">
        <v>2449</v>
      </c>
      <c r="D415" t="s">
        <v>328</v>
      </c>
      <c r="E415">
        <v>4</v>
      </c>
      <c r="F415">
        <v>4</v>
      </c>
      <c r="G415" t="s">
        <v>2450</v>
      </c>
      <c r="H415">
        <v>2018</v>
      </c>
      <c r="I415" t="s">
        <v>2451</v>
      </c>
      <c r="K415" t="s">
        <v>143</v>
      </c>
      <c r="P415" t="s">
        <v>153</v>
      </c>
      <c r="R415" t="s">
        <v>233</v>
      </c>
      <c r="S415" t="s">
        <v>2452</v>
      </c>
    </row>
    <row r="416" spans="1:19" x14ac:dyDescent="0.2">
      <c r="A416" t="s">
        <v>138</v>
      </c>
      <c r="B416" t="s">
        <v>2453</v>
      </c>
      <c r="C416" t="s">
        <v>2454</v>
      </c>
      <c r="D416" t="s">
        <v>2455</v>
      </c>
      <c r="E416">
        <v>11</v>
      </c>
      <c r="F416">
        <v>4</v>
      </c>
      <c r="G416" t="s">
        <v>2456</v>
      </c>
      <c r="H416">
        <v>2018</v>
      </c>
      <c r="I416" t="s">
        <v>2451</v>
      </c>
      <c r="K416" t="s">
        <v>143</v>
      </c>
      <c r="P416" t="s">
        <v>153</v>
      </c>
      <c r="R416" t="s">
        <v>233</v>
      </c>
      <c r="S416" t="s">
        <v>2452</v>
      </c>
    </row>
    <row r="417" spans="1:19" x14ac:dyDescent="0.2">
      <c r="A417" t="s">
        <v>138</v>
      </c>
      <c r="B417" t="s">
        <v>2457</v>
      </c>
      <c r="C417" t="s">
        <v>2458</v>
      </c>
      <c r="D417" t="s">
        <v>248</v>
      </c>
      <c r="E417">
        <v>3</v>
      </c>
      <c r="F417">
        <v>1</v>
      </c>
      <c r="G417" t="s">
        <v>2459</v>
      </c>
      <c r="H417">
        <v>2016</v>
      </c>
      <c r="I417" t="s">
        <v>672</v>
      </c>
      <c r="K417" t="s">
        <v>143</v>
      </c>
      <c r="P417" t="s">
        <v>1165</v>
      </c>
      <c r="R417" t="s">
        <v>233</v>
      </c>
      <c r="S417" t="s">
        <v>2460</v>
      </c>
    </row>
    <row r="418" spans="1:19" x14ac:dyDescent="0.2">
      <c r="A418" t="s">
        <v>138</v>
      </c>
      <c r="B418" t="s">
        <v>2461</v>
      </c>
      <c r="C418" t="s">
        <v>2462</v>
      </c>
      <c r="D418" t="s">
        <v>593</v>
      </c>
      <c r="E418">
        <v>88</v>
      </c>
      <c r="F418">
        <v>6</v>
      </c>
      <c r="G418">
        <v>541</v>
      </c>
      <c r="H418">
        <v>2006</v>
      </c>
      <c r="I418" t="s">
        <v>1465</v>
      </c>
      <c r="J418" t="s">
        <v>1466</v>
      </c>
      <c r="K418" t="s">
        <v>143</v>
      </c>
      <c r="P418" t="s">
        <v>1165</v>
      </c>
      <c r="R418" t="s">
        <v>233</v>
      </c>
      <c r="S418" t="s">
        <v>2463</v>
      </c>
    </row>
    <row r="419" spans="1:19" x14ac:dyDescent="0.2">
      <c r="A419" t="s">
        <v>138</v>
      </c>
      <c r="B419" t="s">
        <v>2464</v>
      </c>
      <c r="C419" t="s">
        <v>2465</v>
      </c>
      <c r="D419" t="s">
        <v>2466</v>
      </c>
      <c r="E419">
        <v>51</v>
      </c>
      <c r="F419">
        <v>2</v>
      </c>
      <c r="G419">
        <v>61</v>
      </c>
      <c r="H419">
        <v>2001</v>
      </c>
      <c r="I419" t="s">
        <v>2467</v>
      </c>
      <c r="J419" t="s">
        <v>2468</v>
      </c>
      <c r="K419" t="s">
        <v>143</v>
      </c>
      <c r="P419" t="s">
        <v>1165</v>
      </c>
      <c r="R419" t="s">
        <v>233</v>
      </c>
      <c r="S419" t="s">
        <v>2469</v>
      </c>
    </row>
    <row r="420" spans="1:19" x14ac:dyDescent="0.2">
      <c r="A420" t="s">
        <v>138</v>
      </c>
      <c r="B420" t="s">
        <v>2470</v>
      </c>
      <c r="C420" t="s">
        <v>2471</v>
      </c>
      <c r="D420" t="s">
        <v>2472</v>
      </c>
      <c r="E420">
        <v>21</v>
      </c>
      <c r="F420">
        <v>5</v>
      </c>
      <c r="G420">
        <v>693</v>
      </c>
      <c r="H420">
        <v>2006</v>
      </c>
      <c r="I420" t="s">
        <v>2473</v>
      </c>
      <c r="J420" t="s">
        <v>1693</v>
      </c>
      <c r="K420" t="s">
        <v>143</v>
      </c>
      <c r="P420" t="s">
        <v>1165</v>
      </c>
      <c r="R420" t="s">
        <v>233</v>
      </c>
      <c r="S420" t="s">
        <v>2474</v>
      </c>
    </row>
    <row r="421" spans="1:19" x14ac:dyDescent="0.2">
      <c r="A421" t="s">
        <v>138</v>
      </c>
      <c r="B421" t="s">
        <v>2475</v>
      </c>
      <c r="C421" t="s">
        <v>2476</v>
      </c>
      <c r="D421" t="s">
        <v>185</v>
      </c>
      <c r="E421">
        <v>38</v>
      </c>
      <c r="F421">
        <v>3</v>
      </c>
      <c r="G421">
        <v>772</v>
      </c>
      <c r="H421">
        <v>2010</v>
      </c>
      <c r="I421" t="s">
        <v>2477</v>
      </c>
      <c r="J421" t="s">
        <v>2478</v>
      </c>
      <c r="K421" t="s">
        <v>143</v>
      </c>
      <c r="P421" t="s">
        <v>1165</v>
      </c>
      <c r="R421" t="s">
        <v>233</v>
      </c>
      <c r="S421" t="s">
        <v>2479</v>
      </c>
    </row>
    <row r="422" spans="1:19" x14ac:dyDescent="0.2">
      <c r="A422" t="s">
        <v>138</v>
      </c>
      <c r="B422" t="s">
        <v>2480</v>
      </c>
      <c r="C422" t="s">
        <v>2481</v>
      </c>
      <c r="D422" t="s">
        <v>185</v>
      </c>
      <c r="E422">
        <v>38</v>
      </c>
      <c r="F422">
        <v>3</v>
      </c>
      <c r="G422">
        <v>551</v>
      </c>
      <c r="H422">
        <v>2010</v>
      </c>
      <c r="I422" t="s">
        <v>2482</v>
      </c>
      <c r="J422" t="s">
        <v>2483</v>
      </c>
      <c r="K422" t="s">
        <v>143</v>
      </c>
      <c r="P422" t="s">
        <v>1165</v>
      </c>
      <c r="R422" t="s">
        <v>233</v>
      </c>
      <c r="S422" t="s">
        <v>2479</v>
      </c>
    </row>
    <row r="423" spans="1:19" x14ac:dyDescent="0.2">
      <c r="A423" t="s">
        <v>138</v>
      </c>
      <c r="B423" t="s">
        <v>2484</v>
      </c>
      <c r="C423" t="s">
        <v>2485</v>
      </c>
      <c r="D423" t="s">
        <v>185</v>
      </c>
      <c r="E423">
        <v>49</v>
      </c>
      <c r="F423">
        <v>3</v>
      </c>
      <c r="G423">
        <v>187</v>
      </c>
      <c r="H423">
        <v>2021</v>
      </c>
      <c r="I423" t="s">
        <v>578</v>
      </c>
      <c r="J423" t="s">
        <v>2486</v>
      </c>
      <c r="K423" t="s">
        <v>143</v>
      </c>
      <c r="P423" t="s">
        <v>1165</v>
      </c>
      <c r="R423" t="s">
        <v>233</v>
      </c>
      <c r="S423" t="s">
        <v>2487</v>
      </c>
    </row>
    <row r="424" spans="1:19" x14ac:dyDescent="0.2">
      <c r="A424" t="s">
        <v>138</v>
      </c>
      <c r="B424" t="s">
        <v>2488</v>
      </c>
      <c r="C424" t="s">
        <v>2489</v>
      </c>
      <c r="D424" t="s">
        <v>2490</v>
      </c>
      <c r="E424">
        <v>15</v>
      </c>
      <c r="F424">
        <v>12</v>
      </c>
      <c r="G424">
        <v>199</v>
      </c>
      <c r="H424">
        <v>2020</v>
      </c>
      <c r="I424" t="s">
        <v>2491</v>
      </c>
      <c r="J424" t="s">
        <v>2492</v>
      </c>
      <c r="K424" t="s">
        <v>143</v>
      </c>
      <c r="P424" t="s">
        <v>1165</v>
      </c>
      <c r="R424" t="s">
        <v>233</v>
      </c>
      <c r="S424" t="s">
        <v>2493</v>
      </c>
    </row>
    <row r="425" spans="1:19" x14ac:dyDescent="0.2">
      <c r="A425" t="s">
        <v>138</v>
      </c>
      <c r="B425" t="s">
        <v>2494</v>
      </c>
      <c r="C425" t="s">
        <v>2495</v>
      </c>
      <c r="D425" t="s">
        <v>2496</v>
      </c>
      <c r="E425">
        <v>45</v>
      </c>
      <c r="F425">
        <v>6</v>
      </c>
      <c r="G425">
        <v>483</v>
      </c>
      <c r="H425">
        <v>2008</v>
      </c>
      <c r="I425" t="s">
        <v>2497</v>
      </c>
      <c r="J425" t="s">
        <v>2498</v>
      </c>
      <c r="K425" t="s">
        <v>143</v>
      </c>
      <c r="P425" t="s">
        <v>2499</v>
      </c>
      <c r="R425" t="s">
        <v>233</v>
      </c>
      <c r="S425" t="s">
        <v>2500</v>
      </c>
    </row>
    <row r="426" spans="1:19" x14ac:dyDescent="0.2">
      <c r="A426" t="s">
        <v>138</v>
      </c>
      <c r="B426" t="s">
        <v>2501</v>
      </c>
      <c r="C426" t="s">
        <v>2502</v>
      </c>
      <c r="D426" t="s">
        <v>2503</v>
      </c>
      <c r="E426">
        <v>6</v>
      </c>
      <c r="F426">
        <v>12</v>
      </c>
      <c r="G426">
        <v>885</v>
      </c>
      <c r="H426">
        <v>2013</v>
      </c>
      <c r="I426" t="s">
        <v>2504</v>
      </c>
      <c r="J426" t="s">
        <v>2505</v>
      </c>
      <c r="K426" t="s">
        <v>143</v>
      </c>
      <c r="P426" t="s">
        <v>1165</v>
      </c>
      <c r="R426" t="s">
        <v>233</v>
      </c>
      <c r="S426" t="s">
        <v>2506</v>
      </c>
    </row>
    <row r="427" spans="1:19" x14ac:dyDescent="0.2">
      <c r="A427" t="s">
        <v>138</v>
      </c>
      <c r="B427" t="s">
        <v>2507</v>
      </c>
      <c r="C427" t="s">
        <v>2508</v>
      </c>
      <c r="D427" t="s">
        <v>2509</v>
      </c>
      <c r="E427">
        <v>5</v>
      </c>
      <c r="F427">
        <v>1</v>
      </c>
      <c r="G427">
        <v>98</v>
      </c>
      <c r="H427">
        <v>2017</v>
      </c>
      <c r="I427" t="s">
        <v>2510</v>
      </c>
      <c r="J427" t="s">
        <v>2511</v>
      </c>
      <c r="K427" t="s">
        <v>143</v>
      </c>
      <c r="P427" t="s">
        <v>2512</v>
      </c>
      <c r="R427" t="s">
        <v>233</v>
      </c>
      <c r="S427" t="s">
        <v>2513</v>
      </c>
    </row>
    <row r="428" spans="1:19" x14ac:dyDescent="0.2">
      <c r="A428" t="s">
        <v>138</v>
      </c>
      <c r="B428" t="s">
        <v>2514</v>
      </c>
      <c r="C428" t="s">
        <v>2515</v>
      </c>
      <c r="D428" t="s">
        <v>2516</v>
      </c>
      <c r="E428">
        <v>51</v>
      </c>
      <c r="F428" s="5">
        <v>44687</v>
      </c>
      <c r="G428">
        <v>183</v>
      </c>
      <c r="H428">
        <v>2002</v>
      </c>
      <c r="I428" t="s">
        <v>1857</v>
      </c>
      <c r="J428" t="s">
        <v>1875</v>
      </c>
      <c r="K428" t="s">
        <v>143</v>
      </c>
      <c r="P428" t="s">
        <v>1165</v>
      </c>
      <c r="R428" t="s">
        <v>233</v>
      </c>
      <c r="S428" t="s">
        <v>2517</v>
      </c>
    </row>
    <row r="429" spans="1:19" x14ac:dyDescent="0.2">
      <c r="A429" t="s">
        <v>138</v>
      </c>
      <c r="B429" t="s">
        <v>2518</v>
      </c>
      <c r="C429" t="s">
        <v>2519</v>
      </c>
      <c r="D429" t="s">
        <v>2020</v>
      </c>
      <c r="E429">
        <v>25</v>
      </c>
      <c r="F429">
        <v>7</v>
      </c>
      <c r="G429">
        <v>1452</v>
      </c>
      <c r="H429">
        <v>2005</v>
      </c>
      <c r="I429" t="s">
        <v>224</v>
      </c>
      <c r="J429" t="s">
        <v>410</v>
      </c>
      <c r="K429" t="s">
        <v>143</v>
      </c>
      <c r="P429" t="s">
        <v>153</v>
      </c>
      <c r="R429" t="s">
        <v>233</v>
      </c>
      <c r="S429" t="s">
        <v>2520</v>
      </c>
    </row>
    <row r="430" spans="1:19" x14ac:dyDescent="0.2">
      <c r="A430" t="s">
        <v>138</v>
      </c>
      <c r="B430" t="s">
        <v>2521</v>
      </c>
      <c r="C430" t="s">
        <v>2522</v>
      </c>
      <c r="D430" t="s">
        <v>1570</v>
      </c>
      <c r="E430">
        <v>25</v>
      </c>
      <c r="F430">
        <v>7</v>
      </c>
      <c r="G430">
        <v>1452</v>
      </c>
      <c r="H430">
        <v>2005</v>
      </c>
      <c r="I430" t="s">
        <v>224</v>
      </c>
      <c r="J430" t="s">
        <v>410</v>
      </c>
      <c r="K430" t="s">
        <v>143</v>
      </c>
      <c r="P430" t="s">
        <v>153</v>
      </c>
      <c r="Q430" t="s">
        <v>904</v>
      </c>
      <c r="R430" t="s">
        <v>233</v>
      </c>
      <c r="S430" t="s">
        <v>2520</v>
      </c>
    </row>
    <row r="431" spans="1:19" x14ac:dyDescent="0.2">
      <c r="A431" t="s">
        <v>138</v>
      </c>
      <c r="B431" t="s">
        <v>2523</v>
      </c>
      <c r="C431" t="s">
        <v>2524</v>
      </c>
      <c r="D431" t="s">
        <v>185</v>
      </c>
      <c r="E431">
        <v>35</v>
      </c>
      <c r="F431">
        <v>3</v>
      </c>
      <c r="G431">
        <v>765</v>
      </c>
      <c r="H431">
        <v>2007</v>
      </c>
      <c r="I431" t="s">
        <v>1241</v>
      </c>
      <c r="J431" t="s">
        <v>1456</v>
      </c>
      <c r="K431" t="s">
        <v>143</v>
      </c>
      <c r="P431" t="s">
        <v>1165</v>
      </c>
      <c r="R431" t="s">
        <v>233</v>
      </c>
      <c r="S431" t="s">
        <v>2525</v>
      </c>
    </row>
    <row r="432" spans="1:19" x14ac:dyDescent="0.2">
      <c r="A432" t="s">
        <v>138</v>
      </c>
      <c r="B432" t="s">
        <v>2526</v>
      </c>
      <c r="C432" t="s">
        <v>2527</v>
      </c>
      <c r="D432" t="s">
        <v>963</v>
      </c>
      <c r="E432">
        <v>32</v>
      </c>
      <c r="F432">
        <v>3</v>
      </c>
      <c r="G432">
        <v>243</v>
      </c>
      <c r="H432">
        <v>2006</v>
      </c>
      <c r="I432" t="s">
        <v>259</v>
      </c>
      <c r="J432" t="s">
        <v>2528</v>
      </c>
      <c r="K432" t="s">
        <v>143</v>
      </c>
      <c r="P432" t="s">
        <v>1165</v>
      </c>
      <c r="R432" t="s">
        <v>233</v>
      </c>
      <c r="S432" t="s">
        <v>2529</v>
      </c>
    </row>
    <row r="433" spans="1:19" x14ac:dyDescent="0.2">
      <c r="A433" t="s">
        <v>138</v>
      </c>
      <c r="B433" t="s">
        <v>2530</v>
      </c>
      <c r="C433" t="s">
        <v>2531</v>
      </c>
      <c r="D433" t="s">
        <v>264</v>
      </c>
      <c r="E433">
        <v>7</v>
      </c>
      <c r="F433">
        <v>4</v>
      </c>
      <c r="G433">
        <v>175</v>
      </c>
      <c r="H433">
        <v>2007</v>
      </c>
      <c r="I433" t="s">
        <v>1452</v>
      </c>
      <c r="J433" t="s">
        <v>2008</v>
      </c>
      <c r="K433" t="s">
        <v>143</v>
      </c>
      <c r="P433" t="s">
        <v>1165</v>
      </c>
      <c r="R433" t="s">
        <v>233</v>
      </c>
      <c r="S433" t="s">
        <v>2525</v>
      </c>
    </row>
    <row r="434" spans="1:19" x14ac:dyDescent="0.2">
      <c r="A434" t="s">
        <v>138</v>
      </c>
      <c r="B434" t="s">
        <v>2532</v>
      </c>
      <c r="C434" t="s">
        <v>2533</v>
      </c>
      <c r="D434" t="s">
        <v>2534</v>
      </c>
      <c r="E434">
        <v>1</v>
      </c>
      <c r="F434">
        <v>1</v>
      </c>
      <c r="G434">
        <v>22</v>
      </c>
      <c r="H434">
        <v>2010</v>
      </c>
      <c r="I434" t="s">
        <v>224</v>
      </c>
      <c r="K434" t="s">
        <v>143</v>
      </c>
      <c r="P434" t="s">
        <v>153</v>
      </c>
      <c r="R434" t="s">
        <v>233</v>
      </c>
      <c r="S434" t="s">
        <v>2535</v>
      </c>
    </row>
    <row r="435" spans="1:19" x14ac:dyDescent="0.2">
      <c r="A435" t="s">
        <v>138</v>
      </c>
      <c r="B435" t="s">
        <v>2536</v>
      </c>
      <c r="C435" t="s">
        <v>2537</v>
      </c>
      <c r="D435" t="s">
        <v>2538</v>
      </c>
      <c r="E435">
        <v>4</v>
      </c>
      <c r="F435">
        <v>3</v>
      </c>
      <c r="G435">
        <v>268</v>
      </c>
      <c r="H435">
        <v>2017</v>
      </c>
      <c r="I435" t="s">
        <v>1949</v>
      </c>
      <c r="J435" t="s">
        <v>2539</v>
      </c>
      <c r="K435" t="s">
        <v>143</v>
      </c>
      <c r="P435" t="s">
        <v>153</v>
      </c>
      <c r="R435" t="s">
        <v>233</v>
      </c>
      <c r="S435" t="s">
        <v>2540</v>
      </c>
    </row>
    <row r="436" spans="1:19" x14ac:dyDescent="0.2">
      <c r="A436" t="s">
        <v>406</v>
      </c>
      <c r="B436" t="s">
        <v>2541</v>
      </c>
      <c r="C436" t="s">
        <v>2542</v>
      </c>
      <c r="D436" t="s">
        <v>2543</v>
      </c>
      <c r="E436">
        <v>36</v>
      </c>
      <c r="G436">
        <v>165</v>
      </c>
      <c r="H436">
        <v>1991</v>
      </c>
      <c r="I436" t="s">
        <v>626</v>
      </c>
      <c r="J436" t="s">
        <v>2544</v>
      </c>
      <c r="K436" t="s">
        <v>143</v>
      </c>
      <c r="P436" t="s">
        <v>153</v>
      </c>
      <c r="R436" t="s">
        <v>233</v>
      </c>
      <c r="S436" t="s">
        <v>2545</v>
      </c>
    </row>
    <row r="437" spans="1:19" x14ac:dyDescent="0.2">
      <c r="A437" t="s">
        <v>138</v>
      </c>
      <c r="B437" t="s">
        <v>2546</v>
      </c>
      <c r="C437" t="s">
        <v>2547</v>
      </c>
      <c r="D437" t="s">
        <v>2548</v>
      </c>
      <c r="E437">
        <v>63</v>
      </c>
      <c r="G437">
        <v>53</v>
      </c>
      <c r="H437">
        <v>2010</v>
      </c>
      <c r="I437" t="s">
        <v>219</v>
      </c>
      <c r="J437" t="s">
        <v>404</v>
      </c>
      <c r="K437" t="s">
        <v>143</v>
      </c>
      <c r="P437" t="s">
        <v>1165</v>
      </c>
      <c r="R437" t="s">
        <v>233</v>
      </c>
      <c r="S437" t="s">
        <v>2549</v>
      </c>
    </row>
    <row r="438" spans="1:19" x14ac:dyDescent="0.2">
      <c r="A438" t="s">
        <v>138</v>
      </c>
      <c r="B438" t="s">
        <v>2546</v>
      </c>
      <c r="C438" t="s">
        <v>2550</v>
      </c>
      <c r="D438" t="s">
        <v>2548</v>
      </c>
      <c r="E438">
        <v>61</v>
      </c>
      <c r="G438">
        <v>47</v>
      </c>
      <c r="H438">
        <v>2009</v>
      </c>
      <c r="I438" t="s">
        <v>1241</v>
      </c>
      <c r="J438" t="s">
        <v>1242</v>
      </c>
      <c r="K438" t="s">
        <v>143</v>
      </c>
      <c r="P438" t="s">
        <v>1165</v>
      </c>
      <c r="R438" t="s">
        <v>233</v>
      </c>
      <c r="S438" t="s">
        <v>2551</v>
      </c>
    </row>
    <row r="439" spans="1:19" x14ac:dyDescent="0.2">
      <c r="A439" t="s">
        <v>138</v>
      </c>
      <c r="B439" t="s">
        <v>2546</v>
      </c>
      <c r="C439" t="s">
        <v>2552</v>
      </c>
      <c r="D439" t="s">
        <v>2548</v>
      </c>
      <c r="E439">
        <v>58</v>
      </c>
      <c r="G439">
        <v>67</v>
      </c>
      <c r="H439">
        <v>2007</v>
      </c>
      <c r="I439" t="s">
        <v>1753</v>
      </c>
      <c r="J439" t="s">
        <v>2553</v>
      </c>
      <c r="K439" t="s">
        <v>143</v>
      </c>
      <c r="P439" t="s">
        <v>1165</v>
      </c>
      <c r="R439" t="s">
        <v>233</v>
      </c>
      <c r="S439" t="s">
        <v>2554</v>
      </c>
    </row>
    <row r="440" spans="1:19" x14ac:dyDescent="0.2">
      <c r="A440" t="s">
        <v>138</v>
      </c>
      <c r="B440" t="s">
        <v>2555</v>
      </c>
      <c r="C440" t="s">
        <v>2556</v>
      </c>
      <c r="D440" t="s">
        <v>598</v>
      </c>
      <c r="E440">
        <v>89</v>
      </c>
      <c r="F440">
        <v>3</v>
      </c>
      <c r="G440">
        <v>645</v>
      </c>
      <c r="H440">
        <v>2020</v>
      </c>
      <c r="I440" t="s">
        <v>698</v>
      </c>
      <c r="J440" t="s">
        <v>699</v>
      </c>
      <c r="K440" t="s">
        <v>143</v>
      </c>
      <c r="P440" t="s">
        <v>153</v>
      </c>
      <c r="R440" t="s">
        <v>233</v>
      </c>
      <c r="S440" t="s">
        <v>2557</v>
      </c>
    </row>
    <row r="441" spans="1:19" x14ac:dyDescent="0.2">
      <c r="A441" t="s">
        <v>138</v>
      </c>
      <c r="B441" t="s">
        <v>2558</v>
      </c>
      <c r="C441" t="s">
        <v>2559</v>
      </c>
      <c r="D441" t="s">
        <v>2560</v>
      </c>
      <c r="E441">
        <v>37</v>
      </c>
      <c r="F441">
        <v>3</v>
      </c>
      <c r="G441">
        <v>302</v>
      </c>
      <c r="H441">
        <v>2018</v>
      </c>
      <c r="I441" t="s">
        <v>1533</v>
      </c>
      <c r="J441" t="s">
        <v>1858</v>
      </c>
      <c r="K441" t="s">
        <v>143</v>
      </c>
      <c r="P441" t="s">
        <v>1165</v>
      </c>
      <c r="R441" t="s">
        <v>233</v>
      </c>
      <c r="S441" t="s">
        <v>2561</v>
      </c>
    </row>
    <row r="442" spans="1:19" x14ac:dyDescent="0.2">
      <c r="A442" t="s">
        <v>138</v>
      </c>
      <c r="B442" t="s">
        <v>2562</v>
      </c>
      <c r="C442" t="s">
        <v>2563</v>
      </c>
      <c r="D442" t="s">
        <v>2313</v>
      </c>
      <c r="E442">
        <v>17</v>
      </c>
      <c r="F442">
        <v>4</v>
      </c>
      <c r="G442">
        <v>544</v>
      </c>
      <c r="H442">
        <v>2009</v>
      </c>
      <c r="I442" t="s">
        <v>760</v>
      </c>
      <c r="K442" t="s">
        <v>143</v>
      </c>
      <c r="P442" t="s">
        <v>1165</v>
      </c>
      <c r="R442" t="s">
        <v>233</v>
      </c>
      <c r="S442" t="s">
        <v>2564</v>
      </c>
    </row>
    <row r="443" spans="1:19" x14ac:dyDescent="0.2">
      <c r="A443" t="s">
        <v>488</v>
      </c>
      <c r="B443" t="s">
        <v>2565</v>
      </c>
      <c r="C443" t="s">
        <v>2566</v>
      </c>
      <c r="D443" t="s">
        <v>2567</v>
      </c>
      <c r="F443">
        <v>705</v>
      </c>
      <c r="G443">
        <v>355</v>
      </c>
      <c r="H443">
        <v>2006</v>
      </c>
      <c r="I443" t="s">
        <v>415</v>
      </c>
      <c r="J443" t="s">
        <v>2143</v>
      </c>
      <c r="K443" t="s">
        <v>143</v>
      </c>
      <c r="P443" t="s">
        <v>153</v>
      </c>
      <c r="R443" t="s">
        <v>233</v>
      </c>
      <c r="S443" t="s">
        <v>2568</v>
      </c>
    </row>
    <row r="444" spans="1:19" x14ac:dyDescent="0.2">
      <c r="A444" t="s">
        <v>138</v>
      </c>
      <c r="B444" t="s">
        <v>2569</v>
      </c>
      <c r="C444" t="s">
        <v>2570</v>
      </c>
      <c r="D444" t="s">
        <v>2571</v>
      </c>
      <c r="E444">
        <v>75</v>
      </c>
      <c r="G444">
        <v>74</v>
      </c>
      <c r="H444">
        <v>2012</v>
      </c>
      <c r="I444" t="s">
        <v>415</v>
      </c>
      <c r="K444" t="s">
        <v>143</v>
      </c>
      <c r="P444" t="s">
        <v>153</v>
      </c>
      <c r="R444" t="s">
        <v>233</v>
      </c>
      <c r="S444" t="s">
        <v>2572</v>
      </c>
    </row>
    <row r="445" spans="1:19" x14ac:dyDescent="0.2">
      <c r="A445" t="s">
        <v>138</v>
      </c>
      <c r="B445" t="s">
        <v>2573</v>
      </c>
      <c r="C445" t="s">
        <v>2574</v>
      </c>
      <c r="D445" t="s">
        <v>2575</v>
      </c>
      <c r="E445">
        <v>76</v>
      </c>
      <c r="F445">
        <v>2</v>
      </c>
      <c r="G445">
        <v>199</v>
      </c>
      <c r="H445">
        <v>2011</v>
      </c>
      <c r="I445" t="s">
        <v>2576</v>
      </c>
      <c r="J445" t="s">
        <v>927</v>
      </c>
      <c r="K445" t="s">
        <v>143</v>
      </c>
      <c r="P445" t="s">
        <v>1165</v>
      </c>
      <c r="R445" t="s">
        <v>233</v>
      </c>
      <c r="S445" t="s">
        <v>2577</v>
      </c>
    </row>
    <row r="446" spans="1:19" x14ac:dyDescent="0.2">
      <c r="A446" t="s">
        <v>138</v>
      </c>
      <c r="B446" t="s">
        <v>2578</v>
      </c>
      <c r="C446" t="s">
        <v>2579</v>
      </c>
      <c r="D446" t="s">
        <v>399</v>
      </c>
      <c r="E446">
        <v>62</v>
      </c>
      <c r="F446">
        <v>2</v>
      </c>
      <c r="G446">
        <v>141</v>
      </c>
      <c r="H446">
        <v>2014</v>
      </c>
      <c r="I446" t="s">
        <v>2580</v>
      </c>
      <c r="J446" t="s">
        <v>2581</v>
      </c>
      <c r="K446" t="s">
        <v>143</v>
      </c>
      <c r="P446" t="s">
        <v>1165</v>
      </c>
      <c r="R446" t="s">
        <v>233</v>
      </c>
      <c r="S446" t="s">
        <v>2582</v>
      </c>
    </row>
    <row r="447" spans="1:19" x14ac:dyDescent="0.2">
      <c r="A447" t="s">
        <v>138</v>
      </c>
      <c r="B447" t="s">
        <v>2583</v>
      </c>
      <c r="C447" t="s">
        <v>2584</v>
      </c>
      <c r="D447" t="s">
        <v>2585</v>
      </c>
      <c r="E447">
        <v>163</v>
      </c>
      <c r="F447">
        <v>3</v>
      </c>
      <c r="G447">
        <v>321</v>
      </c>
      <c r="H447">
        <v>2016</v>
      </c>
      <c r="I447" t="s">
        <v>2586</v>
      </c>
      <c r="J447" t="s">
        <v>2587</v>
      </c>
      <c r="K447" t="s">
        <v>143</v>
      </c>
      <c r="P447" t="s">
        <v>1165</v>
      </c>
      <c r="R447" t="s">
        <v>233</v>
      </c>
      <c r="S447" t="s">
        <v>2588</v>
      </c>
    </row>
    <row r="448" spans="1:19" x14ac:dyDescent="0.2">
      <c r="A448" t="s">
        <v>138</v>
      </c>
      <c r="B448" t="s">
        <v>2589</v>
      </c>
      <c r="C448" t="s">
        <v>2590</v>
      </c>
      <c r="D448" t="s">
        <v>2591</v>
      </c>
      <c r="E448">
        <v>132</v>
      </c>
      <c r="F448">
        <v>2</v>
      </c>
      <c r="G448">
        <v>289</v>
      </c>
      <c r="H448">
        <v>1998</v>
      </c>
      <c r="I448" t="s">
        <v>388</v>
      </c>
      <c r="J448" t="s">
        <v>2592</v>
      </c>
      <c r="K448" t="s">
        <v>143</v>
      </c>
      <c r="P448" t="s">
        <v>1165</v>
      </c>
      <c r="R448" t="s">
        <v>233</v>
      </c>
      <c r="S448" t="s">
        <v>2593</v>
      </c>
    </row>
    <row r="449" spans="1:19" x14ac:dyDescent="0.2">
      <c r="A449" t="s">
        <v>138</v>
      </c>
      <c r="B449" t="s">
        <v>2594</v>
      </c>
      <c r="C449" t="s">
        <v>2595</v>
      </c>
      <c r="D449" t="s">
        <v>1388</v>
      </c>
      <c r="E449">
        <v>95</v>
      </c>
      <c r="F449">
        <v>3</v>
      </c>
      <c r="G449">
        <v>444</v>
      </c>
      <c r="H449">
        <v>1995</v>
      </c>
      <c r="I449" t="s">
        <v>272</v>
      </c>
      <c r="J449" t="s">
        <v>273</v>
      </c>
      <c r="K449" t="s">
        <v>143</v>
      </c>
      <c r="P449" t="s">
        <v>153</v>
      </c>
      <c r="R449" t="s">
        <v>233</v>
      </c>
      <c r="S449" t="s">
        <v>2596</v>
      </c>
    </row>
    <row r="450" spans="1:19" x14ac:dyDescent="0.2">
      <c r="A450" t="s">
        <v>138</v>
      </c>
      <c r="B450" t="s">
        <v>2597</v>
      </c>
      <c r="C450" t="s">
        <v>2595</v>
      </c>
      <c r="D450" t="s">
        <v>2598</v>
      </c>
      <c r="E450">
        <v>95</v>
      </c>
      <c r="F450">
        <v>3</v>
      </c>
      <c r="G450">
        <v>444</v>
      </c>
      <c r="H450">
        <v>1995</v>
      </c>
      <c r="I450" t="s">
        <v>272</v>
      </c>
      <c r="J450" t="s">
        <v>273</v>
      </c>
      <c r="K450" t="s">
        <v>143</v>
      </c>
      <c r="P450" t="s">
        <v>153</v>
      </c>
      <c r="Q450" t="s">
        <v>904</v>
      </c>
      <c r="R450" t="s">
        <v>233</v>
      </c>
      <c r="S450" t="s">
        <v>2599</v>
      </c>
    </row>
    <row r="451" spans="1:19" x14ac:dyDescent="0.2">
      <c r="A451" t="s">
        <v>138</v>
      </c>
      <c r="B451" t="s">
        <v>2600</v>
      </c>
      <c r="C451" t="s">
        <v>2601</v>
      </c>
      <c r="D451" t="s">
        <v>2602</v>
      </c>
      <c r="E451">
        <v>54</v>
      </c>
      <c r="F451">
        <v>314</v>
      </c>
      <c r="G451">
        <v>345</v>
      </c>
      <c r="H451">
        <v>2007</v>
      </c>
      <c r="I451" t="s">
        <v>2603</v>
      </c>
      <c r="J451" t="s">
        <v>2604</v>
      </c>
      <c r="K451" t="s">
        <v>143</v>
      </c>
      <c r="P451" t="s">
        <v>153</v>
      </c>
      <c r="R451" t="s">
        <v>233</v>
      </c>
      <c r="S451" t="s">
        <v>2605</v>
      </c>
    </row>
    <row r="452" spans="1:19" x14ac:dyDescent="0.2">
      <c r="A452" t="s">
        <v>138</v>
      </c>
      <c r="B452" t="s">
        <v>2606</v>
      </c>
      <c r="C452" t="s">
        <v>2607</v>
      </c>
      <c r="D452" t="s">
        <v>2608</v>
      </c>
      <c r="E452">
        <v>154</v>
      </c>
      <c r="F452">
        <v>1</v>
      </c>
      <c r="G452">
        <v>7</v>
      </c>
      <c r="H452">
        <v>2007</v>
      </c>
      <c r="I452" t="s">
        <v>446</v>
      </c>
      <c r="J452" t="s">
        <v>2609</v>
      </c>
      <c r="K452" t="s">
        <v>143</v>
      </c>
      <c r="P452" t="s">
        <v>1165</v>
      </c>
      <c r="R452" t="s">
        <v>233</v>
      </c>
      <c r="S452" t="s">
        <v>2610</v>
      </c>
    </row>
    <row r="453" spans="1:19" x14ac:dyDescent="0.2">
      <c r="A453" t="s">
        <v>138</v>
      </c>
      <c r="B453" t="s">
        <v>2611</v>
      </c>
      <c r="C453" t="s">
        <v>2612</v>
      </c>
      <c r="D453" t="s">
        <v>387</v>
      </c>
      <c r="E453">
        <v>22</v>
      </c>
      <c r="F453">
        <v>4</v>
      </c>
      <c r="G453">
        <v>269</v>
      </c>
      <c r="H453">
        <v>2012</v>
      </c>
      <c r="I453" t="s">
        <v>834</v>
      </c>
      <c r="J453" t="s">
        <v>2613</v>
      </c>
      <c r="K453" t="s">
        <v>143</v>
      </c>
      <c r="P453" t="s">
        <v>1165</v>
      </c>
      <c r="R453" t="s">
        <v>233</v>
      </c>
      <c r="S453" t="s">
        <v>2614</v>
      </c>
    </row>
    <row r="454" spans="1:19" x14ac:dyDescent="0.2">
      <c r="A454" t="s">
        <v>138</v>
      </c>
      <c r="B454" t="s">
        <v>2615</v>
      </c>
      <c r="C454" t="s">
        <v>2616</v>
      </c>
      <c r="D454" t="s">
        <v>2617</v>
      </c>
      <c r="E454">
        <v>34</v>
      </c>
      <c r="F454">
        <v>2</v>
      </c>
      <c r="G454">
        <v>11</v>
      </c>
      <c r="H454">
        <v>2018</v>
      </c>
      <c r="I454" t="s">
        <v>2618</v>
      </c>
      <c r="J454" t="s">
        <v>2619</v>
      </c>
      <c r="K454" t="s">
        <v>143</v>
      </c>
      <c r="P454" t="s">
        <v>1165</v>
      </c>
      <c r="R454" t="s">
        <v>233</v>
      </c>
      <c r="S454" t="s">
        <v>2620</v>
      </c>
    </row>
    <row r="455" spans="1:19" x14ac:dyDescent="0.2">
      <c r="A455" t="s">
        <v>138</v>
      </c>
      <c r="B455" t="s">
        <v>2621</v>
      </c>
      <c r="C455" t="s">
        <v>2622</v>
      </c>
      <c r="D455" t="s">
        <v>2623</v>
      </c>
      <c r="G455">
        <v>34</v>
      </c>
      <c r="H455">
        <v>2015</v>
      </c>
      <c r="I455" t="s">
        <v>224</v>
      </c>
      <c r="J455" t="s">
        <v>2624</v>
      </c>
      <c r="K455" t="s">
        <v>143</v>
      </c>
      <c r="P455" t="s">
        <v>2499</v>
      </c>
      <c r="R455" t="s">
        <v>233</v>
      </c>
      <c r="S455" t="s">
        <v>2625</v>
      </c>
    </row>
    <row r="456" spans="1:19" x14ac:dyDescent="0.2">
      <c r="A456" t="s">
        <v>138</v>
      </c>
      <c r="B456" t="s">
        <v>2626</v>
      </c>
      <c r="C456" t="s">
        <v>2627</v>
      </c>
      <c r="D456" t="s">
        <v>937</v>
      </c>
      <c r="E456">
        <v>40</v>
      </c>
      <c r="F456">
        <v>7</v>
      </c>
      <c r="G456">
        <v>1979</v>
      </c>
      <c r="H456">
        <v>2021</v>
      </c>
      <c r="I456" t="s">
        <v>2628</v>
      </c>
      <c r="J456" t="s">
        <v>2629</v>
      </c>
      <c r="K456" t="s">
        <v>143</v>
      </c>
      <c r="Q456" t="s">
        <v>2630</v>
      </c>
      <c r="R456" t="s">
        <v>433</v>
      </c>
      <c r="S456" t="s">
        <v>2631</v>
      </c>
    </row>
    <row r="457" spans="1:19" x14ac:dyDescent="0.2">
      <c r="A457" t="s">
        <v>138</v>
      </c>
      <c r="B457" t="s">
        <v>2632</v>
      </c>
      <c r="C457" t="s">
        <v>2633</v>
      </c>
      <c r="D457" t="s">
        <v>2634</v>
      </c>
      <c r="E457">
        <v>36</v>
      </c>
      <c r="F457">
        <v>1</v>
      </c>
      <c r="G457">
        <v>50</v>
      </c>
      <c r="H457">
        <v>2010</v>
      </c>
      <c r="I457" t="s">
        <v>2635</v>
      </c>
      <c r="J457" t="s">
        <v>2636</v>
      </c>
      <c r="K457" t="s">
        <v>143</v>
      </c>
      <c r="Q457" t="s">
        <v>2630</v>
      </c>
      <c r="R457" t="s">
        <v>433</v>
      </c>
      <c r="S457" t="s">
        <v>2637</v>
      </c>
    </row>
    <row r="458" spans="1:19" x14ac:dyDescent="0.2">
      <c r="A458" t="s">
        <v>138</v>
      </c>
      <c r="B458" t="s">
        <v>2638</v>
      </c>
      <c r="C458" t="s">
        <v>2639</v>
      </c>
      <c r="D458" t="s">
        <v>2064</v>
      </c>
      <c r="E458">
        <v>54</v>
      </c>
      <c r="F458">
        <v>6</v>
      </c>
      <c r="G458">
        <v>44</v>
      </c>
      <c r="H458">
        <v>2018</v>
      </c>
      <c r="I458" t="s">
        <v>2640</v>
      </c>
      <c r="J458" t="s">
        <v>2641</v>
      </c>
      <c r="K458" t="s">
        <v>143</v>
      </c>
      <c r="R458" t="s">
        <v>433</v>
      </c>
      <c r="S458" t="s">
        <v>2620</v>
      </c>
    </row>
    <row r="459" spans="1:19" x14ac:dyDescent="0.2">
      <c r="A459" t="s">
        <v>138</v>
      </c>
      <c r="B459" t="s">
        <v>2642</v>
      </c>
      <c r="C459" t="s">
        <v>2643</v>
      </c>
      <c r="D459" t="s">
        <v>341</v>
      </c>
      <c r="E459">
        <v>7</v>
      </c>
      <c r="F459">
        <v>3</v>
      </c>
      <c r="H459">
        <v>2021</v>
      </c>
      <c r="I459" t="s">
        <v>2644</v>
      </c>
      <c r="J459" t="s">
        <v>2645</v>
      </c>
      <c r="K459" t="s">
        <v>143</v>
      </c>
      <c r="P459" t="s">
        <v>1165</v>
      </c>
      <c r="R459" t="s">
        <v>233</v>
      </c>
      <c r="S459" t="s">
        <v>2631</v>
      </c>
    </row>
    <row r="460" spans="1:19" x14ac:dyDescent="0.2">
      <c r="A460" t="s">
        <v>138</v>
      </c>
      <c r="B460" t="s">
        <v>2646</v>
      </c>
      <c r="C460" t="s">
        <v>2647</v>
      </c>
      <c r="D460" t="s">
        <v>2648</v>
      </c>
      <c r="E460">
        <v>60</v>
      </c>
      <c r="F460">
        <v>12</v>
      </c>
      <c r="G460">
        <v>3397</v>
      </c>
      <c r="H460">
        <v>2009</v>
      </c>
      <c r="I460" t="s">
        <v>324</v>
      </c>
      <c r="J460" t="s">
        <v>2649</v>
      </c>
      <c r="K460" t="s">
        <v>143</v>
      </c>
      <c r="R460" t="s">
        <v>433</v>
      </c>
      <c r="S460" t="s">
        <v>2650</v>
      </c>
    </row>
    <row r="461" spans="1:19" x14ac:dyDescent="0.2">
      <c r="A461" t="s">
        <v>138</v>
      </c>
      <c r="B461" t="s">
        <v>2651</v>
      </c>
      <c r="C461" t="s">
        <v>2652</v>
      </c>
      <c r="D461" t="s">
        <v>2653</v>
      </c>
      <c r="E461">
        <v>3</v>
      </c>
      <c r="F461">
        <v>4</v>
      </c>
      <c r="G461">
        <v>301</v>
      </c>
      <c r="H461">
        <v>2009</v>
      </c>
      <c r="I461" t="s">
        <v>2654</v>
      </c>
      <c r="J461" t="s">
        <v>746</v>
      </c>
      <c r="K461" t="s">
        <v>143</v>
      </c>
      <c r="R461" t="s">
        <v>433</v>
      </c>
      <c r="S461" t="s">
        <v>2650</v>
      </c>
    </row>
    <row r="462" spans="1:19" x14ac:dyDescent="0.2">
      <c r="A462" t="s">
        <v>138</v>
      </c>
      <c r="B462" t="s">
        <v>2655</v>
      </c>
      <c r="C462" t="s">
        <v>2656</v>
      </c>
      <c r="D462" t="s">
        <v>2657</v>
      </c>
      <c r="E462">
        <v>4</v>
      </c>
      <c r="F462">
        <v>2</v>
      </c>
      <c r="G462">
        <v>123</v>
      </c>
      <c r="H462">
        <v>1989</v>
      </c>
      <c r="I462" t="s">
        <v>1081</v>
      </c>
      <c r="J462" t="s">
        <v>1082</v>
      </c>
      <c r="K462" t="s">
        <v>143</v>
      </c>
      <c r="R462" t="s">
        <v>433</v>
      </c>
      <c r="S462" t="s">
        <v>2658</v>
      </c>
    </row>
    <row r="463" spans="1:19" x14ac:dyDescent="0.2">
      <c r="A463" t="s">
        <v>138</v>
      </c>
      <c r="B463" t="s">
        <v>2659</v>
      </c>
      <c r="C463" t="s">
        <v>2660</v>
      </c>
      <c r="D463" t="s">
        <v>2648</v>
      </c>
      <c r="E463">
        <v>36</v>
      </c>
      <c r="F463">
        <v>163</v>
      </c>
      <c r="G463">
        <v>330</v>
      </c>
      <c r="H463">
        <v>1985</v>
      </c>
      <c r="I463" t="s">
        <v>317</v>
      </c>
      <c r="J463" t="s">
        <v>2661</v>
      </c>
      <c r="K463" t="s">
        <v>143</v>
      </c>
      <c r="R463" t="s">
        <v>433</v>
      </c>
      <c r="S463" t="s">
        <v>2662</v>
      </c>
    </row>
    <row r="464" spans="1:19" x14ac:dyDescent="0.2">
      <c r="A464" t="s">
        <v>138</v>
      </c>
      <c r="B464" t="s">
        <v>2663</v>
      </c>
      <c r="C464" t="s">
        <v>2664</v>
      </c>
      <c r="D464" t="s">
        <v>948</v>
      </c>
      <c r="E464">
        <v>50</v>
      </c>
      <c r="F464">
        <v>2</v>
      </c>
      <c r="G464">
        <v>152</v>
      </c>
      <c r="H464">
        <v>2002</v>
      </c>
      <c r="I464" t="s">
        <v>2665</v>
      </c>
      <c r="J464" t="s">
        <v>2666</v>
      </c>
      <c r="K464" t="s">
        <v>143</v>
      </c>
      <c r="R464" t="s">
        <v>433</v>
      </c>
      <c r="S464" t="s">
        <v>2667</v>
      </c>
    </row>
    <row r="465" spans="1:19" x14ac:dyDescent="0.2">
      <c r="A465" t="s">
        <v>138</v>
      </c>
      <c r="B465" t="s">
        <v>2668</v>
      </c>
      <c r="C465" t="s">
        <v>2669</v>
      </c>
      <c r="D465" t="s">
        <v>2670</v>
      </c>
      <c r="H465">
        <v>2022</v>
      </c>
      <c r="I465" t="s">
        <v>1522</v>
      </c>
      <c r="J465" t="s">
        <v>2671</v>
      </c>
      <c r="K465" t="s">
        <v>143</v>
      </c>
      <c r="R465" t="s">
        <v>433</v>
      </c>
      <c r="S465" t="s">
        <v>2672</v>
      </c>
    </row>
    <row r="466" spans="1:19" x14ac:dyDescent="0.2">
      <c r="A466" t="s">
        <v>138</v>
      </c>
      <c r="B466" t="s">
        <v>2673</v>
      </c>
      <c r="C466" t="s">
        <v>2674</v>
      </c>
      <c r="D466" t="s">
        <v>1532</v>
      </c>
      <c r="E466">
        <v>50</v>
      </c>
      <c r="F466">
        <v>1</v>
      </c>
      <c r="G466">
        <v>24</v>
      </c>
      <c r="H466">
        <v>2020</v>
      </c>
      <c r="I466" t="s">
        <v>2618</v>
      </c>
      <c r="J466" t="s">
        <v>2675</v>
      </c>
      <c r="K466" t="s">
        <v>143</v>
      </c>
      <c r="R466" t="s">
        <v>433</v>
      </c>
      <c r="S466" t="s">
        <v>2676</v>
      </c>
    </row>
    <row r="467" spans="1:19" x14ac:dyDescent="0.2">
      <c r="A467" t="s">
        <v>138</v>
      </c>
      <c r="B467" t="s">
        <v>2677</v>
      </c>
      <c r="C467" t="s">
        <v>2678</v>
      </c>
      <c r="D467" t="s">
        <v>2679</v>
      </c>
      <c r="E467">
        <v>47</v>
      </c>
      <c r="F467">
        <v>4</v>
      </c>
      <c r="G467">
        <v>218</v>
      </c>
      <c r="H467">
        <v>1981</v>
      </c>
      <c r="I467" t="s">
        <v>2348</v>
      </c>
      <c r="J467" t="s">
        <v>2680</v>
      </c>
      <c r="K467" t="s">
        <v>2681</v>
      </c>
      <c r="P467" t="s">
        <v>1352</v>
      </c>
      <c r="Q467" t="s">
        <v>2682</v>
      </c>
      <c r="R467" t="s">
        <v>433</v>
      </c>
      <c r="S467" t="s">
        <v>2683</v>
      </c>
    </row>
    <row r="468" spans="1:19" x14ac:dyDescent="0.2">
      <c r="A468" t="s">
        <v>138</v>
      </c>
      <c r="B468" t="s">
        <v>2684</v>
      </c>
      <c r="C468" t="s">
        <v>2685</v>
      </c>
      <c r="D468" t="s">
        <v>1570</v>
      </c>
      <c r="E468">
        <v>37</v>
      </c>
      <c r="F468">
        <v>4</v>
      </c>
      <c r="G468">
        <v>758</v>
      </c>
      <c r="H468">
        <v>2017</v>
      </c>
      <c r="I468" t="s">
        <v>2686</v>
      </c>
      <c r="J468" t="s">
        <v>2687</v>
      </c>
      <c r="K468" t="s">
        <v>143</v>
      </c>
      <c r="Q468" t="s">
        <v>2630</v>
      </c>
      <c r="R468" t="s">
        <v>433</v>
      </c>
      <c r="S468" t="s">
        <v>2688</v>
      </c>
    </row>
    <row r="469" spans="1:19" x14ac:dyDescent="0.2">
      <c r="A469" t="s">
        <v>138</v>
      </c>
      <c r="B469" t="s">
        <v>2689</v>
      </c>
      <c r="C469" t="s">
        <v>2690</v>
      </c>
      <c r="D469" t="s">
        <v>2640</v>
      </c>
      <c r="E469">
        <v>31</v>
      </c>
      <c r="F469">
        <v>1</v>
      </c>
      <c r="G469">
        <v>35</v>
      </c>
      <c r="H469">
        <v>2013</v>
      </c>
      <c r="I469" t="s">
        <v>2691</v>
      </c>
      <c r="J469" t="s">
        <v>2692</v>
      </c>
      <c r="K469" t="s">
        <v>143</v>
      </c>
      <c r="R469" t="s">
        <v>433</v>
      </c>
      <c r="S469" t="s">
        <v>2693</v>
      </c>
    </row>
    <row r="470" spans="1:19" x14ac:dyDescent="0.2">
      <c r="A470" t="s">
        <v>138</v>
      </c>
      <c r="B470" t="s">
        <v>2694</v>
      </c>
      <c r="C470" t="s">
        <v>2695</v>
      </c>
      <c r="D470" t="s">
        <v>2696</v>
      </c>
      <c r="E470">
        <v>18</v>
      </c>
      <c r="F470">
        <v>4</v>
      </c>
      <c r="G470">
        <v>171</v>
      </c>
      <c r="H470">
        <v>2001</v>
      </c>
      <c r="I470" t="s">
        <v>2697</v>
      </c>
      <c r="J470" t="s">
        <v>2698</v>
      </c>
      <c r="K470" t="s">
        <v>143</v>
      </c>
      <c r="R470" t="s">
        <v>433</v>
      </c>
      <c r="S470" t="s">
        <v>2699</v>
      </c>
    </row>
    <row r="471" spans="1:19" x14ac:dyDescent="0.2">
      <c r="A471" t="s">
        <v>138</v>
      </c>
      <c r="B471" t="s">
        <v>2700</v>
      </c>
      <c r="C471" t="s">
        <v>2701</v>
      </c>
      <c r="D471" t="s">
        <v>655</v>
      </c>
      <c r="E471">
        <v>17</v>
      </c>
      <c r="F471">
        <v>1</v>
      </c>
      <c r="G471">
        <v>34</v>
      </c>
      <c r="H471">
        <v>1971</v>
      </c>
      <c r="I471" t="s">
        <v>2702</v>
      </c>
      <c r="J471" t="s">
        <v>2703</v>
      </c>
      <c r="K471" t="s">
        <v>143</v>
      </c>
      <c r="R471" t="s">
        <v>433</v>
      </c>
      <c r="S471" t="s">
        <v>2704</v>
      </c>
    </row>
    <row r="472" spans="1:19" x14ac:dyDescent="0.2">
      <c r="A472" t="s">
        <v>138</v>
      </c>
      <c r="B472" t="s">
        <v>2705</v>
      </c>
      <c r="C472" t="s">
        <v>2706</v>
      </c>
      <c r="D472" t="s">
        <v>2707</v>
      </c>
      <c r="E472">
        <v>37</v>
      </c>
      <c r="F472">
        <v>4</v>
      </c>
      <c r="G472">
        <v>29</v>
      </c>
      <c r="H472">
        <v>2017</v>
      </c>
      <c r="I472" t="s">
        <v>2708</v>
      </c>
      <c r="J472" t="s">
        <v>2709</v>
      </c>
      <c r="S472" t="s">
        <v>2710</v>
      </c>
    </row>
    <row r="473" spans="1:19" x14ac:dyDescent="0.2">
      <c r="A473" t="s">
        <v>138</v>
      </c>
      <c r="B473" t="s">
        <v>2711</v>
      </c>
      <c r="C473" t="s">
        <v>2712</v>
      </c>
      <c r="D473" t="s">
        <v>2713</v>
      </c>
      <c r="E473">
        <v>22</v>
      </c>
      <c r="F473">
        <v>3</v>
      </c>
      <c r="G473">
        <v>268</v>
      </c>
      <c r="H473">
        <v>2021</v>
      </c>
      <c r="I473" t="s">
        <v>2714</v>
      </c>
      <c r="J473" t="s">
        <v>2715</v>
      </c>
      <c r="K473" t="s">
        <v>143</v>
      </c>
      <c r="R473" t="s">
        <v>356</v>
      </c>
      <c r="S473" t="s">
        <v>2716</v>
      </c>
    </row>
    <row r="474" spans="1:19" x14ac:dyDescent="0.2">
      <c r="A474" t="s">
        <v>138</v>
      </c>
      <c r="B474" t="s">
        <v>2717</v>
      </c>
      <c r="C474" t="s">
        <v>2718</v>
      </c>
      <c r="D474" t="s">
        <v>2719</v>
      </c>
      <c r="E474">
        <v>19</v>
      </c>
      <c r="F474">
        <v>1</v>
      </c>
      <c r="G474">
        <v>29</v>
      </c>
      <c r="H474">
        <v>2018</v>
      </c>
      <c r="I474" t="s">
        <v>2720</v>
      </c>
      <c r="J474" t="s">
        <v>2721</v>
      </c>
      <c r="K474" t="s">
        <v>143</v>
      </c>
      <c r="R474" t="s">
        <v>356</v>
      </c>
      <c r="S474" t="s">
        <v>2722</v>
      </c>
    </row>
    <row r="475" spans="1:19" x14ac:dyDescent="0.2">
      <c r="A475" t="s">
        <v>138</v>
      </c>
      <c r="B475" t="s">
        <v>2723</v>
      </c>
      <c r="C475" t="s">
        <v>2724</v>
      </c>
      <c r="D475" t="s">
        <v>2410</v>
      </c>
      <c r="E475">
        <v>37</v>
      </c>
      <c r="F475">
        <v>14</v>
      </c>
      <c r="G475">
        <v>2067</v>
      </c>
      <c r="H475">
        <v>2012</v>
      </c>
      <c r="I475" t="s">
        <v>2725</v>
      </c>
      <c r="J475" t="s">
        <v>689</v>
      </c>
      <c r="K475" t="s">
        <v>143</v>
      </c>
      <c r="R475" t="s">
        <v>356</v>
      </c>
      <c r="S475" t="s">
        <v>2726</v>
      </c>
    </row>
    <row r="476" spans="1:19" x14ac:dyDescent="0.2">
      <c r="A476" t="s">
        <v>2727</v>
      </c>
      <c r="B476" t="s">
        <v>2728</v>
      </c>
      <c r="C476" t="s">
        <v>2729</v>
      </c>
      <c r="H476" t="s">
        <v>158</v>
      </c>
      <c r="I476" t="s">
        <v>634</v>
      </c>
      <c r="J476" t="s">
        <v>2730</v>
      </c>
      <c r="K476" t="s">
        <v>143</v>
      </c>
      <c r="R476" t="s">
        <v>356</v>
      </c>
      <c r="S476" t="s">
        <v>2731</v>
      </c>
    </row>
    <row r="477" spans="1:19" x14ac:dyDescent="0.2">
      <c r="A477" t="s">
        <v>2727</v>
      </c>
      <c r="B477" t="s">
        <v>2732</v>
      </c>
      <c r="C477" t="s">
        <v>2733</v>
      </c>
      <c r="H477" t="s">
        <v>158</v>
      </c>
      <c r="I477" t="s">
        <v>2138</v>
      </c>
      <c r="K477" t="s">
        <v>143</v>
      </c>
      <c r="R477" t="s">
        <v>356</v>
      </c>
      <c r="S477" t="s">
        <v>2734</v>
      </c>
    </row>
    <row r="478" spans="1:19" x14ac:dyDescent="0.2">
      <c r="A478" t="s">
        <v>138</v>
      </c>
      <c r="B478" t="s">
        <v>2735</v>
      </c>
      <c r="C478" t="s">
        <v>2736</v>
      </c>
      <c r="D478" t="s">
        <v>2410</v>
      </c>
      <c r="E478">
        <v>41</v>
      </c>
      <c r="F478">
        <v>1</v>
      </c>
      <c r="G478">
        <v>51</v>
      </c>
      <c r="H478">
        <v>2016</v>
      </c>
      <c r="I478" t="s">
        <v>2737</v>
      </c>
      <c r="J478" t="s">
        <v>2738</v>
      </c>
      <c r="K478" t="s">
        <v>143</v>
      </c>
      <c r="R478" t="s">
        <v>356</v>
      </c>
      <c r="S478" t="s">
        <v>2739</v>
      </c>
    </row>
    <row r="479" spans="1:19" x14ac:dyDescent="0.2">
      <c r="A479" t="s">
        <v>138</v>
      </c>
      <c r="B479" t="s">
        <v>2740</v>
      </c>
      <c r="C479" t="s">
        <v>2741</v>
      </c>
      <c r="D479" t="s">
        <v>2742</v>
      </c>
      <c r="E479">
        <v>8</v>
      </c>
      <c r="F479">
        <v>10</v>
      </c>
      <c r="G479">
        <v>74</v>
      </c>
      <c r="H479">
        <v>2006</v>
      </c>
      <c r="I479" t="s">
        <v>760</v>
      </c>
      <c r="J479" t="s">
        <v>476</v>
      </c>
      <c r="K479" t="s">
        <v>143</v>
      </c>
      <c r="R479" t="s">
        <v>356</v>
      </c>
      <c r="S479" t="s">
        <v>2743</v>
      </c>
    </row>
    <row r="480" spans="1:19" x14ac:dyDescent="0.2">
      <c r="A480" t="s">
        <v>138</v>
      </c>
      <c r="B480" t="s">
        <v>2744</v>
      </c>
      <c r="C480" t="s">
        <v>2745</v>
      </c>
      <c r="D480" t="s">
        <v>2746</v>
      </c>
      <c r="E480">
        <v>22</v>
      </c>
      <c r="F480">
        <v>1</v>
      </c>
      <c r="G480">
        <v>99</v>
      </c>
      <c r="H480">
        <v>2016</v>
      </c>
      <c r="I480" t="s">
        <v>2747</v>
      </c>
      <c r="J480" t="s">
        <v>2748</v>
      </c>
      <c r="K480" t="s">
        <v>143</v>
      </c>
      <c r="R480" t="s">
        <v>319</v>
      </c>
      <c r="S480" t="s">
        <v>2749</v>
      </c>
    </row>
    <row r="481" spans="1:19" x14ac:dyDescent="0.2">
      <c r="A481" t="s">
        <v>138</v>
      </c>
      <c r="B481" t="s">
        <v>2750</v>
      </c>
      <c r="C481" t="s">
        <v>2751</v>
      </c>
      <c r="D481" t="s">
        <v>2752</v>
      </c>
      <c r="E481">
        <v>47</v>
      </c>
      <c r="F481">
        <v>12</v>
      </c>
      <c r="G481">
        <v>2108</v>
      </c>
      <c r="H481">
        <v>2016</v>
      </c>
      <c r="I481" t="s">
        <v>459</v>
      </c>
      <c r="J481" t="s">
        <v>651</v>
      </c>
      <c r="K481" t="s">
        <v>143</v>
      </c>
      <c r="R481" t="s">
        <v>319</v>
      </c>
      <c r="S481" t="s">
        <v>2749</v>
      </c>
    </row>
    <row r="482" spans="1:19" x14ac:dyDescent="0.2">
      <c r="A482" t="s">
        <v>138</v>
      </c>
      <c r="B482" t="s">
        <v>2753</v>
      </c>
      <c r="C482" t="s">
        <v>2754</v>
      </c>
      <c r="D482" t="s">
        <v>584</v>
      </c>
      <c r="E482">
        <v>32</v>
      </c>
      <c r="F482">
        <v>4</v>
      </c>
      <c r="G482">
        <v>268</v>
      </c>
      <c r="H482">
        <v>2017</v>
      </c>
      <c r="I482" t="s">
        <v>2755</v>
      </c>
      <c r="J482" t="s">
        <v>2756</v>
      </c>
      <c r="K482" t="s">
        <v>143</v>
      </c>
      <c r="P482" t="s">
        <v>1352</v>
      </c>
      <c r="R482" t="s">
        <v>319</v>
      </c>
      <c r="S482" t="s">
        <v>2757</v>
      </c>
    </row>
    <row r="483" spans="1:19" x14ac:dyDescent="0.2">
      <c r="A483" t="s">
        <v>138</v>
      </c>
      <c r="B483" t="s">
        <v>2753</v>
      </c>
      <c r="C483" t="s">
        <v>2758</v>
      </c>
      <c r="D483" t="s">
        <v>584</v>
      </c>
      <c r="E483">
        <v>33</v>
      </c>
      <c r="F483">
        <v>3</v>
      </c>
      <c r="G483">
        <v>231</v>
      </c>
      <c r="H483">
        <v>2018</v>
      </c>
      <c r="I483" t="s">
        <v>2759</v>
      </c>
      <c r="J483" t="s">
        <v>2760</v>
      </c>
      <c r="K483" t="s">
        <v>143</v>
      </c>
      <c r="R483" t="s">
        <v>319</v>
      </c>
      <c r="S483" t="s">
        <v>2761</v>
      </c>
    </row>
    <row r="484" spans="1:19" x14ac:dyDescent="0.2">
      <c r="A484" t="s">
        <v>138</v>
      </c>
      <c r="B484" t="s">
        <v>2753</v>
      </c>
      <c r="C484" t="s">
        <v>2762</v>
      </c>
      <c r="D484" t="s">
        <v>584</v>
      </c>
      <c r="E484">
        <v>33</v>
      </c>
      <c r="F484">
        <v>4</v>
      </c>
      <c r="G484">
        <v>277</v>
      </c>
      <c r="H484">
        <v>2018</v>
      </c>
      <c r="I484" t="s">
        <v>2763</v>
      </c>
      <c r="J484" t="s">
        <v>1137</v>
      </c>
      <c r="K484" t="s">
        <v>143</v>
      </c>
      <c r="R484" t="s">
        <v>319</v>
      </c>
      <c r="S484" t="s">
        <v>2761</v>
      </c>
    </row>
    <row r="485" spans="1:19" x14ac:dyDescent="0.2">
      <c r="A485" t="s">
        <v>138</v>
      </c>
      <c r="B485" t="s">
        <v>2753</v>
      </c>
      <c r="C485" t="s">
        <v>2764</v>
      </c>
      <c r="D485" t="s">
        <v>584</v>
      </c>
      <c r="E485">
        <v>33</v>
      </c>
      <c r="F485">
        <v>1</v>
      </c>
      <c r="G485">
        <v>17</v>
      </c>
      <c r="H485">
        <v>2018</v>
      </c>
      <c r="I485" t="s">
        <v>2765</v>
      </c>
      <c r="J485" t="s">
        <v>2766</v>
      </c>
      <c r="K485" t="s">
        <v>143</v>
      </c>
      <c r="R485" t="s">
        <v>319</v>
      </c>
      <c r="S485" t="s">
        <v>2761</v>
      </c>
    </row>
    <row r="486" spans="1:19" x14ac:dyDescent="0.2">
      <c r="A486" t="s">
        <v>138</v>
      </c>
      <c r="B486" t="s">
        <v>2767</v>
      </c>
      <c r="C486" t="s">
        <v>2768</v>
      </c>
      <c r="D486" t="s">
        <v>584</v>
      </c>
      <c r="E486">
        <v>25</v>
      </c>
      <c r="F486">
        <v>4</v>
      </c>
      <c r="G486">
        <v>327</v>
      </c>
      <c r="H486">
        <v>2010</v>
      </c>
      <c r="I486" t="s">
        <v>2769</v>
      </c>
      <c r="J486" t="s">
        <v>2770</v>
      </c>
      <c r="K486" t="s">
        <v>143</v>
      </c>
      <c r="R486" t="s">
        <v>319</v>
      </c>
      <c r="S486" t="s">
        <v>2771</v>
      </c>
    </row>
    <row r="487" spans="1:19" x14ac:dyDescent="0.2">
      <c r="A487" t="s">
        <v>138</v>
      </c>
      <c r="B487" t="s">
        <v>2772</v>
      </c>
      <c r="C487" t="s">
        <v>2773</v>
      </c>
      <c r="D487" t="s">
        <v>2774</v>
      </c>
      <c r="E487">
        <v>33</v>
      </c>
      <c r="F487">
        <v>6</v>
      </c>
      <c r="G487">
        <v>130</v>
      </c>
      <c r="H487">
        <v>2011</v>
      </c>
      <c r="I487" t="s">
        <v>265</v>
      </c>
      <c r="J487" t="s">
        <v>1886</v>
      </c>
      <c r="K487" t="s">
        <v>143</v>
      </c>
      <c r="R487" t="s">
        <v>319</v>
      </c>
      <c r="S487" t="s">
        <v>2775</v>
      </c>
    </row>
    <row r="488" spans="1:19" x14ac:dyDescent="0.2">
      <c r="A488" t="s">
        <v>138</v>
      </c>
      <c r="B488" t="s">
        <v>2776</v>
      </c>
      <c r="C488" t="s">
        <v>2777</v>
      </c>
      <c r="D488" t="s">
        <v>2064</v>
      </c>
      <c r="E488">
        <v>56</v>
      </c>
      <c r="F488">
        <v>10</v>
      </c>
      <c r="G488">
        <v>173</v>
      </c>
      <c r="H488">
        <v>2020</v>
      </c>
      <c r="I488" t="s">
        <v>1522</v>
      </c>
      <c r="J488" t="s">
        <v>2778</v>
      </c>
      <c r="K488" t="s">
        <v>143</v>
      </c>
      <c r="R488" t="s">
        <v>319</v>
      </c>
      <c r="S488" t="s">
        <v>2779</v>
      </c>
    </row>
    <row r="489" spans="1:19" x14ac:dyDescent="0.2">
      <c r="A489" t="s">
        <v>488</v>
      </c>
      <c r="B489" t="s">
        <v>2780</v>
      </c>
      <c r="C489" t="s">
        <v>2781</v>
      </c>
      <c r="D489" t="s">
        <v>2782</v>
      </c>
      <c r="E489">
        <v>1042</v>
      </c>
      <c r="G489">
        <v>311</v>
      </c>
      <c r="H489">
        <v>2014</v>
      </c>
      <c r="I489" t="s">
        <v>2783</v>
      </c>
      <c r="J489" t="s">
        <v>2784</v>
      </c>
      <c r="K489" t="s">
        <v>143</v>
      </c>
      <c r="R489" t="s">
        <v>319</v>
      </c>
      <c r="S489" t="s">
        <v>2785</v>
      </c>
    </row>
    <row r="490" spans="1:19" x14ac:dyDescent="0.2">
      <c r="A490" t="s">
        <v>138</v>
      </c>
      <c r="B490" t="s">
        <v>2786</v>
      </c>
      <c r="C490" t="s">
        <v>2787</v>
      </c>
      <c r="D490" t="s">
        <v>584</v>
      </c>
      <c r="E490">
        <v>23</v>
      </c>
      <c r="F490">
        <v>4</v>
      </c>
      <c r="G490">
        <v>309</v>
      </c>
      <c r="H490">
        <v>2008</v>
      </c>
      <c r="I490" t="s">
        <v>2788</v>
      </c>
      <c r="J490" t="s">
        <v>343</v>
      </c>
      <c r="K490" t="s">
        <v>143</v>
      </c>
      <c r="R490" t="s">
        <v>319</v>
      </c>
      <c r="S490" t="s">
        <v>2789</v>
      </c>
    </row>
    <row r="491" spans="1:19" x14ac:dyDescent="0.2">
      <c r="A491" t="s">
        <v>138</v>
      </c>
      <c r="B491" t="s">
        <v>2790</v>
      </c>
      <c r="C491" t="s">
        <v>2791</v>
      </c>
      <c r="D491" t="s">
        <v>584</v>
      </c>
      <c r="E491">
        <v>21</v>
      </c>
      <c r="F491">
        <v>2</v>
      </c>
      <c r="G491">
        <v>179</v>
      </c>
      <c r="H491">
        <v>2006</v>
      </c>
      <c r="I491" t="s">
        <v>2792</v>
      </c>
      <c r="J491" t="s">
        <v>2793</v>
      </c>
      <c r="K491" t="s">
        <v>143</v>
      </c>
      <c r="R491" t="s">
        <v>319</v>
      </c>
      <c r="S491" t="s">
        <v>2794</v>
      </c>
    </row>
    <row r="492" spans="1:19" x14ac:dyDescent="0.2">
      <c r="A492" t="s">
        <v>138</v>
      </c>
      <c r="B492" t="s">
        <v>2795</v>
      </c>
      <c r="C492" t="s">
        <v>2796</v>
      </c>
      <c r="D492" t="s">
        <v>584</v>
      </c>
      <c r="E492">
        <v>19</v>
      </c>
      <c r="F492">
        <v>3</v>
      </c>
      <c r="G492">
        <v>247</v>
      </c>
      <c r="H492">
        <v>2004</v>
      </c>
      <c r="I492" t="s">
        <v>2797</v>
      </c>
      <c r="J492" t="s">
        <v>2798</v>
      </c>
      <c r="K492" t="s">
        <v>143</v>
      </c>
      <c r="R492" t="s">
        <v>319</v>
      </c>
      <c r="S492" t="s">
        <v>2799</v>
      </c>
    </row>
    <row r="493" spans="1:19" x14ac:dyDescent="0.2">
      <c r="A493" t="s">
        <v>138</v>
      </c>
      <c r="B493" t="s">
        <v>2800</v>
      </c>
      <c r="C493" t="s">
        <v>2801</v>
      </c>
      <c r="D493" t="s">
        <v>2802</v>
      </c>
      <c r="E493">
        <v>42</v>
      </c>
      <c r="F493">
        <v>3</v>
      </c>
      <c r="G493">
        <v>168</v>
      </c>
      <c r="H493">
        <v>2020</v>
      </c>
      <c r="I493" t="s">
        <v>1844</v>
      </c>
      <c r="J493" t="s">
        <v>2803</v>
      </c>
      <c r="K493" t="s">
        <v>143</v>
      </c>
      <c r="R493" t="s">
        <v>319</v>
      </c>
      <c r="S493" t="s">
        <v>2779</v>
      </c>
    </row>
    <row r="494" spans="1:19" x14ac:dyDescent="0.2">
      <c r="A494" t="s">
        <v>138</v>
      </c>
      <c r="B494" t="s">
        <v>2804</v>
      </c>
      <c r="C494" t="s">
        <v>2805</v>
      </c>
      <c r="D494" t="s">
        <v>366</v>
      </c>
      <c r="E494">
        <v>51</v>
      </c>
      <c r="F494">
        <v>9</v>
      </c>
      <c r="G494">
        <v>1197</v>
      </c>
      <c r="H494">
        <v>2016</v>
      </c>
      <c r="I494" t="s">
        <v>634</v>
      </c>
      <c r="J494" t="s">
        <v>2806</v>
      </c>
      <c r="K494" t="s">
        <v>1467</v>
      </c>
      <c r="P494" t="s">
        <v>1352</v>
      </c>
      <c r="R494" t="s">
        <v>319</v>
      </c>
      <c r="S494" t="s">
        <v>2807</v>
      </c>
    </row>
    <row r="495" spans="1:19" x14ac:dyDescent="0.2">
      <c r="A495" t="s">
        <v>406</v>
      </c>
      <c r="B495" t="s">
        <v>2808</v>
      </c>
      <c r="C495" t="s">
        <v>2809</v>
      </c>
      <c r="D495" t="s">
        <v>409</v>
      </c>
      <c r="F495">
        <v>1117</v>
      </c>
      <c r="G495">
        <v>119</v>
      </c>
      <c r="H495">
        <v>2016</v>
      </c>
      <c r="I495" t="s">
        <v>510</v>
      </c>
      <c r="J495" t="s">
        <v>1587</v>
      </c>
      <c r="K495" t="s">
        <v>143</v>
      </c>
      <c r="R495" t="s">
        <v>319</v>
      </c>
      <c r="S495" t="s">
        <v>2807</v>
      </c>
    </row>
    <row r="496" spans="1:19" x14ac:dyDescent="0.2">
      <c r="A496" t="s">
        <v>138</v>
      </c>
      <c r="B496" t="s">
        <v>2810</v>
      </c>
      <c r="C496" t="s">
        <v>2811</v>
      </c>
      <c r="D496" t="s">
        <v>2812</v>
      </c>
      <c r="E496">
        <v>87</v>
      </c>
      <c r="F496">
        <v>2</v>
      </c>
      <c r="G496">
        <v>315</v>
      </c>
      <c r="H496">
        <v>2017</v>
      </c>
      <c r="I496" t="s">
        <v>278</v>
      </c>
      <c r="J496" t="s">
        <v>2813</v>
      </c>
      <c r="K496" t="s">
        <v>1467</v>
      </c>
      <c r="P496" t="s">
        <v>1352</v>
      </c>
      <c r="Q496" t="s">
        <v>1478</v>
      </c>
      <c r="R496" t="s">
        <v>319</v>
      </c>
      <c r="S496" t="s">
        <v>2814</v>
      </c>
    </row>
    <row r="497" spans="1:19" x14ac:dyDescent="0.2">
      <c r="A497" t="s">
        <v>138</v>
      </c>
      <c r="B497" t="s">
        <v>2815</v>
      </c>
      <c r="C497" t="s">
        <v>2816</v>
      </c>
      <c r="D497" t="s">
        <v>2817</v>
      </c>
      <c r="F497">
        <v>32</v>
      </c>
      <c r="G497">
        <v>67</v>
      </c>
      <c r="H497">
        <v>1990</v>
      </c>
      <c r="I497" t="s">
        <v>324</v>
      </c>
      <c r="K497" t="s">
        <v>143</v>
      </c>
      <c r="R497" t="s">
        <v>319</v>
      </c>
      <c r="S497" t="s">
        <v>2818</v>
      </c>
    </row>
    <row r="498" spans="1:19" x14ac:dyDescent="0.2">
      <c r="A498" t="s">
        <v>138</v>
      </c>
      <c r="B498" t="s">
        <v>2819</v>
      </c>
      <c r="C498" t="s">
        <v>2820</v>
      </c>
      <c r="D498" t="s">
        <v>366</v>
      </c>
      <c r="E498">
        <v>54</v>
      </c>
      <c r="F498">
        <v>9</v>
      </c>
      <c r="G498" t="s">
        <v>2821</v>
      </c>
      <c r="H498">
        <v>2019</v>
      </c>
      <c r="I498" t="s">
        <v>1636</v>
      </c>
      <c r="J498" t="s">
        <v>1637</v>
      </c>
      <c r="K498" t="s">
        <v>2822</v>
      </c>
      <c r="Q498" t="s">
        <v>2823</v>
      </c>
      <c r="R498" t="s">
        <v>319</v>
      </c>
      <c r="S498" t="s">
        <v>2824</v>
      </c>
    </row>
    <row r="499" spans="1:19" x14ac:dyDescent="0.2">
      <c r="A499" t="s">
        <v>138</v>
      </c>
      <c r="B499" t="s">
        <v>2825</v>
      </c>
      <c r="C499" t="s">
        <v>2826</v>
      </c>
      <c r="D499" t="s">
        <v>2827</v>
      </c>
      <c r="E499">
        <v>11</v>
      </c>
      <c r="F499">
        <v>5</v>
      </c>
      <c r="H499">
        <v>2021</v>
      </c>
      <c r="I499" t="s">
        <v>1636</v>
      </c>
      <c r="J499" t="s">
        <v>1637</v>
      </c>
      <c r="K499" t="s">
        <v>2822</v>
      </c>
      <c r="Q499" t="s">
        <v>2828</v>
      </c>
      <c r="R499" t="s">
        <v>319</v>
      </c>
      <c r="S499" t="s">
        <v>2829</v>
      </c>
    </row>
    <row r="500" spans="1:19" x14ac:dyDescent="0.2">
      <c r="A500" t="s">
        <v>138</v>
      </c>
      <c r="B500" t="s">
        <v>2830</v>
      </c>
      <c r="C500" t="s">
        <v>2831</v>
      </c>
      <c r="D500" t="s">
        <v>1988</v>
      </c>
      <c r="E500">
        <v>27</v>
      </c>
      <c r="F500">
        <v>1</v>
      </c>
      <c r="G500">
        <v>104</v>
      </c>
      <c r="H500">
        <v>2018</v>
      </c>
      <c r="I500" t="s">
        <v>2832</v>
      </c>
      <c r="J500" t="s">
        <v>2833</v>
      </c>
      <c r="K500" t="s">
        <v>1406</v>
      </c>
      <c r="L500" t="s">
        <v>2834</v>
      </c>
      <c r="Q500" t="s">
        <v>2835</v>
      </c>
      <c r="R500" t="s">
        <v>319</v>
      </c>
      <c r="S500" t="s">
        <v>2836</v>
      </c>
    </row>
    <row r="501" spans="1:19" x14ac:dyDescent="0.2">
      <c r="A501" t="s">
        <v>138</v>
      </c>
      <c r="B501" t="s">
        <v>2837</v>
      </c>
      <c r="C501" t="s">
        <v>2838</v>
      </c>
      <c r="D501" t="s">
        <v>2839</v>
      </c>
      <c r="E501">
        <v>10</v>
      </c>
      <c r="F501">
        <v>2</v>
      </c>
      <c r="G501">
        <v>18</v>
      </c>
      <c r="H501">
        <v>2007</v>
      </c>
      <c r="I501" t="s">
        <v>2840</v>
      </c>
      <c r="J501" t="s">
        <v>1001</v>
      </c>
      <c r="K501" t="s">
        <v>1406</v>
      </c>
      <c r="L501" t="s">
        <v>2834</v>
      </c>
      <c r="Q501" t="s">
        <v>2835</v>
      </c>
      <c r="R501" t="s">
        <v>319</v>
      </c>
      <c r="S501" t="s">
        <v>2841</v>
      </c>
    </row>
    <row r="502" spans="1:19" x14ac:dyDescent="0.2">
      <c r="A502" t="s">
        <v>138</v>
      </c>
      <c r="B502" t="s">
        <v>2842</v>
      </c>
      <c r="C502" t="s">
        <v>2843</v>
      </c>
      <c r="D502" t="s">
        <v>2844</v>
      </c>
      <c r="E502">
        <v>90</v>
      </c>
      <c r="F502">
        <v>1</v>
      </c>
      <c r="G502">
        <v>85</v>
      </c>
      <c r="H502">
        <v>2009</v>
      </c>
      <c r="I502" t="s">
        <v>2845</v>
      </c>
      <c r="J502" t="s">
        <v>2846</v>
      </c>
      <c r="K502" t="s">
        <v>143</v>
      </c>
      <c r="R502" t="s">
        <v>319</v>
      </c>
      <c r="S502" t="s">
        <v>2847</v>
      </c>
    </row>
    <row r="503" spans="1:19" x14ac:dyDescent="0.2">
      <c r="A503" t="s">
        <v>138</v>
      </c>
      <c r="B503" t="s">
        <v>2848</v>
      </c>
      <c r="C503" t="s">
        <v>2849</v>
      </c>
      <c r="D503" t="s">
        <v>2064</v>
      </c>
      <c r="E503">
        <v>44</v>
      </c>
      <c r="F503">
        <v>4</v>
      </c>
      <c r="G503">
        <v>161</v>
      </c>
      <c r="H503">
        <v>2008</v>
      </c>
      <c r="I503" t="s">
        <v>265</v>
      </c>
      <c r="J503" t="s">
        <v>361</v>
      </c>
      <c r="K503" t="s">
        <v>143</v>
      </c>
      <c r="R503" t="s">
        <v>319</v>
      </c>
      <c r="S503" t="s">
        <v>2850</v>
      </c>
    </row>
    <row r="504" spans="1:19" x14ac:dyDescent="0.2">
      <c r="A504" t="s">
        <v>138</v>
      </c>
      <c r="B504" t="s">
        <v>2851</v>
      </c>
      <c r="C504" t="s">
        <v>2852</v>
      </c>
      <c r="D504" t="s">
        <v>2853</v>
      </c>
      <c r="E504">
        <v>24</v>
      </c>
      <c r="F504">
        <v>7</v>
      </c>
      <c r="G504">
        <v>106</v>
      </c>
      <c r="H504">
        <v>2015</v>
      </c>
      <c r="I504" t="s">
        <v>2854</v>
      </c>
      <c r="J504" t="s">
        <v>2855</v>
      </c>
      <c r="K504" t="s">
        <v>143</v>
      </c>
      <c r="R504" t="s">
        <v>319</v>
      </c>
      <c r="S504" t="s">
        <v>2856</v>
      </c>
    </row>
    <row r="505" spans="1:19" x14ac:dyDescent="0.2">
      <c r="A505" t="s">
        <v>138</v>
      </c>
      <c r="B505" t="s">
        <v>2857</v>
      </c>
      <c r="C505" t="s">
        <v>2858</v>
      </c>
      <c r="D505" t="s">
        <v>1080</v>
      </c>
      <c r="E505">
        <v>11</v>
      </c>
      <c r="F505">
        <v>2</v>
      </c>
      <c r="G505">
        <v>135</v>
      </c>
      <c r="H505">
        <v>2003</v>
      </c>
      <c r="I505" t="s">
        <v>2129</v>
      </c>
      <c r="J505" t="s">
        <v>2859</v>
      </c>
      <c r="K505" t="s">
        <v>143</v>
      </c>
      <c r="R505" t="s">
        <v>319</v>
      </c>
      <c r="S505" t="s">
        <v>2860</v>
      </c>
    </row>
    <row r="506" spans="1:19" x14ac:dyDescent="0.2">
      <c r="A506" t="s">
        <v>138</v>
      </c>
      <c r="B506" t="s">
        <v>2861</v>
      </c>
      <c r="C506" t="s">
        <v>2862</v>
      </c>
      <c r="D506" t="s">
        <v>366</v>
      </c>
      <c r="E506">
        <v>56</v>
      </c>
      <c r="F506">
        <v>4</v>
      </c>
      <c r="G506">
        <v>506</v>
      </c>
      <c r="H506">
        <v>2021</v>
      </c>
      <c r="I506" t="s">
        <v>2863</v>
      </c>
      <c r="J506" t="s">
        <v>2864</v>
      </c>
      <c r="K506" t="s">
        <v>1467</v>
      </c>
      <c r="P506" t="s">
        <v>1352</v>
      </c>
      <c r="R506" t="s">
        <v>319</v>
      </c>
      <c r="S506" t="s">
        <v>2865</v>
      </c>
    </row>
    <row r="507" spans="1:19" x14ac:dyDescent="0.2">
      <c r="A507" t="s">
        <v>138</v>
      </c>
      <c r="B507" t="s">
        <v>2866</v>
      </c>
      <c r="C507" t="s">
        <v>2867</v>
      </c>
      <c r="D507" t="s">
        <v>2868</v>
      </c>
      <c r="E507">
        <v>35</v>
      </c>
      <c r="F507">
        <v>11</v>
      </c>
      <c r="G507">
        <v>156</v>
      </c>
      <c r="H507">
        <v>2007</v>
      </c>
      <c r="I507" t="s">
        <v>224</v>
      </c>
      <c r="J507" t="s">
        <v>410</v>
      </c>
      <c r="K507" t="s">
        <v>143</v>
      </c>
      <c r="R507" t="s">
        <v>319</v>
      </c>
      <c r="S507" t="s">
        <v>2869</v>
      </c>
    </row>
    <row r="508" spans="1:19" x14ac:dyDescent="0.2">
      <c r="A508" t="s">
        <v>138</v>
      </c>
      <c r="B508" t="s">
        <v>2870</v>
      </c>
      <c r="C508" t="s">
        <v>2871</v>
      </c>
      <c r="D508" t="s">
        <v>509</v>
      </c>
      <c r="F508">
        <v>2</v>
      </c>
      <c r="G508">
        <v>25</v>
      </c>
      <c r="H508">
        <v>1983</v>
      </c>
      <c r="I508" t="s">
        <v>2348</v>
      </c>
      <c r="J508" t="s">
        <v>186</v>
      </c>
      <c r="K508" t="s">
        <v>143</v>
      </c>
      <c r="R508" t="s">
        <v>319</v>
      </c>
      <c r="S508" t="s">
        <v>2872</v>
      </c>
    </row>
    <row r="509" spans="1:19" x14ac:dyDescent="0.2">
      <c r="A509" t="s">
        <v>138</v>
      </c>
      <c r="B509" t="s">
        <v>2873</v>
      </c>
      <c r="C509" t="s">
        <v>2874</v>
      </c>
      <c r="D509" t="s">
        <v>1988</v>
      </c>
      <c r="E509">
        <v>30</v>
      </c>
      <c r="F509" t="s">
        <v>2875</v>
      </c>
      <c r="G509">
        <v>1661</v>
      </c>
      <c r="H509">
        <v>2021</v>
      </c>
      <c r="I509" t="s">
        <v>640</v>
      </c>
      <c r="J509" t="s">
        <v>186</v>
      </c>
      <c r="K509" t="s">
        <v>143</v>
      </c>
      <c r="R509" t="s">
        <v>319</v>
      </c>
      <c r="S509" t="s">
        <v>2876</v>
      </c>
    </row>
    <row r="510" spans="1:19" x14ac:dyDescent="0.2">
      <c r="A510" t="s">
        <v>138</v>
      </c>
      <c r="B510" t="s">
        <v>2877</v>
      </c>
      <c r="C510" t="s">
        <v>2878</v>
      </c>
      <c r="D510" t="s">
        <v>2353</v>
      </c>
      <c r="E510">
        <v>42</v>
      </c>
      <c r="F510">
        <v>5</v>
      </c>
      <c r="G510">
        <v>428</v>
      </c>
      <c r="H510">
        <v>2019</v>
      </c>
      <c r="I510" t="s">
        <v>1226</v>
      </c>
      <c r="J510" t="s">
        <v>306</v>
      </c>
      <c r="K510" t="s">
        <v>143</v>
      </c>
      <c r="R510" t="s">
        <v>319</v>
      </c>
      <c r="S510" t="s">
        <v>2879</v>
      </c>
    </row>
    <row r="511" spans="1:19" x14ac:dyDescent="0.2">
      <c r="A511" t="s">
        <v>138</v>
      </c>
      <c r="B511" t="s">
        <v>2880</v>
      </c>
      <c r="C511" t="s">
        <v>2881</v>
      </c>
      <c r="D511" t="s">
        <v>714</v>
      </c>
      <c r="E511">
        <v>61</v>
      </c>
      <c r="F511">
        <v>3</v>
      </c>
      <c r="G511">
        <v>13</v>
      </c>
      <c r="H511">
        <v>2015</v>
      </c>
      <c r="I511" t="s">
        <v>640</v>
      </c>
      <c r="J511" t="s">
        <v>1708</v>
      </c>
      <c r="K511" t="s">
        <v>143</v>
      </c>
      <c r="R511" t="s">
        <v>319</v>
      </c>
      <c r="S511" t="s">
        <v>2882</v>
      </c>
    </row>
    <row r="512" spans="1:19" x14ac:dyDescent="0.2">
      <c r="A512" t="s">
        <v>138</v>
      </c>
      <c r="B512" t="s">
        <v>2883</v>
      </c>
      <c r="C512" t="s">
        <v>2884</v>
      </c>
      <c r="D512" t="s">
        <v>2885</v>
      </c>
      <c r="E512">
        <v>24</v>
      </c>
      <c r="F512" s="5">
        <v>44563</v>
      </c>
      <c r="G512">
        <v>41</v>
      </c>
      <c r="H512">
        <v>2008</v>
      </c>
      <c r="I512" t="s">
        <v>1930</v>
      </c>
      <c r="J512" t="s">
        <v>2886</v>
      </c>
      <c r="K512" t="s">
        <v>143</v>
      </c>
      <c r="R512" t="s">
        <v>319</v>
      </c>
      <c r="S512" t="s">
        <v>2887</v>
      </c>
    </row>
    <row r="513" spans="1:19" x14ac:dyDescent="0.2">
      <c r="A513" t="s">
        <v>138</v>
      </c>
      <c r="B513" t="s">
        <v>2888</v>
      </c>
      <c r="C513" t="s">
        <v>2889</v>
      </c>
      <c r="D513" t="s">
        <v>803</v>
      </c>
      <c r="E513">
        <v>34</v>
      </c>
      <c r="F513">
        <v>3</v>
      </c>
      <c r="G513">
        <v>85</v>
      </c>
      <c r="H513">
        <v>2019</v>
      </c>
      <c r="I513" t="s">
        <v>278</v>
      </c>
      <c r="J513" t="s">
        <v>2168</v>
      </c>
      <c r="K513" t="s">
        <v>143</v>
      </c>
      <c r="R513" t="s">
        <v>319</v>
      </c>
      <c r="S513" t="s">
        <v>2890</v>
      </c>
    </row>
    <row r="514" spans="1:19" x14ac:dyDescent="0.2">
      <c r="A514" t="s">
        <v>138</v>
      </c>
      <c r="B514" t="s">
        <v>2891</v>
      </c>
      <c r="C514" t="s">
        <v>2892</v>
      </c>
      <c r="D514" t="s">
        <v>1055</v>
      </c>
      <c r="E514">
        <v>9</v>
      </c>
      <c r="F514">
        <v>2</v>
      </c>
      <c r="G514">
        <v>57</v>
      </c>
      <c r="H514">
        <v>2011</v>
      </c>
      <c r="I514" t="s">
        <v>278</v>
      </c>
      <c r="J514" t="s">
        <v>2893</v>
      </c>
      <c r="K514" t="s">
        <v>143</v>
      </c>
      <c r="R514" t="s">
        <v>319</v>
      </c>
      <c r="S514" t="s">
        <v>2894</v>
      </c>
    </row>
    <row r="515" spans="1:19" x14ac:dyDescent="0.2">
      <c r="A515" t="s">
        <v>138</v>
      </c>
      <c r="B515" t="s">
        <v>2895</v>
      </c>
      <c r="C515" t="s">
        <v>2896</v>
      </c>
      <c r="D515" t="s">
        <v>2897</v>
      </c>
      <c r="E515">
        <v>24</v>
      </c>
      <c r="F515">
        <v>3</v>
      </c>
      <c r="G515">
        <v>425</v>
      </c>
      <c r="H515">
        <v>2010</v>
      </c>
      <c r="I515" t="s">
        <v>415</v>
      </c>
      <c r="K515" t="s">
        <v>143</v>
      </c>
      <c r="R515" t="s">
        <v>319</v>
      </c>
      <c r="S515" t="s">
        <v>2898</v>
      </c>
    </row>
    <row r="516" spans="1:19" x14ac:dyDescent="0.2">
      <c r="A516" t="s">
        <v>138</v>
      </c>
      <c r="B516" t="s">
        <v>2899</v>
      </c>
      <c r="C516" t="s">
        <v>2900</v>
      </c>
      <c r="D516" t="s">
        <v>2901</v>
      </c>
      <c r="E516">
        <v>20</v>
      </c>
      <c r="F516">
        <v>1</v>
      </c>
      <c r="G516">
        <v>88</v>
      </c>
      <c r="H516">
        <v>2013</v>
      </c>
      <c r="I516" t="s">
        <v>755</v>
      </c>
      <c r="J516" t="s">
        <v>186</v>
      </c>
      <c r="K516" t="s">
        <v>143</v>
      </c>
      <c r="R516" t="s">
        <v>319</v>
      </c>
      <c r="S516" t="s">
        <v>2902</v>
      </c>
    </row>
    <row r="517" spans="1:19" x14ac:dyDescent="0.2">
      <c r="A517" t="s">
        <v>138</v>
      </c>
      <c r="B517" t="s">
        <v>2903</v>
      </c>
      <c r="C517" t="s">
        <v>2904</v>
      </c>
      <c r="D517" t="s">
        <v>780</v>
      </c>
      <c r="E517">
        <v>32</v>
      </c>
      <c r="F517">
        <v>11</v>
      </c>
      <c r="G517">
        <v>1205</v>
      </c>
      <c r="H517">
        <v>1997</v>
      </c>
      <c r="I517" t="s">
        <v>2905</v>
      </c>
      <c r="J517" t="s">
        <v>2906</v>
      </c>
      <c r="K517" t="s">
        <v>143</v>
      </c>
      <c r="R517" t="s">
        <v>319</v>
      </c>
      <c r="S517" t="s">
        <v>2907</v>
      </c>
    </row>
    <row r="518" spans="1:19" x14ac:dyDescent="0.2">
      <c r="A518" t="s">
        <v>138</v>
      </c>
      <c r="B518" t="s">
        <v>2908</v>
      </c>
      <c r="C518" t="s">
        <v>2909</v>
      </c>
      <c r="D518" t="s">
        <v>2868</v>
      </c>
      <c r="E518">
        <v>40</v>
      </c>
      <c r="F518">
        <v>4</v>
      </c>
      <c r="G518">
        <v>205</v>
      </c>
      <c r="H518">
        <v>2012</v>
      </c>
      <c r="I518" t="s">
        <v>2910</v>
      </c>
      <c r="J518" t="s">
        <v>2911</v>
      </c>
      <c r="K518" t="s">
        <v>143</v>
      </c>
      <c r="R518" t="s">
        <v>319</v>
      </c>
      <c r="S518" t="s">
        <v>2912</v>
      </c>
    </row>
    <row r="519" spans="1:19" x14ac:dyDescent="0.2">
      <c r="A519" t="s">
        <v>2727</v>
      </c>
      <c r="B519" t="s">
        <v>2913</v>
      </c>
      <c r="C519" t="s">
        <v>2914</v>
      </c>
      <c r="H519" t="s">
        <v>158</v>
      </c>
      <c r="I519" t="s">
        <v>2915</v>
      </c>
      <c r="J519" t="s">
        <v>2916</v>
      </c>
      <c r="K519" t="s">
        <v>1467</v>
      </c>
      <c r="P519" t="s">
        <v>1352</v>
      </c>
      <c r="R519" t="s">
        <v>319</v>
      </c>
      <c r="S519" t="s">
        <v>2917</v>
      </c>
    </row>
    <row r="520" spans="1:19" x14ac:dyDescent="0.2">
      <c r="A520" t="s">
        <v>138</v>
      </c>
      <c r="B520" t="s">
        <v>2918</v>
      </c>
      <c r="C520" t="s">
        <v>2919</v>
      </c>
      <c r="D520" t="s">
        <v>283</v>
      </c>
      <c r="E520">
        <v>54</v>
      </c>
      <c r="F520">
        <v>1</v>
      </c>
      <c r="G520">
        <v>19</v>
      </c>
      <c r="H520">
        <v>2021</v>
      </c>
      <c r="I520" t="s">
        <v>2920</v>
      </c>
      <c r="J520" t="s">
        <v>2921</v>
      </c>
      <c r="K520" t="s">
        <v>2822</v>
      </c>
      <c r="R520" t="s">
        <v>319</v>
      </c>
      <c r="S520" t="s">
        <v>2922</v>
      </c>
    </row>
    <row r="521" spans="1:19" x14ac:dyDescent="0.2">
      <c r="A521" t="s">
        <v>138</v>
      </c>
      <c r="B521" t="s">
        <v>2923</v>
      </c>
      <c r="C521" t="s">
        <v>2924</v>
      </c>
      <c r="D521" t="s">
        <v>2925</v>
      </c>
      <c r="E521">
        <v>18</v>
      </c>
      <c r="F521">
        <v>5</v>
      </c>
      <c r="G521">
        <v>49</v>
      </c>
      <c r="H521">
        <v>2016</v>
      </c>
      <c r="I521" t="s">
        <v>278</v>
      </c>
      <c r="J521" t="s">
        <v>186</v>
      </c>
      <c r="K521" t="s">
        <v>143</v>
      </c>
      <c r="R521" t="s">
        <v>319</v>
      </c>
      <c r="S521" t="s">
        <v>2926</v>
      </c>
    </row>
    <row r="522" spans="1:19" x14ac:dyDescent="0.2">
      <c r="A522" t="s">
        <v>138</v>
      </c>
      <c r="B522" t="s">
        <v>2927</v>
      </c>
      <c r="C522" t="s">
        <v>2928</v>
      </c>
      <c r="D522" t="s">
        <v>2064</v>
      </c>
      <c r="E522">
        <v>44</v>
      </c>
      <c r="F522">
        <v>9</v>
      </c>
      <c r="G522">
        <v>170</v>
      </c>
      <c r="H522">
        <v>2008</v>
      </c>
      <c r="I522" t="s">
        <v>2929</v>
      </c>
      <c r="J522" t="s">
        <v>2930</v>
      </c>
      <c r="K522" t="s">
        <v>143</v>
      </c>
      <c r="R522" t="s">
        <v>319</v>
      </c>
      <c r="S522" t="s">
        <v>2931</v>
      </c>
    </row>
    <row r="523" spans="1:19" x14ac:dyDescent="0.2">
      <c r="A523" t="s">
        <v>138</v>
      </c>
      <c r="B523" t="s">
        <v>2932</v>
      </c>
      <c r="C523" t="s">
        <v>2933</v>
      </c>
      <c r="D523" t="s">
        <v>1645</v>
      </c>
      <c r="E523">
        <v>32</v>
      </c>
      <c r="F523">
        <v>5</v>
      </c>
      <c r="G523">
        <v>92</v>
      </c>
      <c r="H523">
        <v>2012</v>
      </c>
      <c r="I523" t="s">
        <v>1602</v>
      </c>
      <c r="J523" t="s">
        <v>651</v>
      </c>
      <c r="K523" t="s">
        <v>2822</v>
      </c>
      <c r="M523" t="s">
        <v>2934</v>
      </c>
      <c r="R523" t="s">
        <v>319</v>
      </c>
      <c r="S523" t="s">
        <v>2912</v>
      </c>
    </row>
    <row r="524" spans="1:19" x14ac:dyDescent="0.2">
      <c r="A524" t="s">
        <v>138</v>
      </c>
      <c r="B524" t="s">
        <v>2935</v>
      </c>
      <c r="C524" t="s">
        <v>2936</v>
      </c>
      <c r="D524" t="s">
        <v>942</v>
      </c>
      <c r="E524">
        <v>13</v>
      </c>
      <c r="F524">
        <v>3</v>
      </c>
      <c r="G524">
        <v>280</v>
      </c>
      <c r="H524">
        <v>2000</v>
      </c>
      <c r="I524" t="s">
        <v>1602</v>
      </c>
      <c r="J524" t="s">
        <v>2937</v>
      </c>
      <c r="K524" t="s">
        <v>143</v>
      </c>
      <c r="R524" t="s">
        <v>319</v>
      </c>
      <c r="S524" t="s">
        <v>2938</v>
      </c>
    </row>
    <row r="525" spans="1:19" x14ac:dyDescent="0.2">
      <c r="A525" t="s">
        <v>138</v>
      </c>
      <c r="B525" t="s">
        <v>2939</v>
      </c>
      <c r="C525" t="s">
        <v>2940</v>
      </c>
      <c r="D525" t="s">
        <v>740</v>
      </c>
      <c r="H525">
        <v>2021</v>
      </c>
      <c r="I525" t="s">
        <v>446</v>
      </c>
      <c r="J525" t="s">
        <v>2941</v>
      </c>
      <c r="K525" t="s">
        <v>143</v>
      </c>
      <c r="R525" t="s">
        <v>319</v>
      </c>
      <c r="S525" t="s">
        <v>2922</v>
      </c>
    </row>
    <row r="526" spans="1:19" x14ac:dyDescent="0.2">
      <c r="A526" t="s">
        <v>138</v>
      </c>
      <c r="B526" t="s">
        <v>2942</v>
      </c>
      <c r="C526" t="s">
        <v>2943</v>
      </c>
      <c r="D526" t="s">
        <v>2944</v>
      </c>
      <c r="E526">
        <v>32</v>
      </c>
      <c r="F526">
        <v>5</v>
      </c>
      <c r="G526">
        <v>448</v>
      </c>
      <c r="H526">
        <v>2010</v>
      </c>
      <c r="I526" t="s">
        <v>2945</v>
      </c>
      <c r="J526" t="s">
        <v>2946</v>
      </c>
      <c r="K526" t="s">
        <v>143</v>
      </c>
      <c r="R526" t="s">
        <v>319</v>
      </c>
      <c r="S526" t="s">
        <v>2947</v>
      </c>
    </row>
    <row r="527" spans="1:19" x14ac:dyDescent="0.2">
      <c r="A527" t="s">
        <v>138</v>
      </c>
      <c r="B527" t="s">
        <v>2948</v>
      </c>
      <c r="C527" t="s">
        <v>2949</v>
      </c>
      <c r="D527" t="s">
        <v>2853</v>
      </c>
      <c r="E527">
        <v>26</v>
      </c>
      <c r="F527">
        <v>12</v>
      </c>
      <c r="G527">
        <v>56</v>
      </c>
      <c r="H527">
        <v>2017</v>
      </c>
      <c r="I527" t="s">
        <v>2950</v>
      </c>
      <c r="J527" t="s">
        <v>2951</v>
      </c>
      <c r="K527" t="s">
        <v>143</v>
      </c>
      <c r="R527" t="s">
        <v>319</v>
      </c>
      <c r="S527" t="s">
        <v>2952</v>
      </c>
    </row>
    <row r="528" spans="1:19" x14ac:dyDescent="0.2">
      <c r="A528" t="s">
        <v>2727</v>
      </c>
      <c r="B528" t="s">
        <v>2953</v>
      </c>
      <c r="C528" t="s">
        <v>2954</v>
      </c>
      <c r="H528" t="s">
        <v>158</v>
      </c>
      <c r="I528" t="s">
        <v>2955</v>
      </c>
      <c r="J528" t="s">
        <v>2956</v>
      </c>
      <c r="K528" t="s">
        <v>2822</v>
      </c>
      <c r="M528" t="s">
        <v>2957</v>
      </c>
      <c r="R528" t="s">
        <v>319</v>
      </c>
      <c r="S528" t="s">
        <v>2958</v>
      </c>
    </row>
    <row r="529" spans="1:19" x14ac:dyDescent="0.2">
      <c r="A529" t="s">
        <v>138</v>
      </c>
      <c r="B529" t="s">
        <v>2959</v>
      </c>
      <c r="C529" t="s">
        <v>2960</v>
      </c>
      <c r="D529" t="s">
        <v>2961</v>
      </c>
      <c r="E529">
        <v>41</v>
      </c>
      <c r="F529">
        <v>2</v>
      </c>
      <c r="G529">
        <v>179</v>
      </c>
      <c r="H529">
        <v>2003</v>
      </c>
      <c r="I529" t="s">
        <v>2962</v>
      </c>
      <c r="J529" t="s">
        <v>2963</v>
      </c>
      <c r="K529" t="s">
        <v>2822</v>
      </c>
      <c r="M529" t="s">
        <v>2964</v>
      </c>
      <c r="R529" t="s">
        <v>319</v>
      </c>
      <c r="S529" t="s">
        <v>2965</v>
      </c>
    </row>
    <row r="530" spans="1:19" x14ac:dyDescent="0.2">
      <c r="A530" t="s">
        <v>138</v>
      </c>
      <c r="B530" t="s">
        <v>2966</v>
      </c>
      <c r="C530" t="s">
        <v>2967</v>
      </c>
      <c r="D530" t="s">
        <v>2968</v>
      </c>
      <c r="E530">
        <v>141</v>
      </c>
      <c r="F530">
        <v>1</v>
      </c>
      <c r="G530">
        <v>103</v>
      </c>
      <c r="H530">
        <v>2008</v>
      </c>
      <c r="I530" t="s">
        <v>459</v>
      </c>
      <c r="J530" t="s">
        <v>2969</v>
      </c>
      <c r="K530" t="s">
        <v>143</v>
      </c>
      <c r="R530" t="s">
        <v>319</v>
      </c>
      <c r="S530" t="s">
        <v>2970</v>
      </c>
    </row>
    <row r="531" spans="1:19" x14ac:dyDescent="0.2">
      <c r="A531" t="s">
        <v>138</v>
      </c>
      <c r="B531" t="s">
        <v>2971</v>
      </c>
      <c r="C531" t="s">
        <v>2972</v>
      </c>
      <c r="D531" t="s">
        <v>633</v>
      </c>
      <c r="E531">
        <v>30</v>
      </c>
      <c r="F531">
        <v>1</v>
      </c>
      <c r="G531">
        <v>11</v>
      </c>
      <c r="H531">
        <v>2011</v>
      </c>
      <c r="I531" t="s">
        <v>278</v>
      </c>
      <c r="J531" t="s">
        <v>2973</v>
      </c>
      <c r="K531" t="s">
        <v>143</v>
      </c>
      <c r="R531" t="s">
        <v>319</v>
      </c>
      <c r="S531" t="s">
        <v>2974</v>
      </c>
    </row>
    <row r="532" spans="1:19" x14ac:dyDescent="0.2">
      <c r="A532" t="s">
        <v>2727</v>
      </c>
      <c r="B532" t="s">
        <v>2975</v>
      </c>
      <c r="C532" t="s">
        <v>2976</v>
      </c>
      <c r="H532" t="s">
        <v>158</v>
      </c>
      <c r="I532" t="s">
        <v>786</v>
      </c>
      <c r="K532" t="s">
        <v>1406</v>
      </c>
      <c r="P532" t="s">
        <v>2977</v>
      </c>
      <c r="R532" t="s">
        <v>319</v>
      </c>
      <c r="S532" t="s">
        <v>2978</v>
      </c>
    </row>
    <row r="533" spans="1:19" x14ac:dyDescent="0.2">
      <c r="A533" t="s">
        <v>138</v>
      </c>
      <c r="B533" t="s">
        <v>2979</v>
      </c>
      <c r="C533" t="s">
        <v>2980</v>
      </c>
      <c r="D533" t="s">
        <v>2981</v>
      </c>
      <c r="E533">
        <v>51</v>
      </c>
      <c r="F533">
        <v>2</v>
      </c>
      <c r="G533">
        <v>469</v>
      </c>
      <c r="H533">
        <v>2014</v>
      </c>
      <c r="I533" t="s">
        <v>781</v>
      </c>
      <c r="K533" t="s">
        <v>143</v>
      </c>
      <c r="P533" t="s">
        <v>153</v>
      </c>
      <c r="R533" t="s">
        <v>233</v>
      </c>
      <c r="S533" t="s">
        <v>2982</v>
      </c>
    </row>
    <row r="534" spans="1:19" x14ac:dyDescent="0.2">
      <c r="A534" t="s">
        <v>138</v>
      </c>
      <c r="B534" t="s">
        <v>2983</v>
      </c>
      <c r="C534" t="s">
        <v>2984</v>
      </c>
      <c r="D534" t="s">
        <v>185</v>
      </c>
      <c r="E534">
        <v>35</v>
      </c>
      <c r="F534">
        <v>3</v>
      </c>
      <c r="G534">
        <v>577</v>
      </c>
      <c r="H534">
        <v>2007</v>
      </c>
      <c r="I534" t="s">
        <v>2985</v>
      </c>
      <c r="J534" t="s">
        <v>2986</v>
      </c>
      <c r="K534" t="s">
        <v>143</v>
      </c>
      <c r="P534" t="s">
        <v>1165</v>
      </c>
      <c r="R534" t="s">
        <v>233</v>
      </c>
      <c r="S534" t="s">
        <v>2987</v>
      </c>
    </row>
    <row r="535" spans="1:19" x14ac:dyDescent="0.2">
      <c r="A535" t="s">
        <v>138</v>
      </c>
      <c r="B535" t="s">
        <v>2988</v>
      </c>
      <c r="C535" t="s">
        <v>2989</v>
      </c>
      <c r="D535" t="s">
        <v>2990</v>
      </c>
      <c r="E535">
        <v>6</v>
      </c>
      <c r="F535">
        <v>11</v>
      </c>
      <c r="G535">
        <v>42</v>
      </c>
      <c r="H535">
        <v>2015</v>
      </c>
      <c r="I535" t="s">
        <v>259</v>
      </c>
      <c r="J535" t="s">
        <v>1657</v>
      </c>
      <c r="K535" t="s">
        <v>143</v>
      </c>
      <c r="P535" t="s">
        <v>1165</v>
      </c>
      <c r="R535" t="s">
        <v>233</v>
      </c>
      <c r="S535" t="s">
        <v>2991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872"/>
  <sheetViews>
    <sheetView tabSelected="1" zoomScale="85" zoomScaleNormal="70" workbookViewId="0">
      <pane ySplit="1" topLeftCell="A3847" activePane="bottomLeft" state="frozen"/>
      <selection activeCell="W1" sqref="W1"/>
      <selection pane="bottomLeft" activeCell="AG3872" sqref="AG3872"/>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1202</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1236</v>
      </c>
      <c r="AJ1" t="s">
        <v>110</v>
      </c>
      <c r="AK1" t="s">
        <v>112</v>
      </c>
      <c r="AL1" t="s">
        <v>114</v>
      </c>
      <c r="AM1" t="s">
        <v>116</v>
      </c>
      <c r="AN1" t="s">
        <v>118</v>
      </c>
      <c r="AO1" t="s">
        <v>42</v>
      </c>
      <c r="AP1" t="s">
        <v>43</v>
      </c>
      <c r="AQ1" t="s">
        <v>1237</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1201</v>
      </c>
      <c r="Y2" t="s">
        <v>1168</v>
      </c>
      <c r="Z2">
        <v>12</v>
      </c>
      <c r="AC2">
        <v>35</v>
      </c>
      <c r="AD2" t="s">
        <v>1165</v>
      </c>
      <c r="AF2" t="s">
        <v>1165</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1201</v>
      </c>
      <c r="Y3" t="s">
        <v>1169</v>
      </c>
      <c r="Z3">
        <v>12</v>
      </c>
      <c r="AC3">
        <v>35</v>
      </c>
      <c r="AD3" t="s">
        <v>1165</v>
      </c>
      <c r="AF3" t="s">
        <v>1165</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1201</v>
      </c>
      <c r="Y4" t="s">
        <v>1170</v>
      </c>
      <c r="Z4">
        <v>12</v>
      </c>
      <c r="AC4">
        <v>35</v>
      </c>
      <c r="AD4" t="s">
        <v>1165</v>
      </c>
      <c r="AF4" t="s">
        <v>1165</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1201</v>
      </c>
      <c r="Y5" t="s">
        <v>1171</v>
      </c>
      <c r="Z5">
        <v>12</v>
      </c>
      <c r="AC5">
        <v>35</v>
      </c>
      <c r="AD5" t="s">
        <v>1165</v>
      </c>
      <c r="AF5" t="s">
        <v>1165</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1201</v>
      </c>
      <c r="Y6" t="s">
        <v>1172</v>
      </c>
      <c r="Z6">
        <v>12</v>
      </c>
      <c r="AC6">
        <v>35</v>
      </c>
      <c r="AD6" t="s">
        <v>1165</v>
      </c>
      <c r="AF6" t="s">
        <v>1165</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1201</v>
      </c>
      <c r="Y7" t="s">
        <v>1175</v>
      </c>
      <c r="Z7">
        <v>12</v>
      </c>
      <c r="AC7">
        <v>35</v>
      </c>
      <c r="AD7" t="s">
        <v>1165</v>
      </c>
      <c r="AF7" t="s">
        <v>1165</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1201</v>
      </c>
      <c r="Y8" t="s">
        <v>1176</v>
      </c>
      <c r="Z8">
        <v>12</v>
      </c>
      <c r="AC8">
        <v>35</v>
      </c>
      <c r="AD8" t="s">
        <v>1165</v>
      </c>
      <c r="AF8" t="s">
        <v>1165</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1201</v>
      </c>
      <c r="Y9" t="s">
        <v>1173</v>
      </c>
      <c r="Z9">
        <v>12</v>
      </c>
      <c r="AC9">
        <v>35</v>
      </c>
      <c r="AD9" t="s">
        <v>1165</v>
      </c>
      <c r="AF9" t="s">
        <v>1165</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1201</v>
      </c>
      <c r="Y10" t="s">
        <v>1177</v>
      </c>
      <c r="Z10">
        <v>12</v>
      </c>
      <c r="AC10">
        <v>35</v>
      </c>
      <c r="AD10" t="s">
        <v>1165</v>
      </c>
      <c r="AF10" t="s">
        <v>1165</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1201</v>
      </c>
      <c r="Y11" s="4" t="s">
        <v>1178</v>
      </c>
      <c r="Z11">
        <v>12</v>
      </c>
      <c r="AC11">
        <v>35</v>
      </c>
      <c r="AD11" t="s">
        <v>1165</v>
      </c>
      <c r="AF11" t="s">
        <v>1165</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1201</v>
      </c>
      <c r="Y12" s="4" t="s">
        <v>1179</v>
      </c>
      <c r="Z12">
        <v>12</v>
      </c>
      <c r="AC12">
        <v>35</v>
      </c>
      <c r="AD12" t="s">
        <v>1165</v>
      </c>
      <c r="AF12" t="s">
        <v>1165</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1201</v>
      </c>
      <c r="Y13" s="4" t="s">
        <v>1174</v>
      </c>
      <c r="Z13">
        <v>12</v>
      </c>
      <c r="AC13">
        <v>35</v>
      </c>
      <c r="AD13" t="s">
        <v>1165</v>
      </c>
      <c r="AF13" t="s">
        <v>1165</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1201</v>
      </c>
      <c r="Y14" s="4" t="s">
        <v>1180</v>
      </c>
      <c r="Z14">
        <v>12</v>
      </c>
      <c r="AC14">
        <v>35</v>
      </c>
      <c r="AD14" t="s">
        <v>1165</v>
      </c>
      <c r="AF14" t="s">
        <v>1165</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1201</v>
      </c>
      <c r="Y15" s="4" t="s">
        <v>1181</v>
      </c>
      <c r="Z15">
        <v>12</v>
      </c>
      <c r="AC15">
        <v>35</v>
      </c>
      <c r="AD15" t="s">
        <v>1165</v>
      </c>
      <c r="AF15" t="s">
        <v>1165</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1201</v>
      </c>
      <c r="Y16" s="4" t="s">
        <v>1182</v>
      </c>
      <c r="Z16">
        <v>12</v>
      </c>
      <c r="AC16">
        <v>35</v>
      </c>
      <c r="AD16" t="s">
        <v>1165</v>
      </c>
      <c r="AF16" t="s">
        <v>1165</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1201</v>
      </c>
      <c r="Y17" s="4" t="s">
        <v>1183</v>
      </c>
      <c r="Z17">
        <v>12</v>
      </c>
      <c r="AC17">
        <v>35</v>
      </c>
      <c r="AD17" t="s">
        <v>1165</v>
      </c>
      <c r="AF17" t="s">
        <v>1165</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1201</v>
      </c>
      <c r="Y18" s="4" t="s">
        <v>1184</v>
      </c>
      <c r="Z18">
        <v>12</v>
      </c>
      <c r="AC18">
        <v>35</v>
      </c>
      <c r="AD18" t="s">
        <v>1165</v>
      </c>
      <c r="AF18" t="s">
        <v>1165</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1201</v>
      </c>
      <c r="Y19" s="4" t="s">
        <v>1185</v>
      </c>
      <c r="Z19">
        <v>12</v>
      </c>
      <c r="AC19">
        <v>35</v>
      </c>
      <c r="AD19" t="s">
        <v>1165</v>
      </c>
      <c r="AF19" t="s">
        <v>1165</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1201</v>
      </c>
      <c r="Y20" s="4" t="s">
        <v>1186</v>
      </c>
      <c r="Z20">
        <v>12</v>
      </c>
      <c r="AC20">
        <v>35</v>
      </c>
      <c r="AD20" t="s">
        <v>1165</v>
      </c>
      <c r="AF20" t="s">
        <v>1165</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1201</v>
      </c>
      <c r="Y21" s="4" t="s">
        <v>1187</v>
      </c>
      <c r="Z21">
        <v>12</v>
      </c>
      <c r="AC21">
        <v>35</v>
      </c>
      <c r="AD21" t="s">
        <v>1165</v>
      </c>
      <c r="AF21" t="s">
        <v>1165</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1201</v>
      </c>
      <c r="Y22" s="4" t="s">
        <v>1188</v>
      </c>
      <c r="Z22">
        <v>12</v>
      </c>
      <c r="AC22">
        <v>35</v>
      </c>
      <c r="AD22" t="s">
        <v>1165</v>
      </c>
      <c r="AF22" t="s">
        <v>1165</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1201</v>
      </c>
      <c r="Y23" s="4" t="s">
        <v>1189</v>
      </c>
      <c r="Z23">
        <v>12</v>
      </c>
      <c r="AC23">
        <v>35</v>
      </c>
      <c r="AD23" t="s">
        <v>1165</v>
      </c>
      <c r="AF23" t="s">
        <v>1165</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1201</v>
      </c>
      <c r="Y24" s="4" t="s">
        <v>1190</v>
      </c>
      <c r="Z24">
        <v>12</v>
      </c>
      <c r="AC24">
        <v>35</v>
      </c>
      <c r="AD24" t="s">
        <v>1165</v>
      </c>
      <c r="AF24" t="s">
        <v>1165</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1201</v>
      </c>
      <c r="Y25" s="4" t="s">
        <v>1191</v>
      </c>
      <c r="Z25">
        <v>12</v>
      </c>
      <c r="AC25">
        <v>35</v>
      </c>
      <c r="AD25" t="s">
        <v>1165</v>
      </c>
      <c r="AF25" t="s">
        <v>1165</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1201</v>
      </c>
      <c r="Y26" s="4" t="s">
        <v>1192</v>
      </c>
      <c r="Z26">
        <v>12</v>
      </c>
      <c r="AC26">
        <v>35</v>
      </c>
      <c r="AD26" t="s">
        <v>1165</v>
      </c>
      <c r="AF26" t="s">
        <v>1165</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1201</v>
      </c>
      <c r="Y27" s="4" t="s">
        <v>1193</v>
      </c>
      <c r="Z27">
        <v>12</v>
      </c>
      <c r="AC27">
        <v>35</v>
      </c>
      <c r="AD27" t="s">
        <v>1165</v>
      </c>
      <c r="AF27" t="s">
        <v>1165</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1201</v>
      </c>
      <c r="Y28" s="4" t="s">
        <v>1194</v>
      </c>
      <c r="Z28">
        <v>12</v>
      </c>
      <c r="AC28">
        <v>35</v>
      </c>
      <c r="AD28" t="s">
        <v>1165</v>
      </c>
      <c r="AF28" t="s">
        <v>1165</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1201</v>
      </c>
      <c r="Y29" s="4" t="s">
        <v>1195</v>
      </c>
      <c r="Z29">
        <v>12</v>
      </c>
      <c r="AC29">
        <v>35</v>
      </c>
      <c r="AD29" t="s">
        <v>1165</v>
      </c>
      <c r="AF29" t="s">
        <v>1165</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1201</v>
      </c>
      <c r="Y30" s="4" t="s">
        <v>1196</v>
      </c>
      <c r="Z30">
        <v>12</v>
      </c>
      <c r="AC30">
        <v>35</v>
      </c>
      <c r="AD30" t="s">
        <v>1165</v>
      </c>
      <c r="AF30" t="s">
        <v>1165</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1201</v>
      </c>
      <c r="Y31" s="4" t="s">
        <v>1197</v>
      </c>
      <c r="Z31">
        <v>12</v>
      </c>
      <c r="AC31">
        <v>35</v>
      </c>
      <c r="AD31" t="s">
        <v>1165</v>
      </c>
      <c r="AF31" t="s">
        <v>1165</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1201</v>
      </c>
      <c r="Y32" s="4" t="s">
        <v>1198</v>
      </c>
      <c r="Z32">
        <v>12</v>
      </c>
      <c r="AC32">
        <v>35</v>
      </c>
      <c r="AD32" t="s">
        <v>1165</v>
      </c>
      <c r="AF32" t="s">
        <v>1165</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1201</v>
      </c>
      <c r="Y33" s="4" t="s">
        <v>1199</v>
      </c>
      <c r="Z33">
        <v>12</v>
      </c>
      <c r="AC33">
        <v>35</v>
      </c>
      <c r="AD33" t="s">
        <v>1165</v>
      </c>
      <c r="AF33" t="s">
        <v>1165</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1201</v>
      </c>
      <c r="Y34" s="4" t="s">
        <v>1200</v>
      </c>
      <c r="Z34">
        <v>12</v>
      </c>
      <c r="AC34">
        <v>35</v>
      </c>
      <c r="AD34" t="s">
        <v>1165</v>
      </c>
      <c r="AF34" t="s">
        <v>1165</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1201</v>
      </c>
      <c r="Z35">
        <v>12</v>
      </c>
      <c r="AC35">
        <v>35</v>
      </c>
      <c r="AD35" t="s">
        <v>1165</v>
      </c>
      <c r="AF35" t="s">
        <v>1165</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1201</v>
      </c>
      <c r="Z36">
        <v>12</v>
      </c>
      <c r="AC36">
        <v>35</v>
      </c>
      <c r="AD36" t="s">
        <v>1165</v>
      </c>
      <c r="AF36" t="s">
        <v>1165</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1201</v>
      </c>
      <c r="Z37">
        <v>12</v>
      </c>
      <c r="AC37">
        <v>35</v>
      </c>
      <c r="AD37" t="s">
        <v>1165</v>
      </c>
      <c r="AF37" t="s">
        <v>1165</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1165</v>
      </c>
      <c r="AF38" t="s">
        <v>1165</v>
      </c>
      <c r="AJ38" t="s">
        <v>1148</v>
      </c>
      <c r="AK38" s="6">
        <v>4.2789999999999999</v>
      </c>
      <c r="AN38">
        <v>3</v>
      </c>
      <c r="AO38">
        <v>50</v>
      </c>
      <c r="AP38">
        <v>7</v>
      </c>
      <c r="AR38" t="s">
        <v>1155</v>
      </c>
      <c r="AS38" t="s">
        <v>1206</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1165</v>
      </c>
      <c r="AF39" t="s">
        <v>1165</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1165</v>
      </c>
      <c r="AF40" t="s">
        <v>1165</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1165</v>
      </c>
      <c r="AF41" t="s">
        <v>1165</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1165</v>
      </c>
      <c r="AF42" t="s">
        <v>1165</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1165</v>
      </c>
      <c r="AF43" t="s">
        <v>1165</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1165</v>
      </c>
      <c r="AF44" t="s">
        <v>1165</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1165</v>
      </c>
      <c r="AF45" t="s">
        <v>1165</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1165</v>
      </c>
      <c r="AF46" t="s">
        <v>1165</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1165</v>
      </c>
      <c r="AF47" t="s">
        <v>1165</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1165</v>
      </c>
      <c r="AF48" t="s">
        <v>1165</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1201</v>
      </c>
      <c r="Z49">
        <v>12</v>
      </c>
      <c r="AC49">
        <v>7</v>
      </c>
      <c r="AD49" t="s">
        <v>1165</v>
      </c>
      <c r="AF49" t="s">
        <v>1165</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1165</v>
      </c>
      <c r="AF50" t="s">
        <v>1165</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1165</v>
      </c>
      <c r="AF51" t="s">
        <v>1165</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1165</v>
      </c>
      <c r="AF52" t="s">
        <v>1165</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1165</v>
      </c>
      <c r="AF53" t="s">
        <v>1165</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1165</v>
      </c>
      <c r="AF54" t="s">
        <v>1165</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1165</v>
      </c>
      <c r="AF55" t="s">
        <v>1165</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1165</v>
      </c>
      <c r="AF56" t="s">
        <v>1165</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1165</v>
      </c>
      <c r="AF57" t="s">
        <v>1165</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1165</v>
      </c>
      <c r="AF58" t="s">
        <v>1165</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1165</v>
      </c>
      <c r="AF59" t="s">
        <v>1165</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1165</v>
      </c>
      <c r="AF60" t="s">
        <v>1165</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1201</v>
      </c>
      <c r="Z61">
        <v>12</v>
      </c>
      <c r="AC61">
        <v>14</v>
      </c>
      <c r="AD61" t="s">
        <v>1165</v>
      </c>
      <c r="AF61" t="s">
        <v>1165</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1165</v>
      </c>
      <c r="AF62" t="s">
        <v>1165</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1165</v>
      </c>
      <c r="AF63" t="s">
        <v>1165</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1165</v>
      </c>
      <c r="AF64" t="s">
        <v>1165</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1165</v>
      </c>
      <c r="AF65" t="s">
        <v>1165</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1165</v>
      </c>
      <c r="AF66" t="s">
        <v>1165</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1165</v>
      </c>
      <c r="AF67" t="s">
        <v>1165</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1165</v>
      </c>
      <c r="AF68" t="s">
        <v>1165</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1165</v>
      </c>
      <c r="AF69" t="s">
        <v>1165</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1165</v>
      </c>
      <c r="AF70" t="s">
        <v>1165</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1165</v>
      </c>
      <c r="AF71" t="s">
        <v>1165</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1165</v>
      </c>
      <c r="AF72" t="s">
        <v>1165</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1201</v>
      </c>
      <c r="Z73">
        <v>12</v>
      </c>
      <c r="AC73">
        <v>21</v>
      </c>
      <c r="AD73" t="s">
        <v>1165</v>
      </c>
      <c r="AF73" t="s">
        <v>1165</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1165</v>
      </c>
      <c r="AF74" t="s">
        <v>1165</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1165</v>
      </c>
      <c r="AF75" t="s">
        <v>1165</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1165</v>
      </c>
      <c r="AF76" t="s">
        <v>1165</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1165</v>
      </c>
      <c r="AF77" t="s">
        <v>1165</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1165</v>
      </c>
      <c r="AF78" t="s">
        <v>1165</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1165</v>
      </c>
      <c r="AF79" t="s">
        <v>1165</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1165</v>
      </c>
      <c r="AF80" t="s">
        <v>1165</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1165</v>
      </c>
      <c r="AF81" t="s">
        <v>1165</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1165</v>
      </c>
      <c r="AF82" t="s">
        <v>1165</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1165</v>
      </c>
      <c r="AF83" t="s">
        <v>1165</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1165</v>
      </c>
      <c r="AF84" t="s">
        <v>1165</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1201</v>
      </c>
      <c r="Z85">
        <v>12</v>
      </c>
      <c r="AC85">
        <v>28</v>
      </c>
      <c r="AD85" t="s">
        <v>1165</v>
      </c>
      <c r="AF85" t="s">
        <v>1165</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1165</v>
      </c>
      <c r="AF86" t="s">
        <v>1165</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1165</v>
      </c>
      <c r="AF87" t="s">
        <v>1165</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1165</v>
      </c>
      <c r="AF88" t="s">
        <v>1165</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1165</v>
      </c>
      <c r="AF89" t="s">
        <v>1165</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1165</v>
      </c>
      <c r="AF90" t="s">
        <v>1165</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1165</v>
      </c>
      <c r="AF91" t="s">
        <v>1165</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1165</v>
      </c>
      <c r="AF92" t="s">
        <v>1165</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1165</v>
      </c>
      <c r="AF93" t="s">
        <v>1165</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1165</v>
      </c>
      <c r="AF94" t="s">
        <v>1165</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1165</v>
      </c>
      <c r="AF95" t="s">
        <v>1165</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1165</v>
      </c>
      <c r="AF96" t="s">
        <v>1165</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1201</v>
      </c>
      <c r="Z97">
        <v>12</v>
      </c>
      <c r="AC97">
        <v>35</v>
      </c>
      <c r="AD97" t="s">
        <v>1165</v>
      </c>
      <c r="AF97" t="s">
        <v>1165</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1165</v>
      </c>
      <c r="AF98" t="s">
        <v>153</v>
      </c>
      <c r="AG98" t="s">
        <v>1160</v>
      </c>
      <c r="AH98">
        <v>1440</v>
      </c>
      <c r="AJ98" t="s">
        <v>1148</v>
      </c>
      <c r="AK98">
        <v>96.710999999999999</v>
      </c>
      <c r="AL98" t="s">
        <v>2993</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1165</v>
      </c>
      <c r="AF99" t="s">
        <v>153</v>
      </c>
      <c r="AG99" t="s">
        <v>1159</v>
      </c>
      <c r="AH99">
        <v>1440</v>
      </c>
      <c r="AJ99" t="s">
        <v>1148</v>
      </c>
      <c r="AK99">
        <v>94.078999999999994</v>
      </c>
      <c r="AL99" t="s">
        <v>2993</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1165</v>
      </c>
      <c r="AF100" t="s">
        <v>153</v>
      </c>
      <c r="AG100" t="s">
        <v>1159</v>
      </c>
      <c r="AH100">
        <v>1440</v>
      </c>
      <c r="AJ100" t="s">
        <v>1148</v>
      </c>
      <c r="AK100">
        <v>100</v>
      </c>
      <c r="AL100" t="s">
        <v>2993</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1165</v>
      </c>
      <c r="AF101" t="s">
        <v>153</v>
      </c>
      <c r="AG101" t="s">
        <v>1160</v>
      </c>
      <c r="AH101">
        <v>1440</v>
      </c>
      <c r="AJ101" t="s">
        <v>1148</v>
      </c>
      <c r="AK101">
        <v>90.132000000000005</v>
      </c>
      <c r="AL101" t="s">
        <v>2993</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1165</v>
      </c>
      <c r="AF102" t="s">
        <v>153</v>
      </c>
      <c r="AG102" t="s">
        <v>1159</v>
      </c>
      <c r="AH102">
        <v>1440</v>
      </c>
      <c r="AJ102" t="s">
        <v>1148</v>
      </c>
      <c r="AK102">
        <v>100</v>
      </c>
      <c r="AL102" t="s">
        <v>2993</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1165</v>
      </c>
      <c r="AF103" t="s">
        <v>153</v>
      </c>
      <c r="AG103" t="s">
        <v>1159</v>
      </c>
      <c r="AH103">
        <v>1440</v>
      </c>
      <c r="AJ103" t="s">
        <v>1148</v>
      </c>
      <c r="AK103">
        <v>98.025999999999996</v>
      </c>
      <c r="AL103" t="s">
        <v>2993</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1165</v>
      </c>
      <c r="AF104" t="s">
        <v>153</v>
      </c>
      <c r="AG104" t="s">
        <v>1160</v>
      </c>
      <c r="AH104">
        <v>1440</v>
      </c>
      <c r="AJ104" t="s">
        <v>1148</v>
      </c>
      <c r="AK104">
        <v>30.920999999999999</v>
      </c>
      <c r="AL104" t="s">
        <v>2993</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1165</v>
      </c>
      <c r="AF105" t="s">
        <v>153</v>
      </c>
      <c r="AG105" t="s">
        <v>1159</v>
      </c>
      <c r="AH105">
        <v>1440</v>
      </c>
      <c r="AJ105" t="s">
        <v>1148</v>
      </c>
      <c r="AK105">
        <v>86.183999999999997</v>
      </c>
      <c r="AL105" t="s">
        <v>2993</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1165</v>
      </c>
      <c r="AF106" t="s">
        <v>153</v>
      </c>
      <c r="AG106" t="s">
        <v>1159</v>
      </c>
      <c r="AH106">
        <v>1440</v>
      </c>
      <c r="AJ106" t="s">
        <v>1148</v>
      </c>
      <c r="AK106">
        <v>94.736999999999995</v>
      </c>
      <c r="AL106" t="s">
        <v>2993</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1165</v>
      </c>
      <c r="AF107" t="s">
        <v>153</v>
      </c>
      <c r="AG107" t="s">
        <v>1160</v>
      </c>
      <c r="AH107">
        <v>1440</v>
      </c>
      <c r="AJ107" t="s">
        <v>1148</v>
      </c>
      <c r="AK107">
        <v>41.447000000000003</v>
      </c>
      <c r="AL107" t="s">
        <v>2993</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1165</v>
      </c>
      <c r="AF108" t="s">
        <v>153</v>
      </c>
      <c r="AG108" t="s">
        <v>1159</v>
      </c>
      <c r="AH108">
        <v>1440</v>
      </c>
      <c r="AJ108" t="s">
        <v>1148</v>
      </c>
      <c r="AK108">
        <v>68.421000000000006</v>
      </c>
      <c r="AL108" t="s">
        <v>2993</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1165</v>
      </c>
      <c r="AF109" t="s">
        <v>153</v>
      </c>
      <c r="AG109" t="s">
        <v>1159</v>
      </c>
      <c r="AH109">
        <v>1440</v>
      </c>
      <c r="AJ109" t="s">
        <v>1148</v>
      </c>
      <c r="AK109">
        <v>78.947000000000003</v>
      </c>
      <c r="AL109" t="s">
        <v>2993</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1165</v>
      </c>
      <c r="AF110" t="s">
        <v>153</v>
      </c>
      <c r="AG110" t="s">
        <v>1160</v>
      </c>
      <c r="AH110">
        <v>1440</v>
      </c>
      <c r="AJ110" t="s">
        <v>1148</v>
      </c>
      <c r="AK110">
        <v>69.956000000000003</v>
      </c>
      <c r="AL110" t="s">
        <v>2993</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1165</v>
      </c>
      <c r="AF111" t="s">
        <v>153</v>
      </c>
      <c r="AG111" t="s">
        <v>1159</v>
      </c>
      <c r="AH111">
        <v>1440</v>
      </c>
      <c r="AJ111" t="s">
        <v>1148</v>
      </c>
      <c r="AK111">
        <v>68.64</v>
      </c>
      <c r="AL111" t="s">
        <v>2993</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1165</v>
      </c>
      <c r="AF112" t="s">
        <v>153</v>
      </c>
      <c r="AG112" t="s">
        <v>1159</v>
      </c>
      <c r="AH112">
        <v>1440</v>
      </c>
      <c r="AJ112" t="s">
        <v>1148</v>
      </c>
      <c r="AK112">
        <v>70.394999999999996</v>
      </c>
      <c r="AL112" t="s">
        <v>2993</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1165</v>
      </c>
      <c r="AF113" t="s">
        <v>153</v>
      </c>
      <c r="AG113" t="s">
        <v>1160</v>
      </c>
      <c r="AH113">
        <v>1440</v>
      </c>
      <c r="AJ113" t="s">
        <v>1148</v>
      </c>
      <c r="AK113">
        <v>51.534999999999997</v>
      </c>
      <c r="AL113" t="s">
        <v>2993</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1165</v>
      </c>
      <c r="AF114" t="s">
        <v>153</v>
      </c>
      <c r="AG114" t="s">
        <v>1159</v>
      </c>
      <c r="AH114">
        <v>1440</v>
      </c>
      <c r="AJ114" t="s">
        <v>1148</v>
      </c>
      <c r="AK114">
        <v>48.465000000000003</v>
      </c>
      <c r="AL114" t="s">
        <v>2993</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1165</v>
      </c>
      <c r="AF115" t="s">
        <v>153</v>
      </c>
      <c r="AG115" t="s">
        <v>1159</v>
      </c>
      <c r="AH115">
        <v>1440</v>
      </c>
      <c r="AJ115" t="s">
        <v>1148</v>
      </c>
      <c r="AK115">
        <v>54.167000000000002</v>
      </c>
      <c r="AL115" t="s">
        <v>2993</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1165</v>
      </c>
      <c r="AE116" s="4"/>
      <c r="AF116" s="4" t="s">
        <v>153</v>
      </c>
      <c r="AG116" s="4" t="s">
        <v>1160</v>
      </c>
      <c r="AH116" s="4">
        <v>1440</v>
      </c>
      <c r="AI116" s="4"/>
      <c r="AJ116" s="4" t="s">
        <v>1148</v>
      </c>
      <c r="AK116" s="4">
        <v>14.693</v>
      </c>
      <c r="AL116" t="s">
        <v>2993</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1165</v>
      </c>
      <c r="AE117" s="4"/>
      <c r="AF117" s="4" t="s">
        <v>153</v>
      </c>
      <c r="AG117" s="4" t="s">
        <v>1159</v>
      </c>
      <c r="AH117" s="4">
        <v>1440</v>
      </c>
      <c r="AI117" s="4"/>
      <c r="AJ117" s="4" t="s">
        <v>1148</v>
      </c>
      <c r="AK117" s="4">
        <v>16.009</v>
      </c>
      <c r="AL117" t="s">
        <v>2993</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1165</v>
      </c>
      <c r="AE118" s="4"/>
      <c r="AF118" s="4" t="s">
        <v>153</v>
      </c>
      <c r="AG118" s="4" t="s">
        <v>1159</v>
      </c>
      <c r="AH118" s="4">
        <v>1440</v>
      </c>
      <c r="AI118" s="4"/>
      <c r="AJ118" s="4" t="s">
        <v>1148</v>
      </c>
      <c r="AK118" s="4">
        <v>0</v>
      </c>
      <c r="AL118" t="s">
        <v>2993</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1165</v>
      </c>
      <c r="AE119" s="4"/>
      <c r="AF119" s="4" t="s">
        <v>153</v>
      </c>
      <c r="AG119" s="4" t="s">
        <v>1160</v>
      </c>
      <c r="AH119" s="4">
        <v>1440</v>
      </c>
      <c r="AI119" s="4"/>
      <c r="AJ119" s="4" t="s">
        <v>1148</v>
      </c>
      <c r="AK119" s="4">
        <v>3.7280000000000002</v>
      </c>
      <c r="AL119" t="s">
        <v>2993</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1165</v>
      </c>
      <c r="AE120" s="4"/>
      <c r="AF120" s="4" t="s">
        <v>153</v>
      </c>
      <c r="AG120" s="4" t="s">
        <v>1159</v>
      </c>
      <c r="AH120" s="4">
        <v>1440</v>
      </c>
      <c r="AI120" s="4"/>
      <c r="AJ120" s="4" t="s">
        <v>1148</v>
      </c>
      <c r="AK120" s="4">
        <v>5.0439999999999996</v>
      </c>
      <c r="AL120" t="s">
        <v>2993</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1165</v>
      </c>
      <c r="AE121" s="4"/>
      <c r="AF121" s="4" t="s">
        <v>153</v>
      </c>
      <c r="AG121" s="4" t="s">
        <v>1159</v>
      </c>
      <c r="AH121" s="4">
        <v>1440</v>
      </c>
      <c r="AI121" s="4"/>
      <c r="AJ121" s="4" t="s">
        <v>1148</v>
      </c>
      <c r="AK121" s="4">
        <v>1.0960000000000001</v>
      </c>
      <c r="AL121" t="s">
        <v>2993</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1165</v>
      </c>
      <c r="AF122" s="4" t="s">
        <v>153</v>
      </c>
      <c r="AG122" s="4" t="s">
        <v>1160</v>
      </c>
      <c r="AH122" s="4">
        <v>1440</v>
      </c>
      <c r="AI122" s="4"/>
      <c r="AJ122" s="4" t="s">
        <v>1148</v>
      </c>
      <c r="AK122" s="4">
        <v>87.938999999999993</v>
      </c>
      <c r="AL122" t="s">
        <v>2993</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1165</v>
      </c>
      <c r="AF123" s="4" t="s">
        <v>153</v>
      </c>
      <c r="AG123" s="4" t="s">
        <v>1159</v>
      </c>
      <c r="AH123" s="4">
        <v>1440</v>
      </c>
      <c r="AI123" s="4"/>
      <c r="AJ123" s="4" t="s">
        <v>1148</v>
      </c>
      <c r="AK123" s="4">
        <v>77.850999999999999</v>
      </c>
      <c r="AL123" t="s">
        <v>2993</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1165</v>
      </c>
      <c r="AF124" s="4" t="s">
        <v>153</v>
      </c>
      <c r="AG124" s="4" t="s">
        <v>1159</v>
      </c>
      <c r="AH124" s="4">
        <v>1440</v>
      </c>
      <c r="AI124" s="4"/>
      <c r="AJ124" s="4" t="s">
        <v>1148</v>
      </c>
      <c r="AK124" s="4">
        <v>63.816000000000003</v>
      </c>
      <c r="AL124" t="s">
        <v>2993</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1165</v>
      </c>
      <c r="AF125" s="4" t="s">
        <v>153</v>
      </c>
      <c r="AG125" s="4" t="s">
        <v>1160</v>
      </c>
      <c r="AH125" s="4">
        <v>1440</v>
      </c>
      <c r="AI125" s="4"/>
      <c r="AJ125" s="4" t="s">
        <v>1148</v>
      </c>
      <c r="AK125" s="4">
        <v>78.289000000000001</v>
      </c>
      <c r="AL125" t="s">
        <v>2993</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1165</v>
      </c>
      <c r="AF126" s="4" t="s">
        <v>153</v>
      </c>
      <c r="AG126" s="4" t="s">
        <v>1159</v>
      </c>
      <c r="AH126" s="4">
        <v>1440</v>
      </c>
      <c r="AI126" s="4"/>
      <c r="AJ126" s="4" t="s">
        <v>1148</v>
      </c>
      <c r="AK126" s="4">
        <v>50.658000000000001</v>
      </c>
      <c r="AL126" t="s">
        <v>2993</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1165</v>
      </c>
      <c r="AF127" s="4" t="s">
        <v>153</v>
      </c>
      <c r="AG127" s="4" t="s">
        <v>1159</v>
      </c>
      <c r="AH127" s="4">
        <v>1440</v>
      </c>
      <c r="AI127" s="4"/>
      <c r="AJ127" s="4" t="s">
        <v>1148</v>
      </c>
      <c r="AK127" s="4">
        <v>58.552999999999997</v>
      </c>
      <c r="AL127" t="s">
        <v>2993</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1165</v>
      </c>
      <c r="AF128" s="4" t="s">
        <v>153</v>
      </c>
      <c r="AG128" s="4" t="s">
        <v>1160</v>
      </c>
      <c r="AH128" s="4">
        <v>1440</v>
      </c>
      <c r="AI128" s="4"/>
      <c r="AJ128" s="4" t="s">
        <v>1148</v>
      </c>
      <c r="AK128" s="4">
        <v>26.974</v>
      </c>
      <c r="AL128" t="s">
        <v>2993</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1165</v>
      </c>
      <c r="AF129" s="4" t="s">
        <v>153</v>
      </c>
      <c r="AG129" s="4" t="s">
        <v>1159</v>
      </c>
      <c r="AH129" s="4">
        <v>1440</v>
      </c>
      <c r="AI129" s="4"/>
      <c r="AJ129" s="4" t="s">
        <v>1148</v>
      </c>
      <c r="AK129" s="4">
        <v>11.183999999999999</v>
      </c>
      <c r="AL129" t="s">
        <v>2993</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1165</v>
      </c>
      <c r="AF130" s="4" t="s">
        <v>153</v>
      </c>
      <c r="AG130" s="4" t="s">
        <v>1159</v>
      </c>
      <c r="AH130" s="4">
        <v>1440</v>
      </c>
      <c r="AI130" s="4"/>
      <c r="AJ130" s="4" t="s">
        <v>1148</v>
      </c>
      <c r="AK130" s="4">
        <v>19.079000000000001</v>
      </c>
      <c r="AL130" t="s">
        <v>2993</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1165</v>
      </c>
      <c r="AF131" s="4" t="s">
        <v>153</v>
      </c>
      <c r="AG131" s="4" t="s">
        <v>1160</v>
      </c>
      <c r="AH131" s="4">
        <v>1440</v>
      </c>
      <c r="AI131" s="4"/>
      <c r="AJ131" s="4" t="s">
        <v>1148</v>
      </c>
      <c r="AK131" s="4">
        <v>23.465</v>
      </c>
      <c r="AL131" t="s">
        <v>2993</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1165</v>
      </c>
      <c r="AF132" s="4" t="s">
        <v>153</v>
      </c>
      <c r="AG132" s="4" t="s">
        <v>1159</v>
      </c>
      <c r="AH132" s="4">
        <v>1440</v>
      </c>
      <c r="AI132" s="4"/>
      <c r="AJ132" s="4" t="s">
        <v>1148</v>
      </c>
      <c r="AK132" s="4">
        <v>4.1669999999999998</v>
      </c>
      <c r="AL132" t="s">
        <v>2993</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1165</v>
      </c>
      <c r="AF133" s="4" t="s">
        <v>153</v>
      </c>
      <c r="AG133" s="4" t="s">
        <v>1159</v>
      </c>
      <c r="AH133" s="4">
        <v>1440</v>
      </c>
      <c r="AI133" s="4"/>
      <c r="AJ133" s="4" t="s">
        <v>1148</v>
      </c>
      <c r="AK133" s="4">
        <v>21.710999999999999</v>
      </c>
      <c r="AL133" t="s">
        <v>2993</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1166</v>
      </c>
      <c r="W134" t="s">
        <v>1167</v>
      </c>
      <c r="X134" s="9" t="s">
        <v>1161</v>
      </c>
      <c r="Y134" s="4" t="s">
        <v>1158</v>
      </c>
      <c r="Z134">
        <v>12</v>
      </c>
      <c r="AD134" t="s">
        <v>1165</v>
      </c>
      <c r="AF134" s="4" t="s">
        <v>153</v>
      </c>
      <c r="AG134" s="4" t="s">
        <v>1160</v>
      </c>
      <c r="AH134" s="4">
        <v>1440</v>
      </c>
      <c r="AI134" s="4"/>
      <c r="AJ134" s="4" t="s">
        <v>1148</v>
      </c>
      <c r="AK134" s="4">
        <v>93.201999999999998</v>
      </c>
      <c r="AL134" t="s">
        <v>2993</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1166</v>
      </c>
      <c r="W135" t="s">
        <v>1167</v>
      </c>
      <c r="X135" s="9" t="s">
        <v>1161</v>
      </c>
      <c r="Y135" s="4" t="s">
        <v>1158</v>
      </c>
      <c r="Z135">
        <v>12</v>
      </c>
      <c r="AA135" s="4" t="s">
        <v>1159</v>
      </c>
      <c r="AB135" s="4">
        <v>250</v>
      </c>
      <c r="AC135" s="4">
        <v>1</v>
      </c>
      <c r="AD135" t="s">
        <v>1165</v>
      </c>
      <c r="AF135" s="4" t="s">
        <v>153</v>
      </c>
      <c r="AG135" s="4" t="s">
        <v>1159</v>
      </c>
      <c r="AH135" s="4">
        <v>1440</v>
      </c>
      <c r="AI135" s="4"/>
      <c r="AJ135" s="4" t="s">
        <v>1148</v>
      </c>
      <c r="AK135" s="4">
        <v>58.552999999999997</v>
      </c>
      <c r="AL135" t="s">
        <v>2993</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1166</v>
      </c>
      <c r="W136" t="s">
        <v>1167</v>
      </c>
      <c r="X136" s="9" t="s">
        <v>1161</v>
      </c>
      <c r="Y136" s="4" t="s">
        <v>1158</v>
      </c>
      <c r="Z136">
        <v>12</v>
      </c>
      <c r="AA136" s="4" t="s">
        <v>1159</v>
      </c>
      <c r="AB136" s="4">
        <v>500</v>
      </c>
      <c r="AC136" s="4">
        <v>1</v>
      </c>
      <c r="AD136" t="s">
        <v>1165</v>
      </c>
      <c r="AF136" s="4" t="s">
        <v>153</v>
      </c>
      <c r="AG136" s="4" t="s">
        <v>1159</v>
      </c>
      <c r="AH136" s="4">
        <v>1440</v>
      </c>
      <c r="AI136" s="4"/>
      <c r="AJ136" s="4" t="s">
        <v>1148</v>
      </c>
      <c r="AK136" s="4">
        <v>76.974000000000004</v>
      </c>
      <c r="AL136" t="s">
        <v>2993</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1166</v>
      </c>
      <c r="W137" t="s">
        <v>1167</v>
      </c>
      <c r="X137" s="9" t="s">
        <v>1162</v>
      </c>
      <c r="Y137" s="4" t="s">
        <v>1158</v>
      </c>
      <c r="Z137">
        <v>12</v>
      </c>
      <c r="AD137" t="s">
        <v>1165</v>
      </c>
      <c r="AF137" s="4" t="s">
        <v>153</v>
      </c>
      <c r="AG137" s="4" t="s">
        <v>1160</v>
      </c>
      <c r="AH137" s="4">
        <v>1440</v>
      </c>
      <c r="AI137" s="4"/>
      <c r="AJ137" s="4" t="s">
        <v>1148</v>
      </c>
      <c r="AK137" s="4">
        <v>84.867999999999995</v>
      </c>
      <c r="AL137" t="s">
        <v>2993</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1166</v>
      </c>
      <c r="W138" t="s">
        <v>1167</v>
      </c>
      <c r="X138" s="9" t="s">
        <v>1162</v>
      </c>
      <c r="Y138" s="4" t="s">
        <v>1158</v>
      </c>
      <c r="Z138">
        <v>12</v>
      </c>
      <c r="AA138" s="4" t="s">
        <v>1159</v>
      </c>
      <c r="AB138" s="4">
        <v>250</v>
      </c>
      <c r="AC138" s="4">
        <v>1</v>
      </c>
      <c r="AD138" t="s">
        <v>1165</v>
      </c>
      <c r="AF138" s="4" t="s">
        <v>153</v>
      </c>
      <c r="AG138" s="4" t="s">
        <v>1159</v>
      </c>
      <c r="AH138" s="4">
        <v>1440</v>
      </c>
      <c r="AI138" s="4"/>
      <c r="AJ138" s="4" t="s">
        <v>1148</v>
      </c>
      <c r="AK138" s="4">
        <v>36.183999999999997</v>
      </c>
      <c r="AL138" t="s">
        <v>2993</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1166</v>
      </c>
      <c r="W139" t="s">
        <v>1167</v>
      </c>
      <c r="X139" s="9" t="s">
        <v>1162</v>
      </c>
      <c r="Y139" s="4" t="s">
        <v>1158</v>
      </c>
      <c r="Z139">
        <v>12</v>
      </c>
      <c r="AA139" s="4" t="s">
        <v>1159</v>
      </c>
      <c r="AB139" s="4">
        <v>500</v>
      </c>
      <c r="AC139" s="4">
        <v>1</v>
      </c>
      <c r="AD139" t="s">
        <v>1165</v>
      </c>
      <c r="AF139" s="4" t="s">
        <v>153</v>
      </c>
      <c r="AG139" s="4" t="s">
        <v>1159</v>
      </c>
      <c r="AH139" s="4">
        <v>1440</v>
      </c>
      <c r="AI139" s="4"/>
      <c r="AJ139" s="4" t="s">
        <v>1148</v>
      </c>
      <c r="AK139" s="4">
        <v>55.920999999999999</v>
      </c>
      <c r="AL139" t="s">
        <v>2993</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1166</v>
      </c>
      <c r="W140" t="s">
        <v>1167</v>
      </c>
      <c r="X140" s="9" t="s">
        <v>1163</v>
      </c>
      <c r="Y140" s="4" t="s">
        <v>1158</v>
      </c>
      <c r="Z140">
        <v>12</v>
      </c>
      <c r="AD140" t="s">
        <v>1165</v>
      </c>
      <c r="AF140" s="4" t="s">
        <v>153</v>
      </c>
      <c r="AG140" s="4" t="s">
        <v>1160</v>
      </c>
      <c r="AH140" s="4">
        <v>1440</v>
      </c>
      <c r="AI140" s="4"/>
      <c r="AJ140" s="4" t="s">
        <v>1148</v>
      </c>
      <c r="AK140" s="4">
        <v>34.868000000000002</v>
      </c>
      <c r="AL140" t="s">
        <v>2993</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1166</v>
      </c>
      <c r="W141" t="s">
        <v>1167</v>
      </c>
      <c r="X141" s="9" t="s">
        <v>1163</v>
      </c>
      <c r="Y141" s="4" t="s">
        <v>1158</v>
      </c>
      <c r="Z141">
        <v>12</v>
      </c>
      <c r="AA141" s="4" t="s">
        <v>1159</v>
      </c>
      <c r="AB141" s="4">
        <v>250</v>
      </c>
      <c r="AC141" s="4">
        <v>1</v>
      </c>
      <c r="AD141" t="s">
        <v>1165</v>
      </c>
      <c r="AF141" s="4" t="s">
        <v>153</v>
      </c>
      <c r="AG141" s="4" t="s">
        <v>1159</v>
      </c>
      <c r="AH141" s="4">
        <v>1440</v>
      </c>
      <c r="AI141" s="4"/>
      <c r="AJ141" s="4" t="s">
        <v>1148</v>
      </c>
      <c r="AK141" s="4">
        <v>3.2890000000000001</v>
      </c>
      <c r="AL141" t="s">
        <v>2993</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1166</v>
      </c>
      <c r="W142" t="s">
        <v>1167</v>
      </c>
      <c r="X142" s="9" t="s">
        <v>1163</v>
      </c>
      <c r="Y142" s="4" t="s">
        <v>1158</v>
      </c>
      <c r="Z142">
        <v>12</v>
      </c>
      <c r="AA142" s="4" t="s">
        <v>1159</v>
      </c>
      <c r="AB142" s="4">
        <v>500</v>
      </c>
      <c r="AC142" s="4">
        <v>1</v>
      </c>
      <c r="AD142" t="s">
        <v>1165</v>
      </c>
      <c r="AF142" s="4" t="s">
        <v>153</v>
      </c>
      <c r="AG142" s="4" t="s">
        <v>1159</v>
      </c>
      <c r="AH142" s="4">
        <v>1440</v>
      </c>
      <c r="AI142" s="4"/>
      <c r="AJ142" s="4" t="s">
        <v>1148</v>
      </c>
      <c r="AK142" s="4">
        <v>17.763000000000002</v>
      </c>
      <c r="AL142" t="s">
        <v>2993</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1166</v>
      </c>
      <c r="W143" t="s">
        <v>1167</v>
      </c>
      <c r="X143" s="9" t="s">
        <v>1164</v>
      </c>
      <c r="Y143" s="4" t="s">
        <v>1158</v>
      </c>
      <c r="Z143">
        <v>12</v>
      </c>
      <c r="AD143" t="s">
        <v>1165</v>
      </c>
      <c r="AF143" s="4" t="s">
        <v>153</v>
      </c>
      <c r="AG143" s="4" t="s">
        <v>1160</v>
      </c>
      <c r="AH143" s="4">
        <v>1440</v>
      </c>
      <c r="AI143" s="4"/>
      <c r="AJ143" s="4" t="s">
        <v>1148</v>
      </c>
      <c r="AK143" s="4">
        <v>19.079000000000001</v>
      </c>
      <c r="AL143" t="s">
        <v>2993</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1166</v>
      </c>
      <c r="W144" t="s">
        <v>1167</v>
      </c>
      <c r="X144" s="9" t="s">
        <v>1164</v>
      </c>
      <c r="Y144" s="4" t="s">
        <v>1158</v>
      </c>
      <c r="Z144">
        <v>12</v>
      </c>
      <c r="AA144" s="4" t="s">
        <v>1159</v>
      </c>
      <c r="AB144" s="4">
        <v>250</v>
      </c>
      <c r="AC144" s="4">
        <v>1</v>
      </c>
      <c r="AD144" t="s">
        <v>1165</v>
      </c>
      <c r="AF144" s="4" t="s">
        <v>153</v>
      </c>
      <c r="AG144" s="4" t="s">
        <v>1159</v>
      </c>
      <c r="AH144" s="4">
        <v>1440</v>
      </c>
      <c r="AI144" s="4"/>
      <c r="AJ144" s="4" t="s">
        <v>1148</v>
      </c>
      <c r="AK144" s="4">
        <v>1.5349999999999999</v>
      </c>
      <c r="AL144" t="s">
        <v>2993</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1166</v>
      </c>
      <c r="W145" t="s">
        <v>1167</v>
      </c>
      <c r="X145" s="9" t="s">
        <v>1164</v>
      </c>
      <c r="Y145" s="4" t="s">
        <v>1158</v>
      </c>
      <c r="Z145">
        <v>12</v>
      </c>
      <c r="AA145" s="4" t="s">
        <v>1159</v>
      </c>
      <c r="AB145" s="4">
        <v>500</v>
      </c>
      <c r="AC145" s="4">
        <v>1</v>
      </c>
      <c r="AD145" t="s">
        <v>1165</v>
      </c>
      <c r="AF145" s="4" t="s">
        <v>153</v>
      </c>
      <c r="AG145" s="4" t="s">
        <v>1159</v>
      </c>
      <c r="AH145" s="4">
        <v>1440</v>
      </c>
      <c r="AI145" s="4"/>
      <c r="AJ145" s="4" t="s">
        <v>1148</v>
      </c>
      <c r="AK145" s="4">
        <v>5.9210000000000003</v>
      </c>
      <c r="AL145" t="s">
        <v>2993</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1165</v>
      </c>
      <c r="AF146" s="4" t="s">
        <v>153</v>
      </c>
      <c r="AG146" s="4" t="s">
        <v>1160</v>
      </c>
      <c r="AH146" s="4">
        <v>1440</v>
      </c>
      <c r="AI146" s="4"/>
      <c r="AJ146" s="4" t="s">
        <v>1148</v>
      </c>
      <c r="AK146" s="4">
        <v>0</v>
      </c>
      <c r="AN146" s="4">
        <v>3</v>
      </c>
      <c r="AO146" s="4">
        <v>25</v>
      </c>
      <c r="AP146" s="4">
        <v>7</v>
      </c>
      <c r="AQ146" s="4"/>
      <c r="AR146" s="4" t="s">
        <v>1207</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1165</v>
      </c>
      <c r="AF147" s="4" t="s">
        <v>153</v>
      </c>
      <c r="AG147" s="4" t="s">
        <v>1160</v>
      </c>
      <c r="AH147" s="4">
        <v>1440</v>
      </c>
      <c r="AI147" s="4"/>
      <c r="AJ147" s="4" t="s">
        <v>1148</v>
      </c>
      <c r="AK147" s="4">
        <v>0</v>
      </c>
      <c r="AN147" s="4">
        <v>3</v>
      </c>
      <c r="AO147" s="4">
        <v>25</v>
      </c>
      <c r="AP147" s="4">
        <f>AP146+7</f>
        <v>14</v>
      </c>
      <c r="AQ147" s="4"/>
      <c r="AR147" s="4" t="s">
        <v>1207</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1165</v>
      </c>
      <c r="AF148" s="4" t="s">
        <v>153</v>
      </c>
      <c r="AG148" s="4" t="s">
        <v>1160</v>
      </c>
      <c r="AH148" s="4">
        <v>1440</v>
      </c>
      <c r="AI148" s="4"/>
      <c r="AJ148" s="4" t="s">
        <v>1148</v>
      </c>
      <c r="AK148" s="4">
        <v>0</v>
      </c>
      <c r="AN148" s="4">
        <v>3</v>
      </c>
      <c r="AO148" s="4">
        <v>25</v>
      </c>
      <c r="AP148" s="4">
        <f t="shared" ref="AP148:AP193" si="0">AP147+7</f>
        <v>21</v>
      </c>
      <c r="AQ148" s="4"/>
      <c r="AR148" s="4" t="s">
        <v>1207</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1165</v>
      </c>
      <c r="AF149" s="4" t="s">
        <v>153</v>
      </c>
      <c r="AG149" s="4" t="s">
        <v>1160</v>
      </c>
      <c r="AH149" s="4">
        <v>1440</v>
      </c>
      <c r="AI149" s="4"/>
      <c r="AJ149" s="4" t="s">
        <v>1148</v>
      </c>
      <c r="AK149" s="4">
        <v>1.978</v>
      </c>
      <c r="AN149" s="4">
        <v>3</v>
      </c>
      <c r="AO149" s="4">
        <v>25</v>
      </c>
      <c r="AP149" s="4">
        <f t="shared" si="0"/>
        <v>28</v>
      </c>
      <c r="AQ149" s="4"/>
      <c r="AR149" s="4" t="s">
        <v>1207</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1165</v>
      </c>
      <c r="AF150" s="4" t="s">
        <v>153</v>
      </c>
      <c r="AG150" s="4" t="s">
        <v>1160</v>
      </c>
      <c r="AH150" s="4">
        <v>1440</v>
      </c>
      <c r="AI150" s="4"/>
      <c r="AJ150" s="4" t="s">
        <v>1148</v>
      </c>
      <c r="AK150" s="4">
        <v>1.978</v>
      </c>
      <c r="AN150" s="4">
        <v>3</v>
      </c>
      <c r="AO150" s="4">
        <v>25</v>
      </c>
      <c r="AP150" s="4">
        <f t="shared" si="0"/>
        <v>35</v>
      </c>
      <c r="AQ150" s="4"/>
      <c r="AR150" s="4" t="s">
        <v>1207</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1165</v>
      </c>
      <c r="AF151" s="4" t="s">
        <v>153</v>
      </c>
      <c r="AG151" s="4" t="s">
        <v>1160</v>
      </c>
      <c r="AH151" s="4">
        <v>1440</v>
      </c>
      <c r="AI151" s="4"/>
      <c r="AJ151" s="4" t="s">
        <v>1148</v>
      </c>
      <c r="AK151" s="4">
        <v>1.978</v>
      </c>
      <c r="AN151" s="4">
        <v>3</v>
      </c>
      <c r="AO151" s="4">
        <v>25</v>
      </c>
      <c r="AP151" s="4">
        <f t="shared" si="0"/>
        <v>42</v>
      </c>
      <c r="AQ151" s="4"/>
      <c r="AR151" s="4" t="s">
        <v>1207</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1165</v>
      </c>
      <c r="AF152" s="4" t="s">
        <v>153</v>
      </c>
      <c r="AG152" s="4" t="s">
        <v>1160</v>
      </c>
      <c r="AH152" s="4">
        <v>1440</v>
      </c>
      <c r="AI152" s="4"/>
      <c r="AJ152" s="4" t="s">
        <v>1148</v>
      </c>
      <c r="AK152" s="4">
        <v>17.085999999999999</v>
      </c>
      <c r="AN152" s="4">
        <v>3</v>
      </c>
      <c r="AO152" s="4">
        <v>25</v>
      </c>
      <c r="AP152" s="4">
        <f t="shared" si="0"/>
        <v>49</v>
      </c>
      <c r="AQ152" s="4"/>
      <c r="AR152" s="4" t="s">
        <v>1207</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1165</v>
      </c>
      <c r="AF153" s="4" t="s">
        <v>153</v>
      </c>
      <c r="AG153" s="4" t="s">
        <v>1160</v>
      </c>
      <c r="AH153" s="4">
        <v>1440</v>
      </c>
      <c r="AI153" s="4"/>
      <c r="AJ153" s="4" t="s">
        <v>1148</v>
      </c>
      <c r="AK153" s="4">
        <v>18.164999999999999</v>
      </c>
      <c r="AN153" s="4">
        <v>3</v>
      </c>
      <c r="AO153" s="4">
        <v>25</v>
      </c>
      <c r="AP153" s="4">
        <f t="shared" si="0"/>
        <v>56</v>
      </c>
      <c r="AQ153" s="4"/>
      <c r="AR153" s="4" t="s">
        <v>1207</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1165</v>
      </c>
      <c r="AF154" s="4" t="s">
        <v>153</v>
      </c>
      <c r="AG154" s="4" t="s">
        <v>1160</v>
      </c>
      <c r="AH154" s="4">
        <v>1440</v>
      </c>
      <c r="AI154" s="4"/>
      <c r="AJ154" s="4" t="s">
        <v>1148</v>
      </c>
      <c r="AK154" s="4">
        <v>17.806000000000001</v>
      </c>
      <c r="AN154" s="4">
        <v>3</v>
      </c>
      <c r="AO154" s="4">
        <v>25</v>
      </c>
      <c r="AP154" s="4">
        <f t="shared" si="0"/>
        <v>63</v>
      </c>
      <c r="AQ154" s="4"/>
      <c r="AR154" s="4" t="s">
        <v>1207</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1165</v>
      </c>
      <c r="AF155" s="4" t="s">
        <v>153</v>
      </c>
      <c r="AG155" s="4" t="s">
        <v>1160</v>
      </c>
      <c r="AH155" s="4">
        <v>1440</v>
      </c>
      <c r="AI155" s="4"/>
      <c r="AJ155" s="4" t="s">
        <v>1148</v>
      </c>
      <c r="AK155" s="4">
        <v>20.683</v>
      </c>
      <c r="AN155" s="4">
        <v>3</v>
      </c>
      <c r="AO155" s="4">
        <v>25</v>
      </c>
      <c r="AP155" s="4">
        <f t="shared" si="0"/>
        <v>70</v>
      </c>
      <c r="AQ155" s="4"/>
      <c r="AR155" s="4" t="s">
        <v>1207</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1165</v>
      </c>
      <c r="AF156" s="4" t="s">
        <v>153</v>
      </c>
      <c r="AG156" s="4" t="s">
        <v>1160</v>
      </c>
      <c r="AH156" s="4">
        <v>1440</v>
      </c>
      <c r="AI156" s="4"/>
      <c r="AJ156" s="4" t="s">
        <v>1148</v>
      </c>
      <c r="AK156" s="4">
        <v>22.481999999999999</v>
      </c>
      <c r="AN156" s="4">
        <v>3</v>
      </c>
      <c r="AO156" s="4">
        <v>25</v>
      </c>
      <c r="AP156" s="4">
        <f t="shared" si="0"/>
        <v>77</v>
      </c>
      <c r="AQ156" s="4"/>
      <c r="AR156" s="4" t="s">
        <v>1207</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1165</v>
      </c>
      <c r="AF157" s="4" t="s">
        <v>153</v>
      </c>
      <c r="AG157" s="4" t="s">
        <v>1160</v>
      </c>
      <c r="AH157" s="4">
        <v>1440</v>
      </c>
      <c r="AI157" s="4"/>
      <c r="AJ157" s="4" t="s">
        <v>1148</v>
      </c>
      <c r="AK157" s="4">
        <v>37.590000000000003</v>
      </c>
      <c r="AN157" s="4">
        <v>3</v>
      </c>
      <c r="AO157" s="4">
        <v>25</v>
      </c>
      <c r="AP157" s="4">
        <f t="shared" si="0"/>
        <v>84</v>
      </c>
      <c r="AQ157" s="4"/>
      <c r="AR157" s="4" t="s">
        <v>1207</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1165</v>
      </c>
      <c r="AF158" s="4" t="s">
        <v>153</v>
      </c>
      <c r="AG158" s="4" t="s">
        <v>1160</v>
      </c>
      <c r="AH158" s="4">
        <v>1440</v>
      </c>
      <c r="AI158" s="4"/>
      <c r="AJ158" s="4" t="s">
        <v>1148</v>
      </c>
      <c r="AK158" s="4">
        <v>50.899000000000001</v>
      </c>
      <c r="AN158" s="4">
        <v>3</v>
      </c>
      <c r="AO158" s="4">
        <v>25</v>
      </c>
      <c r="AP158" s="4">
        <f t="shared" si="0"/>
        <v>91</v>
      </c>
      <c r="AQ158" s="4"/>
      <c r="AR158" s="4" t="s">
        <v>1207</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1165</v>
      </c>
      <c r="AF159" s="4" t="s">
        <v>153</v>
      </c>
      <c r="AG159" s="4" t="s">
        <v>1160</v>
      </c>
      <c r="AH159" s="4">
        <v>1440</v>
      </c>
      <c r="AI159" s="4"/>
      <c r="AJ159" s="4" t="s">
        <v>1148</v>
      </c>
      <c r="AK159" s="4">
        <v>58.813000000000002</v>
      </c>
      <c r="AN159" s="4">
        <v>3</v>
      </c>
      <c r="AO159" s="4">
        <v>25</v>
      </c>
      <c r="AP159" s="4">
        <f t="shared" si="0"/>
        <v>98</v>
      </c>
      <c r="AQ159" s="4"/>
      <c r="AR159" s="4" t="s">
        <v>1207</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1165</v>
      </c>
      <c r="AF160" s="4" t="s">
        <v>153</v>
      </c>
      <c r="AG160" s="4" t="s">
        <v>1160</v>
      </c>
      <c r="AH160" s="4">
        <v>1440</v>
      </c>
      <c r="AI160" s="4"/>
      <c r="AJ160" s="4" t="s">
        <v>1148</v>
      </c>
      <c r="AK160" s="4">
        <v>59.173000000000002</v>
      </c>
      <c r="AN160" s="4">
        <v>3</v>
      </c>
      <c r="AO160" s="4">
        <v>25</v>
      </c>
      <c r="AP160" s="4">
        <f t="shared" si="0"/>
        <v>105</v>
      </c>
      <c r="AQ160" s="4"/>
      <c r="AR160" s="4" t="s">
        <v>1207</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1165</v>
      </c>
      <c r="AF161" s="4" t="s">
        <v>153</v>
      </c>
      <c r="AG161" s="4" t="s">
        <v>1160</v>
      </c>
      <c r="AH161" s="4">
        <v>1440</v>
      </c>
      <c r="AI161" s="4"/>
      <c r="AJ161" s="4" t="s">
        <v>1148</v>
      </c>
      <c r="AK161" s="4">
        <v>59.173000000000002</v>
      </c>
      <c r="AN161" s="4">
        <v>3</v>
      </c>
      <c r="AO161" s="4">
        <v>25</v>
      </c>
      <c r="AP161" s="4">
        <f t="shared" si="0"/>
        <v>112</v>
      </c>
      <c r="AQ161" s="4"/>
      <c r="AR161" s="4" t="s">
        <v>1207</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1165</v>
      </c>
      <c r="AF162" s="4" t="s">
        <v>153</v>
      </c>
      <c r="AG162" s="4" t="s">
        <v>1160</v>
      </c>
      <c r="AH162" s="4">
        <v>1440</v>
      </c>
      <c r="AI162" s="4"/>
      <c r="AJ162" s="4" t="s">
        <v>1148</v>
      </c>
      <c r="AK162" s="4">
        <v>72.841999999999999</v>
      </c>
      <c r="AN162" s="4">
        <v>3</v>
      </c>
      <c r="AO162" s="4">
        <v>25</v>
      </c>
      <c r="AP162" s="4">
        <f t="shared" si="0"/>
        <v>119</v>
      </c>
      <c r="AQ162" s="4"/>
      <c r="AR162" s="4" t="s">
        <v>1207</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1165</v>
      </c>
      <c r="AF163" s="4" t="s">
        <v>153</v>
      </c>
      <c r="AG163" s="4" t="s">
        <v>1160</v>
      </c>
      <c r="AH163" s="4">
        <v>1440</v>
      </c>
      <c r="AI163" s="4"/>
      <c r="AJ163" s="4" t="s">
        <v>1148</v>
      </c>
      <c r="AK163" s="4">
        <v>72.481999999999999</v>
      </c>
      <c r="AN163" s="4">
        <v>3</v>
      </c>
      <c r="AO163" s="4">
        <v>25</v>
      </c>
      <c r="AP163" s="4">
        <f t="shared" si="0"/>
        <v>126</v>
      </c>
      <c r="AQ163" s="4"/>
      <c r="AR163" s="4" t="s">
        <v>1207</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1165</v>
      </c>
      <c r="AF164" s="4" t="s">
        <v>153</v>
      </c>
      <c r="AG164" s="4" t="s">
        <v>1160</v>
      </c>
      <c r="AH164" s="4">
        <v>1440</v>
      </c>
      <c r="AI164" s="4"/>
      <c r="AJ164" s="4" t="s">
        <v>1148</v>
      </c>
      <c r="AK164" s="4">
        <v>72.841999999999999</v>
      </c>
      <c r="AN164" s="4">
        <v>3</v>
      </c>
      <c r="AO164" s="4">
        <v>25</v>
      </c>
      <c r="AP164" s="4">
        <f t="shared" si="0"/>
        <v>133</v>
      </c>
      <c r="AQ164" s="4"/>
      <c r="AR164" s="4" t="s">
        <v>1207</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1165</v>
      </c>
      <c r="AF165" s="4" t="s">
        <v>153</v>
      </c>
      <c r="AG165" s="4" t="s">
        <v>1160</v>
      </c>
      <c r="AH165" s="4">
        <v>1440</v>
      </c>
      <c r="AI165" s="4"/>
      <c r="AJ165" s="4" t="s">
        <v>1148</v>
      </c>
      <c r="AK165" s="4">
        <v>82.194000000000003</v>
      </c>
      <c r="AN165" s="4">
        <v>3</v>
      </c>
      <c r="AO165" s="4">
        <v>25</v>
      </c>
      <c r="AP165" s="4">
        <f t="shared" si="0"/>
        <v>140</v>
      </c>
      <c r="AQ165" s="4"/>
      <c r="AR165" s="4" t="s">
        <v>1207</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1165</v>
      </c>
      <c r="AF166" s="4" t="s">
        <v>153</v>
      </c>
      <c r="AG166" s="4" t="s">
        <v>1160</v>
      </c>
      <c r="AH166" s="4">
        <v>1440</v>
      </c>
      <c r="AI166" s="4"/>
      <c r="AJ166" s="4" t="s">
        <v>1148</v>
      </c>
      <c r="AK166" s="4">
        <v>89.028999999999996</v>
      </c>
      <c r="AN166" s="4">
        <v>3</v>
      </c>
      <c r="AO166" s="4">
        <v>25</v>
      </c>
      <c r="AP166" s="4">
        <f>AP165+7</f>
        <v>147</v>
      </c>
      <c r="AQ166" s="4"/>
      <c r="AR166" s="4" t="s">
        <v>1207</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1165</v>
      </c>
      <c r="AF167" s="4" t="s">
        <v>153</v>
      </c>
      <c r="AG167" s="4" t="s">
        <v>1160</v>
      </c>
      <c r="AH167" s="4">
        <v>1440</v>
      </c>
      <c r="AI167" s="4"/>
      <c r="AJ167" s="4" t="s">
        <v>1148</v>
      </c>
      <c r="AK167" s="4">
        <v>94.424000000000007</v>
      </c>
      <c r="AN167" s="4">
        <v>3</v>
      </c>
      <c r="AO167" s="4">
        <v>25</v>
      </c>
      <c r="AP167" s="4">
        <f t="shared" si="0"/>
        <v>154</v>
      </c>
      <c r="AQ167" s="4"/>
      <c r="AR167" s="4" t="s">
        <v>1207</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1165</v>
      </c>
      <c r="AF168" s="4" t="s">
        <v>153</v>
      </c>
      <c r="AG168" s="4" t="s">
        <v>1160</v>
      </c>
      <c r="AH168" s="4">
        <v>1440</v>
      </c>
      <c r="AI168" s="4"/>
      <c r="AJ168" s="4" t="s">
        <v>1148</v>
      </c>
      <c r="AK168" s="4">
        <v>94.784000000000006</v>
      </c>
      <c r="AN168" s="4">
        <v>3</v>
      </c>
      <c r="AO168" s="4">
        <v>25</v>
      </c>
      <c r="AP168" s="4">
        <f t="shared" si="0"/>
        <v>161</v>
      </c>
      <c r="AQ168" s="4"/>
      <c r="AR168" s="4" t="s">
        <v>1207</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1165</v>
      </c>
      <c r="AF169" s="4" t="s">
        <v>153</v>
      </c>
      <c r="AG169" s="4" t="s">
        <v>1160</v>
      </c>
      <c r="AH169" s="4">
        <v>1440</v>
      </c>
      <c r="AI169" s="4"/>
      <c r="AJ169" s="4" t="s">
        <v>1148</v>
      </c>
      <c r="AK169" s="4">
        <v>95.504000000000005</v>
      </c>
      <c r="AN169" s="4">
        <v>3</v>
      </c>
      <c r="AO169" s="4">
        <v>25</v>
      </c>
      <c r="AP169" s="4">
        <f t="shared" si="0"/>
        <v>168</v>
      </c>
      <c r="AQ169" s="4"/>
      <c r="AR169" s="4" t="s">
        <v>1207</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1165</v>
      </c>
      <c r="AF170" s="4" t="s">
        <v>153</v>
      </c>
      <c r="AG170" s="4" t="s">
        <v>1159</v>
      </c>
      <c r="AH170" s="4">
        <v>1440</v>
      </c>
      <c r="AI170" s="4"/>
      <c r="AJ170" s="4" t="s">
        <v>1148</v>
      </c>
      <c r="AK170" s="4">
        <v>0</v>
      </c>
      <c r="AN170" s="4">
        <v>3</v>
      </c>
      <c r="AO170" s="4">
        <v>25</v>
      </c>
      <c r="AP170" s="4">
        <v>7</v>
      </c>
      <c r="AQ170" s="4"/>
      <c r="AR170" s="4" t="s">
        <v>1207</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1165</v>
      </c>
      <c r="AF171" s="4" t="s">
        <v>153</v>
      </c>
      <c r="AG171" s="4" t="s">
        <v>1159</v>
      </c>
      <c r="AH171" s="4">
        <v>1440</v>
      </c>
      <c r="AI171" s="4"/>
      <c r="AJ171" s="4" t="s">
        <v>1148</v>
      </c>
      <c r="AK171" s="4">
        <v>0.54</v>
      </c>
      <c r="AN171" s="4">
        <v>3</v>
      </c>
      <c r="AO171" s="4">
        <v>25</v>
      </c>
      <c r="AP171" s="4">
        <f>AP170+7</f>
        <v>14</v>
      </c>
      <c r="AQ171" s="4"/>
      <c r="AR171" s="4" t="s">
        <v>1207</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1165</v>
      </c>
      <c r="AF172" s="4" t="s">
        <v>153</v>
      </c>
      <c r="AG172" s="4" t="s">
        <v>1159</v>
      </c>
      <c r="AH172" s="4">
        <v>1440</v>
      </c>
      <c r="AI172" s="4"/>
      <c r="AJ172" s="4" t="s">
        <v>1148</v>
      </c>
      <c r="AK172" s="4">
        <v>3.4169999999999998</v>
      </c>
      <c r="AN172" s="4">
        <v>3</v>
      </c>
      <c r="AO172" s="4">
        <v>25</v>
      </c>
      <c r="AP172" s="4">
        <f t="shared" si="0"/>
        <v>21</v>
      </c>
      <c r="AQ172" s="4"/>
      <c r="AR172" s="4" t="s">
        <v>1207</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1165</v>
      </c>
      <c r="AF173" s="4" t="s">
        <v>153</v>
      </c>
      <c r="AG173" s="4" t="s">
        <v>1159</v>
      </c>
      <c r="AH173" s="4">
        <v>1440</v>
      </c>
      <c r="AI173" s="4"/>
      <c r="AJ173" s="4" t="s">
        <v>1148</v>
      </c>
      <c r="AK173" s="4">
        <v>16.727</v>
      </c>
      <c r="AN173" s="4">
        <v>3</v>
      </c>
      <c r="AO173" s="4">
        <v>25</v>
      </c>
      <c r="AP173" s="4">
        <f t="shared" si="0"/>
        <v>28</v>
      </c>
      <c r="AQ173" s="4"/>
      <c r="AR173" s="4" t="s">
        <v>1207</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1165</v>
      </c>
      <c r="AF174" s="4" t="s">
        <v>153</v>
      </c>
      <c r="AG174" s="4" t="s">
        <v>1159</v>
      </c>
      <c r="AH174" s="4">
        <v>1440</v>
      </c>
      <c r="AI174" s="4"/>
      <c r="AJ174" s="4" t="s">
        <v>1148</v>
      </c>
      <c r="AK174" s="4">
        <v>20.683</v>
      </c>
      <c r="AN174" s="4">
        <v>3</v>
      </c>
      <c r="AO174" s="4">
        <v>25</v>
      </c>
      <c r="AP174" s="4">
        <f t="shared" si="0"/>
        <v>35</v>
      </c>
      <c r="AQ174" s="4"/>
      <c r="AR174" s="4" t="s">
        <v>1207</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1165</v>
      </c>
      <c r="AF175" s="4" t="s">
        <v>153</v>
      </c>
      <c r="AG175" s="4" t="s">
        <v>1159</v>
      </c>
      <c r="AH175" s="4">
        <v>1440</v>
      </c>
      <c r="AI175" s="4"/>
      <c r="AJ175" s="4" t="s">
        <v>1148</v>
      </c>
      <c r="AK175" s="4">
        <v>22.481999999999999</v>
      </c>
      <c r="AN175" s="4">
        <v>3</v>
      </c>
      <c r="AO175" s="4">
        <v>25</v>
      </c>
      <c r="AP175" s="4">
        <f t="shared" si="0"/>
        <v>42</v>
      </c>
      <c r="AQ175" s="4"/>
      <c r="AR175" s="4" t="s">
        <v>1207</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1165</v>
      </c>
      <c r="AF176" s="4" t="s">
        <v>153</v>
      </c>
      <c r="AG176" s="4" t="s">
        <v>1159</v>
      </c>
      <c r="AH176" s="4">
        <v>1440</v>
      </c>
      <c r="AI176" s="4"/>
      <c r="AJ176" s="4" t="s">
        <v>1148</v>
      </c>
      <c r="AK176" s="4">
        <v>41.546999999999997</v>
      </c>
      <c r="AN176" s="4">
        <v>3</v>
      </c>
      <c r="AO176" s="4">
        <v>25</v>
      </c>
      <c r="AP176" s="4">
        <f t="shared" si="0"/>
        <v>49</v>
      </c>
      <c r="AQ176" s="4"/>
      <c r="AR176" s="4" t="s">
        <v>1207</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1165</v>
      </c>
      <c r="AF177" s="4" t="s">
        <v>153</v>
      </c>
      <c r="AG177" s="4" t="s">
        <v>1159</v>
      </c>
      <c r="AH177" s="4">
        <v>1440</v>
      </c>
      <c r="AI177" s="4"/>
      <c r="AJ177" s="4" t="s">
        <v>1148</v>
      </c>
      <c r="AK177" s="4">
        <v>45.503999999999998</v>
      </c>
      <c r="AN177" s="4">
        <v>3</v>
      </c>
      <c r="AO177" s="4">
        <v>25</v>
      </c>
      <c r="AP177" s="4">
        <f t="shared" si="0"/>
        <v>56</v>
      </c>
      <c r="AQ177" s="4"/>
      <c r="AR177" s="4" t="s">
        <v>1207</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1165</v>
      </c>
      <c r="AF178" s="4" t="s">
        <v>153</v>
      </c>
      <c r="AG178" s="4" t="s">
        <v>1159</v>
      </c>
      <c r="AH178" s="4">
        <v>1440</v>
      </c>
      <c r="AI178" s="4"/>
      <c r="AJ178" s="4" t="s">
        <v>1148</v>
      </c>
      <c r="AK178" s="4">
        <v>49.82</v>
      </c>
      <c r="AN178" s="4">
        <v>3</v>
      </c>
      <c r="AO178" s="4">
        <v>25</v>
      </c>
      <c r="AP178" s="4">
        <f t="shared" si="0"/>
        <v>63</v>
      </c>
      <c r="AQ178" s="4"/>
      <c r="AR178" s="4" t="s">
        <v>1207</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1165</v>
      </c>
      <c r="AF179" s="4" t="s">
        <v>153</v>
      </c>
      <c r="AG179" s="4" t="s">
        <v>1159</v>
      </c>
      <c r="AH179" s="4">
        <v>1440</v>
      </c>
      <c r="AI179" s="4"/>
      <c r="AJ179" s="4" t="s">
        <v>1148</v>
      </c>
      <c r="AK179" s="4">
        <v>60.252000000000002</v>
      </c>
      <c r="AN179" s="4">
        <v>3</v>
      </c>
      <c r="AO179" s="4">
        <v>25</v>
      </c>
      <c r="AP179" s="4">
        <f t="shared" si="0"/>
        <v>70</v>
      </c>
      <c r="AQ179" s="4"/>
      <c r="AR179" s="4" t="s">
        <v>1207</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1165</v>
      </c>
      <c r="AF180" s="4" t="s">
        <v>153</v>
      </c>
      <c r="AG180" s="4" t="s">
        <v>1159</v>
      </c>
      <c r="AH180" s="4">
        <v>1440</v>
      </c>
      <c r="AI180" s="4"/>
      <c r="AJ180" s="4" t="s">
        <v>1148</v>
      </c>
      <c r="AK180" s="4">
        <v>63.128999999999998</v>
      </c>
      <c r="AN180" s="4">
        <v>3</v>
      </c>
      <c r="AO180" s="4">
        <v>25</v>
      </c>
      <c r="AP180" s="4">
        <f t="shared" si="0"/>
        <v>77</v>
      </c>
      <c r="AQ180" s="4"/>
      <c r="AR180" s="4" t="s">
        <v>1207</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1165</v>
      </c>
      <c r="AF181" s="4" t="s">
        <v>153</v>
      </c>
      <c r="AG181" s="4" t="s">
        <v>1159</v>
      </c>
      <c r="AH181" s="4">
        <v>1440</v>
      </c>
      <c r="AI181" s="4"/>
      <c r="AJ181" s="4" t="s">
        <v>1148</v>
      </c>
      <c r="AK181" s="4">
        <v>75.36</v>
      </c>
      <c r="AN181" s="4">
        <v>3</v>
      </c>
      <c r="AO181" s="4">
        <v>25</v>
      </c>
      <c r="AP181" s="4">
        <f t="shared" si="0"/>
        <v>84</v>
      </c>
      <c r="AQ181" s="4"/>
      <c r="AR181" s="4" t="s">
        <v>1207</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1165</v>
      </c>
      <c r="AF182" s="4" t="s">
        <v>153</v>
      </c>
      <c r="AG182" s="4" t="s">
        <v>1159</v>
      </c>
      <c r="AH182" s="4">
        <v>1440</v>
      </c>
      <c r="AI182" s="4"/>
      <c r="AJ182" s="4" t="s">
        <v>1148</v>
      </c>
      <c r="AK182" s="4">
        <v>83.632999999999996</v>
      </c>
      <c r="AN182" s="4">
        <v>3</v>
      </c>
      <c r="AO182" s="4">
        <v>25</v>
      </c>
      <c r="AP182" s="4">
        <f t="shared" si="0"/>
        <v>91</v>
      </c>
      <c r="AQ182" s="4"/>
      <c r="AR182" s="4" t="s">
        <v>1207</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1165</v>
      </c>
      <c r="AF183" s="4" t="s">
        <v>153</v>
      </c>
      <c r="AG183" s="4" t="s">
        <v>1159</v>
      </c>
      <c r="AH183" s="4">
        <v>1440</v>
      </c>
      <c r="AI183" s="4"/>
      <c r="AJ183" s="4" t="s">
        <v>1148</v>
      </c>
      <c r="AK183" s="4">
        <v>83.632999999999996</v>
      </c>
      <c r="AN183" s="4">
        <v>3</v>
      </c>
      <c r="AO183" s="4">
        <v>25</v>
      </c>
      <c r="AP183" s="4">
        <f t="shared" si="0"/>
        <v>98</v>
      </c>
      <c r="AQ183" s="4"/>
      <c r="AR183" s="4" t="s">
        <v>1207</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1165</v>
      </c>
      <c r="AF184" s="4" t="s">
        <v>153</v>
      </c>
      <c r="AG184" s="4" t="s">
        <v>1159</v>
      </c>
      <c r="AH184" s="4">
        <v>1440</v>
      </c>
      <c r="AI184" s="4"/>
      <c r="AJ184" s="4" t="s">
        <v>1148</v>
      </c>
      <c r="AK184" s="4">
        <v>83.632999999999996</v>
      </c>
      <c r="AN184" s="4">
        <v>3</v>
      </c>
      <c r="AO184" s="4">
        <v>25</v>
      </c>
      <c r="AP184" s="4">
        <f t="shared" si="0"/>
        <v>105</v>
      </c>
      <c r="AQ184" s="4"/>
      <c r="AR184" s="4" t="s">
        <v>1207</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1165</v>
      </c>
      <c r="AF185" s="4" t="s">
        <v>153</v>
      </c>
      <c r="AG185" s="4" t="s">
        <v>1159</v>
      </c>
      <c r="AH185" s="4">
        <v>1440</v>
      </c>
      <c r="AI185" s="4"/>
      <c r="AJ185" s="4" t="s">
        <v>1148</v>
      </c>
      <c r="AK185" s="4">
        <v>83.632999999999996</v>
      </c>
      <c r="AN185" s="4">
        <v>3</v>
      </c>
      <c r="AO185" s="4">
        <v>25</v>
      </c>
      <c r="AP185" s="4">
        <f t="shared" si="0"/>
        <v>112</v>
      </c>
      <c r="AQ185" s="4"/>
      <c r="AR185" s="4" t="s">
        <v>1207</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1165</v>
      </c>
      <c r="AF186" s="4" t="s">
        <v>153</v>
      </c>
      <c r="AG186" s="4" t="s">
        <v>1159</v>
      </c>
      <c r="AH186" s="4">
        <v>1440</v>
      </c>
      <c r="AI186" s="4"/>
      <c r="AJ186" s="4" t="s">
        <v>1148</v>
      </c>
      <c r="AK186" s="4">
        <v>92.986000000000004</v>
      </c>
      <c r="AN186" s="4">
        <v>3</v>
      </c>
      <c r="AO186" s="4">
        <v>25</v>
      </c>
      <c r="AP186" s="4">
        <f t="shared" si="0"/>
        <v>119</v>
      </c>
      <c r="AQ186" s="4"/>
      <c r="AR186" s="4" t="s">
        <v>1207</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1165</v>
      </c>
      <c r="AF187" s="4" t="s">
        <v>153</v>
      </c>
      <c r="AG187" s="4" t="s">
        <v>1159</v>
      </c>
      <c r="AH187" s="4">
        <v>1440</v>
      </c>
      <c r="AI187" s="4"/>
      <c r="AJ187" s="4" t="s">
        <v>1148</v>
      </c>
      <c r="AK187" s="4">
        <v>92.986000000000004</v>
      </c>
      <c r="AN187" s="4">
        <v>3</v>
      </c>
      <c r="AO187" s="4">
        <v>25</v>
      </c>
      <c r="AP187" s="4">
        <f t="shared" si="0"/>
        <v>126</v>
      </c>
      <c r="AQ187" s="4"/>
      <c r="AR187" s="4" t="s">
        <v>1207</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1165</v>
      </c>
      <c r="AF188" s="4" t="s">
        <v>153</v>
      </c>
      <c r="AG188" s="4" t="s">
        <v>1159</v>
      </c>
      <c r="AH188" s="4">
        <v>1440</v>
      </c>
      <c r="AI188" s="4"/>
      <c r="AJ188" s="4" t="s">
        <v>1148</v>
      </c>
      <c r="AK188" s="4">
        <v>92.986000000000004</v>
      </c>
      <c r="AN188" s="4">
        <v>3</v>
      </c>
      <c r="AO188" s="4">
        <v>25</v>
      </c>
      <c r="AP188" s="4">
        <f t="shared" si="0"/>
        <v>133</v>
      </c>
      <c r="AQ188" s="4"/>
      <c r="AR188" s="4" t="s">
        <v>1207</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1165</v>
      </c>
      <c r="AF189" s="4" t="s">
        <v>153</v>
      </c>
      <c r="AG189" s="4" t="s">
        <v>1159</v>
      </c>
      <c r="AH189" s="4">
        <v>1440</v>
      </c>
      <c r="AI189" s="4"/>
      <c r="AJ189" s="4" t="s">
        <v>1148</v>
      </c>
      <c r="AK189" s="4">
        <v>92.986000000000004</v>
      </c>
      <c r="AN189" s="4">
        <v>3</v>
      </c>
      <c r="AO189" s="4">
        <v>25</v>
      </c>
      <c r="AP189" s="4">
        <f t="shared" si="0"/>
        <v>140</v>
      </c>
      <c r="AQ189" s="4"/>
      <c r="AR189" s="4" t="s">
        <v>1207</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1165</v>
      </c>
      <c r="AF190" s="4" t="s">
        <v>153</v>
      </c>
      <c r="AG190" s="4" t="s">
        <v>1159</v>
      </c>
      <c r="AH190" s="4">
        <v>1440</v>
      </c>
      <c r="AI190" s="4"/>
      <c r="AJ190" s="4" t="s">
        <v>1148</v>
      </c>
      <c r="AK190" s="4">
        <v>93.344999999999999</v>
      </c>
      <c r="AN190" s="4">
        <v>3</v>
      </c>
      <c r="AO190" s="4">
        <v>25</v>
      </c>
      <c r="AP190" s="4">
        <f>AP189+7</f>
        <v>147</v>
      </c>
      <c r="AQ190" s="4"/>
      <c r="AR190" s="4" t="s">
        <v>1207</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1165</v>
      </c>
      <c r="AF191" s="4" t="s">
        <v>153</v>
      </c>
      <c r="AG191" s="4" t="s">
        <v>1159</v>
      </c>
      <c r="AH191" s="4">
        <v>1440</v>
      </c>
      <c r="AI191" s="4"/>
      <c r="AJ191" s="4" t="s">
        <v>1148</v>
      </c>
      <c r="AK191" s="4">
        <v>92.986000000000004</v>
      </c>
      <c r="AN191" s="4">
        <v>3</v>
      </c>
      <c r="AO191" s="4">
        <v>25</v>
      </c>
      <c r="AP191" s="4">
        <f t="shared" si="0"/>
        <v>154</v>
      </c>
      <c r="AQ191" s="4"/>
      <c r="AR191" s="4" t="s">
        <v>1207</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1165</v>
      </c>
      <c r="AF192" s="4" t="s">
        <v>153</v>
      </c>
      <c r="AG192" s="4" t="s">
        <v>1159</v>
      </c>
      <c r="AH192" s="4">
        <v>1440</v>
      </c>
      <c r="AI192" s="4"/>
      <c r="AJ192" s="4" t="s">
        <v>1148</v>
      </c>
      <c r="AK192" s="4">
        <v>92.986000000000004</v>
      </c>
      <c r="AN192" s="4">
        <v>3</v>
      </c>
      <c r="AO192" s="4">
        <v>25</v>
      </c>
      <c r="AP192" s="4">
        <f t="shared" si="0"/>
        <v>161</v>
      </c>
      <c r="AQ192" s="4"/>
      <c r="AR192" s="4" t="s">
        <v>1207</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1165</v>
      </c>
      <c r="AF193" s="4" t="s">
        <v>153</v>
      </c>
      <c r="AG193" s="4" t="s">
        <v>1159</v>
      </c>
      <c r="AH193" s="4">
        <v>1440</v>
      </c>
      <c r="AI193" s="4"/>
      <c r="AJ193" s="4" t="s">
        <v>1148</v>
      </c>
      <c r="AK193" s="4">
        <v>92.986000000000004</v>
      </c>
      <c r="AN193" s="4">
        <v>3</v>
      </c>
      <c r="AO193" s="4">
        <v>25</v>
      </c>
      <c r="AP193" s="4">
        <f t="shared" si="0"/>
        <v>168</v>
      </c>
      <c r="AQ193" s="4"/>
      <c r="AR193" s="4" t="s">
        <v>1207</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1165</v>
      </c>
      <c r="AF194" s="4" t="s">
        <v>153</v>
      </c>
      <c r="AG194" s="4" t="s">
        <v>1159</v>
      </c>
      <c r="AH194" s="4">
        <v>1440</v>
      </c>
      <c r="AI194" s="4"/>
      <c r="AJ194" s="4" t="s">
        <v>1148</v>
      </c>
      <c r="AK194" s="4">
        <v>0</v>
      </c>
      <c r="AN194" s="4">
        <v>3</v>
      </c>
      <c r="AO194" s="4">
        <v>25</v>
      </c>
      <c r="AP194" s="4">
        <v>7</v>
      </c>
      <c r="AQ194" s="4"/>
      <c r="AR194" s="4" t="s">
        <v>1207</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1165</v>
      </c>
      <c r="AF195" s="4" t="s">
        <v>153</v>
      </c>
      <c r="AG195" s="4" t="s">
        <v>1159</v>
      </c>
      <c r="AH195" s="4">
        <v>1440</v>
      </c>
      <c r="AI195" s="4"/>
      <c r="AJ195" s="4" t="s">
        <v>1148</v>
      </c>
      <c r="AK195" s="4">
        <v>7.734</v>
      </c>
      <c r="AN195" s="4">
        <v>3</v>
      </c>
      <c r="AO195" s="4">
        <v>25</v>
      </c>
      <c r="AP195" s="4">
        <f>AP194+7</f>
        <v>14</v>
      </c>
      <c r="AQ195" s="4"/>
      <c r="AR195" s="4" t="s">
        <v>1207</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1165</v>
      </c>
      <c r="AF196" s="4" t="s">
        <v>153</v>
      </c>
      <c r="AG196" s="4" t="s">
        <v>1159</v>
      </c>
      <c r="AH196" s="4">
        <v>1440</v>
      </c>
      <c r="AI196" s="4"/>
      <c r="AJ196" s="4" t="s">
        <v>1148</v>
      </c>
      <c r="AK196" s="4">
        <v>11.331</v>
      </c>
      <c r="AN196" s="4">
        <v>3</v>
      </c>
      <c r="AO196" s="4">
        <v>25</v>
      </c>
      <c r="AP196" s="4">
        <f t="shared" ref="AP196:AP217" si="1">AP195+7</f>
        <v>21</v>
      </c>
      <c r="AQ196" s="4"/>
      <c r="AR196" s="4" t="s">
        <v>1207</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1165</v>
      </c>
      <c r="AF197" s="4" t="s">
        <v>153</v>
      </c>
      <c r="AG197" s="4" t="s">
        <v>1159</v>
      </c>
      <c r="AH197" s="4">
        <v>1440</v>
      </c>
      <c r="AI197" s="4"/>
      <c r="AJ197" s="4" t="s">
        <v>1148</v>
      </c>
      <c r="AK197" s="4">
        <v>29.317</v>
      </c>
      <c r="AN197" s="4">
        <v>3</v>
      </c>
      <c r="AO197" s="4">
        <v>25</v>
      </c>
      <c r="AP197" s="4">
        <f t="shared" si="1"/>
        <v>28</v>
      </c>
      <c r="AQ197" s="4"/>
      <c r="AR197" s="4" t="s">
        <v>1207</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1165</v>
      </c>
      <c r="AF198" s="4" t="s">
        <v>153</v>
      </c>
      <c r="AG198" s="4" t="s">
        <v>1159</v>
      </c>
      <c r="AH198" s="4">
        <v>1440</v>
      </c>
      <c r="AI198" s="4"/>
      <c r="AJ198" s="4" t="s">
        <v>1148</v>
      </c>
      <c r="AK198" s="4">
        <v>34.712000000000003</v>
      </c>
      <c r="AN198" s="4">
        <v>3</v>
      </c>
      <c r="AO198" s="4">
        <v>25</v>
      </c>
      <c r="AP198" s="4">
        <f t="shared" si="1"/>
        <v>35</v>
      </c>
      <c r="AQ198" s="4"/>
      <c r="AR198" s="4" t="s">
        <v>1207</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1165</v>
      </c>
      <c r="AF199" s="4" t="s">
        <v>153</v>
      </c>
      <c r="AG199" s="4" t="s">
        <v>1159</v>
      </c>
      <c r="AH199" s="4">
        <v>1440</v>
      </c>
      <c r="AI199" s="4"/>
      <c r="AJ199" s="4" t="s">
        <v>1148</v>
      </c>
      <c r="AK199" s="4">
        <v>40.107999999999997</v>
      </c>
      <c r="AN199" s="4">
        <v>3</v>
      </c>
      <c r="AO199" s="4">
        <v>25</v>
      </c>
      <c r="AP199" s="4">
        <f t="shared" si="1"/>
        <v>42</v>
      </c>
      <c r="AQ199" s="4"/>
      <c r="AR199" s="4" t="s">
        <v>1207</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1165</v>
      </c>
      <c r="AF200" s="4" t="s">
        <v>153</v>
      </c>
      <c r="AG200" s="4" t="s">
        <v>1159</v>
      </c>
      <c r="AH200" s="4">
        <v>1440</v>
      </c>
      <c r="AI200" s="4"/>
      <c r="AJ200" s="4" t="s">
        <v>1148</v>
      </c>
      <c r="AK200" s="4">
        <v>62.05</v>
      </c>
      <c r="AN200" s="4">
        <v>3</v>
      </c>
      <c r="AO200" s="4">
        <v>25</v>
      </c>
      <c r="AP200" s="4">
        <f t="shared" si="1"/>
        <v>49</v>
      </c>
      <c r="AQ200" s="4"/>
      <c r="AR200" s="4" t="s">
        <v>1207</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1165</v>
      </c>
      <c r="AF201" s="4" t="s">
        <v>153</v>
      </c>
      <c r="AG201" s="4" t="s">
        <v>1159</v>
      </c>
      <c r="AH201" s="4">
        <v>1440</v>
      </c>
      <c r="AI201" s="4"/>
      <c r="AJ201" s="4" t="s">
        <v>1148</v>
      </c>
      <c r="AK201" s="4">
        <v>67.085999999999999</v>
      </c>
      <c r="AN201" s="4">
        <v>3</v>
      </c>
      <c r="AO201" s="4">
        <v>25</v>
      </c>
      <c r="AP201" s="4">
        <f t="shared" si="1"/>
        <v>56</v>
      </c>
      <c r="AQ201" s="4"/>
      <c r="AR201" s="4" t="s">
        <v>1207</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1165</v>
      </c>
      <c r="AF202" s="4" t="s">
        <v>153</v>
      </c>
      <c r="AG202" s="4" t="s">
        <v>1159</v>
      </c>
      <c r="AH202" s="4">
        <v>1440</v>
      </c>
      <c r="AI202" s="4"/>
      <c r="AJ202" s="4" t="s">
        <v>1148</v>
      </c>
      <c r="AK202" s="4">
        <v>69.963999999999999</v>
      </c>
      <c r="AN202" s="4">
        <v>3</v>
      </c>
      <c r="AO202" s="4">
        <v>25</v>
      </c>
      <c r="AP202" s="4">
        <f t="shared" si="1"/>
        <v>63</v>
      </c>
      <c r="AQ202" s="4"/>
      <c r="AR202" s="4" t="s">
        <v>1207</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1165</v>
      </c>
      <c r="AF203" s="4" t="s">
        <v>153</v>
      </c>
      <c r="AG203" s="4" t="s">
        <v>1159</v>
      </c>
      <c r="AH203" s="4">
        <v>1440</v>
      </c>
      <c r="AI203" s="4"/>
      <c r="AJ203" s="4" t="s">
        <v>1148</v>
      </c>
      <c r="AK203" s="4">
        <v>80.754999999999995</v>
      </c>
      <c r="AN203" s="4">
        <v>3</v>
      </c>
      <c r="AO203" s="4">
        <v>25</v>
      </c>
      <c r="AP203" s="4">
        <f t="shared" si="1"/>
        <v>70</v>
      </c>
      <c r="AQ203" s="4"/>
      <c r="AR203" s="4" t="s">
        <v>1207</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1165</v>
      </c>
      <c r="AF204" s="4" t="s">
        <v>153</v>
      </c>
      <c r="AG204" s="4" t="s">
        <v>1159</v>
      </c>
      <c r="AH204" s="4">
        <v>1440</v>
      </c>
      <c r="AI204" s="4"/>
      <c r="AJ204" s="4" t="s">
        <v>1148</v>
      </c>
      <c r="AK204" s="4">
        <v>80.754999999999995</v>
      </c>
      <c r="AN204" s="4">
        <v>3</v>
      </c>
      <c r="AO204" s="4">
        <v>25</v>
      </c>
      <c r="AP204" s="4">
        <f t="shared" si="1"/>
        <v>77</v>
      </c>
      <c r="AQ204" s="4"/>
      <c r="AR204" s="4" t="s">
        <v>1207</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1165</v>
      </c>
      <c r="AF205" s="4" t="s">
        <v>153</v>
      </c>
      <c r="AG205" s="4" t="s">
        <v>1159</v>
      </c>
      <c r="AH205" s="4">
        <v>1440</v>
      </c>
      <c r="AI205" s="4"/>
      <c r="AJ205" s="4" t="s">
        <v>1148</v>
      </c>
      <c r="AK205" s="4">
        <v>87.59</v>
      </c>
      <c r="AN205" s="4">
        <v>3</v>
      </c>
      <c r="AO205" s="4">
        <v>25</v>
      </c>
      <c r="AP205" s="4">
        <f t="shared" si="1"/>
        <v>84</v>
      </c>
      <c r="AQ205" s="4"/>
      <c r="AR205" s="4" t="s">
        <v>1207</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1165</v>
      </c>
      <c r="AF206" s="4" t="s">
        <v>153</v>
      </c>
      <c r="AG206" s="4" t="s">
        <v>1159</v>
      </c>
      <c r="AH206" s="4">
        <v>1440</v>
      </c>
      <c r="AI206" s="4"/>
      <c r="AJ206" s="4" t="s">
        <v>1148</v>
      </c>
      <c r="AK206" s="4">
        <v>90.468000000000004</v>
      </c>
      <c r="AN206" s="4">
        <v>3</v>
      </c>
      <c r="AO206" s="4">
        <v>25</v>
      </c>
      <c r="AP206" s="4">
        <f t="shared" si="1"/>
        <v>91</v>
      </c>
      <c r="AQ206" s="4"/>
      <c r="AR206" s="4" t="s">
        <v>1207</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1165</v>
      </c>
      <c r="AF207" s="4" t="s">
        <v>153</v>
      </c>
      <c r="AG207" s="4" t="s">
        <v>1159</v>
      </c>
      <c r="AH207" s="4">
        <v>1440</v>
      </c>
      <c r="AI207" s="4"/>
      <c r="AJ207" s="4" t="s">
        <v>1148</v>
      </c>
      <c r="AK207" s="4">
        <v>94.784000000000006</v>
      </c>
      <c r="AN207" s="4">
        <v>3</v>
      </c>
      <c r="AO207" s="4">
        <v>25</v>
      </c>
      <c r="AP207" s="4">
        <f t="shared" si="1"/>
        <v>98</v>
      </c>
      <c r="AQ207" s="4"/>
      <c r="AR207" s="4" t="s">
        <v>1207</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1165</v>
      </c>
      <c r="AF208" s="4" t="s">
        <v>153</v>
      </c>
      <c r="AG208" s="4" t="s">
        <v>1159</v>
      </c>
      <c r="AH208" s="4">
        <v>1440</v>
      </c>
      <c r="AI208" s="4"/>
      <c r="AJ208" s="4" t="s">
        <v>1148</v>
      </c>
      <c r="AK208" s="4">
        <v>94.424000000000007</v>
      </c>
      <c r="AN208" s="4">
        <v>3</v>
      </c>
      <c r="AO208" s="4">
        <v>25</v>
      </c>
      <c r="AP208" s="4">
        <f t="shared" si="1"/>
        <v>105</v>
      </c>
      <c r="AQ208" s="4"/>
      <c r="AR208" s="4" t="s">
        <v>1207</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1165</v>
      </c>
      <c r="AF209" s="4" t="s">
        <v>153</v>
      </c>
      <c r="AG209" s="4" t="s">
        <v>1159</v>
      </c>
      <c r="AH209" s="4">
        <v>1440</v>
      </c>
      <c r="AI209" s="4"/>
      <c r="AJ209" s="4" t="s">
        <v>1148</v>
      </c>
      <c r="AK209" s="4">
        <v>94.424000000000007</v>
      </c>
      <c r="AN209" s="4">
        <v>3</v>
      </c>
      <c r="AO209" s="4">
        <v>25</v>
      </c>
      <c r="AP209" s="4">
        <f t="shared" si="1"/>
        <v>112</v>
      </c>
      <c r="AQ209" s="4"/>
      <c r="AR209" s="4" t="s">
        <v>1207</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1165</v>
      </c>
      <c r="AF210" s="4" t="s">
        <v>153</v>
      </c>
      <c r="AG210" s="4" t="s">
        <v>1159</v>
      </c>
      <c r="AH210" s="4">
        <v>1440</v>
      </c>
      <c r="AI210" s="4"/>
      <c r="AJ210" s="4" t="s">
        <v>1148</v>
      </c>
      <c r="AK210" s="4">
        <v>99.82</v>
      </c>
      <c r="AN210" s="4">
        <v>3</v>
      </c>
      <c r="AO210" s="4">
        <v>25</v>
      </c>
      <c r="AP210" s="4">
        <f t="shared" si="1"/>
        <v>119</v>
      </c>
      <c r="AQ210" s="4"/>
      <c r="AR210" s="4" t="s">
        <v>1207</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1165</v>
      </c>
      <c r="AF211" s="4" t="s">
        <v>153</v>
      </c>
      <c r="AG211" s="4" t="s">
        <v>1159</v>
      </c>
      <c r="AH211" s="4">
        <v>1440</v>
      </c>
      <c r="AI211" s="4"/>
      <c r="AJ211" s="4" t="s">
        <v>1148</v>
      </c>
      <c r="AK211" s="4">
        <v>99.82</v>
      </c>
      <c r="AN211" s="4">
        <v>3</v>
      </c>
      <c r="AO211" s="4">
        <v>25</v>
      </c>
      <c r="AP211" s="4">
        <f t="shared" si="1"/>
        <v>126</v>
      </c>
      <c r="AQ211" s="4"/>
      <c r="AR211" s="4" t="s">
        <v>1207</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1165</v>
      </c>
      <c r="AF212" s="4" t="s">
        <v>153</v>
      </c>
      <c r="AG212" s="4" t="s">
        <v>1159</v>
      </c>
      <c r="AH212" s="4">
        <v>1440</v>
      </c>
      <c r="AI212" s="4"/>
      <c r="AJ212" s="4" t="s">
        <v>1148</v>
      </c>
      <c r="AK212" s="4">
        <v>99.82</v>
      </c>
      <c r="AN212" s="4">
        <v>3</v>
      </c>
      <c r="AO212" s="4">
        <v>25</v>
      </c>
      <c r="AP212" s="4">
        <f t="shared" si="1"/>
        <v>133</v>
      </c>
      <c r="AQ212" s="4"/>
      <c r="AR212" s="4" t="s">
        <v>1207</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1165</v>
      </c>
      <c r="AF213" s="4" t="s">
        <v>153</v>
      </c>
      <c r="AG213" s="4" t="s">
        <v>1159</v>
      </c>
      <c r="AH213" s="4">
        <v>1440</v>
      </c>
      <c r="AI213" s="4"/>
      <c r="AJ213" s="4" t="s">
        <v>1148</v>
      </c>
      <c r="AK213" s="4">
        <v>99.82</v>
      </c>
      <c r="AN213" s="4">
        <v>3</v>
      </c>
      <c r="AO213" s="4">
        <v>25</v>
      </c>
      <c r="AP213" s="4">
        <f t="shared" si="1"/>
        <v>140</v>
      </c>
      <c r="AQ213" s="4"/>
      <c r="AR213" s="4" t="s">
        <v>1207</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1165</v>
      </c>
      <c r="AF214" s="4" t="s">
        <v>153</v>
      </c>
      <c r="AG214" s="4" t="s">
        <v>1159</v>
      </c>
      <c r="AH214" s="4">
        <v>1440</v>
      </c>
      <c r="AI214" s="4"/>
      <c r="AJ214" s="4" t="s">
        <v>1148</v>
      </c>
      <c r="AK214" s="4">
        <v>99.82</v>
      </c>
      <c r="AN214" s="4">
        <v>3</v>
      </c>
      <c r="AO214" s="4">
        <v>25</v>
      </c>
      <c r="AP214" s="4">
        <f>AP213+7</f>
        <v>147</v>
      </c>
      <c r="AQ214" s="4"/>
      <c r="AR214" s="4" t="s">
        <v>1207</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1165</v>
      </c>
      <c r="AF215" s="4" t="s">
        <v>153</v>
      </c>
      <c r="AG215" s="4" t="s">
        <v>1159</v>
      </c>
      <c r="AH215" s="4">
        <v>1440</v>
      </c>
      <c r="AI215" s="4"/>
      <c r="AJ215" s="4" t="s">
        <v>1148</v>
      </c>
      <c r="AK215" s="4">
        <v>99.82</v>
      </c>
      <c r="AN215" s="4">
        <v>3</v>
      </c>
      <c r="AO215" s="4">
        <v>25</v>
      </c>
      <c r="AP215" s="4">
        <f t="shared" si="1"/>
        <v>154</v>
      </c>
      <c r="AQ215" s="4"/>
      <c r="AR215" s="4" t="s">
        <v>1207</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1165</v>
      </c>
      <c r="AF216" s="4" t="s">
        <v>153</v>
      </c>
      <c r="AG216" s="4" t="s">
        <v>1159</v>
      </c>
      <c r="AH216" s="4">
        <v>1440</v>
      </c>
      <c r="AI216" s="4"/>
      <c r="AJ216" s="4" t="s">
        <v>1148</v>
      </c>
      <c r="AK216" s="4">
        <v>99.82</v>
      </c>
      <c r="AN216" s="4">
        <v>3</v>
      </c>
      <c r="AO216" s="4">
        <v>25</v>
      </c>
      <c r="AP216" s="4">
        <f t="shared" si="1"/>
        <v>161</v>
      </c>
      <c r="AQ216" s="4"/>
      <c r="AR216" s="4" t="s">
        <v>1207</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1165</v>
      </c>
      <c r="AF217" s="4" t="s">
        <v>153</v>
      </c>
      <c r="AG217" s="4" t="s">
        <v>1159</v>
      </c>
      <c r="AH217" s="4">
        <v>1440</v>
      </c>
      <c r="AI217" s="4"/>
      <c r="AJ217" s="4" t="s">
        <v>1148</v>
      </c>
      <c r="AK217" s="4">
        <v>99.82</v>
      </c>
      <c r="AN217" s="4">
        <v>3</v>
      </c>
      <c r="AO217" s="4">
        <v>25</v>
      </c>
      <c r="AP217" s="4">
        <f t="shared" si="1"/>
        <v>168</v>
      </c>
      <c r="AQ217" s="4"/>
      <c r="AR217" s="4" t="s">
        <v>1207</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1165</v>
      </c>
      <c r="AF218" s="4" t="s">
        <v>153</v>
      </c>
      <c r="AG218" s="4" t="s">
        <v>1160</v>
      </c>
      <c r="AH218" s="4">
        <v>1440</v>
      </c>
      <c r="AI218" s="4"/>
      <c r="AJ218" s="4" t="s">
        <v>1148</v>
      </c>
      <c r="AK218" s="4">
        <v>0</v>
      </c>
      <c r="AN218" s="4">
        <v>3</v>
      </c>
      <c r="AO218" s="4">
        <v>25</v>
      </c>
      <c r="AP218" s="4">
        <v>7</v>
      </c>
      <c r="AQ218" s="4"/>
      <c r="AR218" s="4" t="s">
        <v>1207</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1165</v>
      </c>
      <c r="AF219" s="4" t="s">
        <v>153</v>
      </c>
      <c r="AG219" s="4" t="s">
        <v>1160</v>
      </c>
      <c r="AH219" s="4">
        <v>1440</v>
      </c>
      <c r="AI219" s="4"/>
      <c r="AJ219" s="4" t="s">
        <v>1148</v>
      </c>
      <c r="AK219" s="4">
        <v>0</v>
      </c>
      <c r="AN219" s="4">
        <v>3</v>
      </c>
      <c r="AO219" s="4">
        <v>25</v>
      </c>
      <c r="AP219" s="4">
        <f>AP218+7</f>
        <v>14</v>
      </c>
      <c r="AQ219" s="4"/>
      <c r="AR219" s="4" t="s">
        <v>1207</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1165</v>
      </c>
      <c r="AF220" s="4" t="s">
        <v>153</v>
      </c>
      <c r="AG220" s="4" t="s">
        <v>1160</v>
      </c>
      <c r="AH220" s="4">
        <v>1440</v>
      </c>
      <c r="AI220" s="4"/>
      <c r="AJ220" s="4" t="s">
        <v>1148</v>
      </c>
      <c r="AK220" s="4">
        <v>1.6419999999999999</v>
      </c>
      <c r="AN220" s="4">
        <v>3</v>
      </c>
      <c r="AO220" s="4">
        <v>25</v>
      </c>
      <c r="AP220" s="4">
        <f t="shared" ref="AP220:AP237" si="2">AP219+7</f>
        <v>21</v>
      </c>
      <c r="AQ220" s="4"/>
      <c r="AR220" s="4" t="s">
        <v>1207</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1165</v>
      </c>
      <c r="AF221" s="4" t="s">
        <v>153</v>
      </c>
      <c r="AG221" s="4" t="s">
        <v>1160</v>
      </c>
      <c r="AH221" s="4">
        <v>1440</v>
      </c>
      <c r="AI221" s="4"/>
      <c r="AJ221" s="4" t="s">
        <v>1148</v>
      </c>
      <c r="AK221" s="4">
        <v>4.5620000000000003</v>
      </c>
      <c r="AN221" s="4">
        <v>3</v>
      </c>
      <c r="AO221" s="4">
        <v>25</v>
      </c>
      <c r="AP221" s="4">
        <f t="shared" si="2"/>
        <v>28</v>
      </c>
      <c r="AQ221" s="4"/>
      <c r="AR221" s="4" t="s">
        <v>1207</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1165</v>
      </c>
      <c r="AF222" s="4" t="s">
        <v>153</v>
      </c>
      <c r="AG222" s="4" t="s">
        <v>1160</v>
      </c>
      <c r="AH222" s="4">
        <v>1440</v>
      </c>
      <c r="AI222" s="4"/>
      <c r="AJ222" s="4" t="s">
        <v>1148</v>
      </c>
      <c r="AK222" s="4">
        <v>6.0220000000000002</v>
      </c>
      <c r="AN222" s="4">
        <v>3</v>
      </c>
      <c r="AO222" s="4">
        <v>25</v>
      </c>
      <c r="AP222" s="4">
        <f t="shared" si="2"/>
        <v>35</v>
      </c>
      <c r="AQ222" s="4"/>
      <c r="AR222" s="4" t="s">
        <v>1207</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1165</v>
      </c>
      <c r="AF223" s="4" t="s">
        <v>153</v>
      </c>
      <c r="AG223" s="4" t="s">
        <v>1160</v>
      </c>
      <c r="AH223" s="4">
        <v>1440</v>
      </c>
      <c r="AI223" s="4"/>
      <c r="AJ223" s="4" t="s">
        <v>1148</v>
      </c>
      <c r="AK223" s="4">
        <v>8.577</v>
      </c>
      <c r="AN223" s="4">
        <v>3</v>
      </c>
      <c r="AO223" s="4">
        <v>25</v>
      </c>
      <c r="AP223" s="4">
        <f t="shared" si="2"/>
        <v>42</v>
      </c>
      <c r="AQ223" s="4"/>
      <c r="AR223" s="4" t="s">
        <v>1207</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1165</v>
      </c>
      <c r="AF224" s="4" t="s">
        <v>153</v>
      </c>
      <c r="AG224" s="4" t="s">
        <v>1160</v>
      </c>
      <c r="AH224" s="4">
        <v>1440</v>
      </c>
      <c r="AI224" s="4"/>
      <c r="AJ224" s="4" t="s">
        <v>1148</v>
      </c>
      <c r="AK224" s="4">
        <v>15.146000000000001</v>
      </c>
      <c r="AN224" s="4">
        <v>3</v>
      </c>
      <c r="AO224" s="4">
        <v>25</v>
      </c>
      <c r="AP224" s="4">
        <f t="shared" si="2"/>
        <v>49</v>
      </c>
      <c r="AQ224" s="4"/>
      <c r="AR224" s="4" t="s">
        <v>1207</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1165</v>
      </c>
      <c r="AF225" s="4" t="s">
        <v>153</v>
      </c>
      <c r="AG225" s="4" t="s">
        <v>1160</v>
      </c>
      <c r="AH225" s="4">
        <v>1440</v>
      </c>
      <c r="AI225" s="4"/>
      <c r="AJ225" s="4" t="s">
        <v>1148</v>
      </c>
      <c r="AK225" s="4">
        <v>16.971</v>
      </c>
      <c r="AN225" s="4">
        <v>3</v>
      </c>
      <c r="AO225" s="4">
        <v>25</v>
      </c>
      <c r="AP225" s="4">
        <f t="shared" si="2"/>
        <v>56</v>
      </c>
      <c r="AQ225" s="4"/>
      <c r="AR225" s="4" t="s">
        <v>1207</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1165</v>
      </c>
      <c r="AF226" s="4" t="s">
        <v>153</v>
      </c>
      <c r="AG226" s="4" t="s">
        <v>1160</v>
      </c>
      <c r="AH226" s="4">
        <v>1440</v>
      </c>
      <c r="AI226" s="4"/>
      <c r="AJ226" s="4" t="s">
        <v>1148</v>
      </c>
      <c r="AK226" s="4">
        <v>16.971</v>
      </c>
      <c r="AN226" s="4">
        <v>3</v>
      </c>
      <c r="AO226" s="4">
        <v>25</v>
      </c>
      <c r="AP226" s="4">
        <f t="shared" si="2"/>
        <v>63</v>
      </c>
      <c r="AQ226" s="4"/>
      <c r="AR226" s="4" t="s">
        <v>1207</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1165</v>
      </c>
      <c r="AF227" s="4" t="s">
        <v>153</v>
      </c>
      <c r="AG227" s="4" t="s">
        <v>1160</v>
      </c>
      <c r="AH227" s="4">
        <v>1440</v>
      </c>
      <c r="AI227" s="4"/>
      <c r="AJ227" s="4" t="s">
        <v>1148</v>
      </c>
      <c r="AK227" s="4">
        <v>18.065999999999999</v>
      </c>
      <c r="AN227" s="4">
        <v>3</v>
      </c>
      <c r="AO227" s="4">
        <v>25</v>
      </c>
      <c r="AP227" s="4">
        <f t="shared" si="2"/>
        <v>70</v>
      </c>
      <c r="AQ227" s="4"/>
      <c r="AR227" s="4" t="s">
        <v>1207</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1165</v>
      </c>
      <c r="AF228" s="4" t="s">
        <v>153</v>
      </c>
      <c r="AG228" s="4" t="s">
        <v>1160</v>
      </c>
      <c r="AH228" s="4">
        <v>1440</v>
      </c>
      <c r="AI228" s="4"/>
      <c r="AJ228" s="4" t="s">
        <v>1148</v>
      </c>
      <c r="AK228" s="4">
        <v>18.065999999999999</v>
      </c>
      <c r="AN228" s="4">
        <v>3</v>
      </c>
      <c r="AO228" s="4">
        <v>25</v>
      </c>
      <c r="AP228" s="4">
        <f t="shared" si="2"/>
        <v>77</v>
      </c>
      <c r="AQ228" s="4"/>
      <c r="AR228" s="4" t="s">
        <v>1207</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1165</v>
      </c>
      <c r="AF229" s="4" t="s">
        <v>153</v>
      </c>
      <c r="AG229" s="4" t="s">
        <v>1160</v>
      </c>
      <c r="AH229" s="4">
        <v>1440</v>
      </c>
      <c r="AI229" s="4"/>
      <c r="AJ229" s="4" t="s">
        <v>1148</v>
      </c>
      <c r="AK229" s="4">
        <v>26.46</v>
      </c>
      <c r="AN229" s="4">
        <v>3</v>
      </c>
      <c r="AO229" s="4">
        <v>25</v>
      </c>
      <c r="AP229" s="4">
        <f t="shared" si="2"/>
        <v>84</v>
      </c>
      <c r="AQ229" s="4"/>
      <c r="AR229" s="4" t="s">
        <v>1207</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1165</v>
      </c>
      <c r="AF230" s="4" t="s">
        <v>153</v>
      </c>
      <c r="AG230" s="4" t="s">
        <v>1160</v>
      </c>
      <c r="AH230" s="4">
        <v>1440</v>
      </c>
      <c r="AI230" s="4"/>
      <c r="AJ230" s="4" t="s">
        <v>1148</v>
      </c>
      <c r="AK230" s="4">
        <v>41.423000000000002</v>
      </c>
      <c r="AN230" s="4">
        <v>3</v>
      </c>
      <c r="AO230" s="4">
        <v>25</v>
      </c>
      <c r="AP230" s="4">
        <f t="shared" si="2"/>
        <v>91</v>
      </c>
      <c r="AQ230" s="4"/>
      <c r="AR230" s="4" t="s">
        <v>1207</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1165</v>
      </c>
      <c r="AF231" s="4" t="s">
        <v>153</v>
      </c>
      <c r="AG231" s="4" t="s">
        <v>1160</v>
      </c>
      <c r="AH231" s="4">
        <v>1440</v>
      </c>
      <c r="AI231" s="4"/>
      <c r="AJ231" s="4" t="s">
        <v>1148</v>
      </c>
      <c r="AK231" s="4">
        <v>46.898000000000003</v>
      </c>
      <c r="AN231" s="4">
        <v>3</v>
      </c>
      <c r="AO231" s="4">
        <v>25</v>
      </c>
      <c r="AP231" s="4">
        <f t="shared" si="2"/>
        <v>98</v>
      </c>
      <c r="AQ231" s="4"/>
      <c r="AR231" s="4" t="s">
        <v>1207</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1165</v>
      </c>
      <c r="AF232" s="4" t="s">
        <v>153</v>
      </c>
      <c r="AG232" s="4" t="s">
        <v>1160</v>
      </c>
      <c r="AH232" s="4">
        <v>1440</v>
      </c>
      <c r="AI232" s="4"/>
      <c r="AJ232" s="4" t="s">
        <v>1148</v>
      </c>
      <c r="AK232" s="4">
        <v>48.357999999999997</v>
      </c>
      <c r="AN232" s="4">
        <v>3</v>
      </c>
      <c r="AO232" s="4">
        <v>25</v>
      </c>
      <c r="AP232" s="4">
        <f t="shared" si="2"/>
        <v>105</v>
      </c>
      <c r="AQ232" s="4"/>
      <c r="AR232" s="4" t="s">
        <v>1207</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1165</v>
      </c>
      <c r="AF233" s="4" t="s">
        <v>153</v>
      </c>
      <c r="AG233" s="4" t="s">
        <v>1160</v>
      </c>
      <c r="AH233" s="4">
        <v>1440</v>
      </c>
      <c r="AI233" s="4"/>
      <c r="AJ233" s="4" t="s">
        <v>1148</v>
      </c>
      <c r="AK233" s="4">
        <v>47.993000000000002</v>
      </c>
      <c r="AN233" s="4">
        <v>3</v>
      </c>
      <c r="AO233" s="4">
        <v>25</v>
      </c>
      <c r="AP233" s="4">
        <f t="shared" si="2"/>
        <v>112</v>
      </c>
      <c r="AQ233" s="4"/>
      <c r="AR233" s="4" t="s">
        <v>1207</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1165</v>
      </c>
      <c r="AF234" s="4" t="s">
        <v>153</v>
      </c>
      <c r="AG234" s="4" t="s">
        <v>1160</v>
      </c>
      <c r="AH234" s="4">
        <v>1440</v>
      </c>
      <c r="AI234" s="4"/>
      <c r="AJ234" s="4" t="s">
        <v>1148</v>
      </c>
      <c r="AK234" s="4">
        <v>48.357999999999997</v>
      </c>
      <c r="AN234" s="4">
        <v>3</v>
      </c>
      <c r="AO234" s="4">
        <v>25</v>
      </c>
      <c r="AP234" s="4">
        <f t="shared" si="2"/>
        <v>119</v>
      </c>
      <c r="AQ234" s="4"/>
      <c r="AR234" s="4" t="s">
        <v>1207</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1165</v>
      </c>
      <c r="AF235" s="4" t="s">
        <v>153</v>
      </c>
      <c r="AG235" s="4" t="s">
        <v>1160</v>
      </c>
      <c r="AH235" s="4">
        <v>1440</v>
      </c>
      <c r="AI235" s="4"/>
      <c r="AJ235" s="4" t="s">
        <v>1148</v>
      </c>
      <c r="AK235" s="4">
        <v>52.372</v>
      </c>
      <c r="AN235" s="4">
        <v>3</v>
      </c>
      <c r="AO235" s="4">
        <v>25</v>
      </c>
      <c r="AP235" s="4">
        <f t="shared" si="2"/>
        <v>126</v>
      </c>
      <c r="AQ235" s="4"/>
      <c r="AR235" s="4" t="s">
        <v>1207</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1165</v>
      </c>
      <c r="AF236" s="4" t="s">
        <v>153</v>
      </c>
      <c r="AG236" s="4" t="s">
        <v>1160</v>
      </c>
      <c r="AH236" s="4">
        <v>1440</v>
      </c>
      <c r="AI236" s="4"/>
      <c r="AJ236" s="4" t="s">
        <v>1148</v>
      </c>
      <c r="AK236" s="4">
        <v>64.415999999999997</v>
      </c>
      <c r="AN236" s="4">
        <v>3</v>
      </c>
      <c r="AO236" s="4">
        <v>25</v>
      </c>
      <c r="AP236" s="4">
        <f t="shared" si="2"/>
        <v>133</v>
      </c>
      <c r="AQ236" s="4"/>
      <c r="AR236" s="4" t="s">
        <v>1207</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1165</v>
      </c>
      <c r="AF237" s="4" t="s">
        <v>153</v>
      </c>
      <c r="AG237" s="4" t="s">
        <v>1160</v>
      </c>
      <c r="AH237" s="4">
        <v>1440</v>
      </c>
      <c r="AI237" s="4"/>
      <c r="AJ237" s="4" t="s">
        <v>1148</v>
      </c>
      <c r="AK237" s="4">
        <v>73.905000000000001</v>
      </c>
      <c r="AN237" s="4">
        <v>3</v>
      </c>
      <c r="AO237" s="4">
        <v>25</v>
      </c>
      <c r="AP237" s="4">
        <f t="shared" si="2"/>
        <v>140</v>
      </c>
      <c r="AQ237" s="4"/>
      <c r="AR237" s="4" t="s">
        <v>1207</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1165</v>
      </c>
      <c r="AF238" s="4" t="s">
        <v>153</v>
      </c>
      <c r="AG238" s="4" t="s">
        <v>1160</v>
      </c>
      <c r="AH238" s="4">
        <v>1440</v>
      </c>
      <c r="AI238" s="4"/>
      <c r="AJ238" s="4" t="s">
        <v>1148</v>
      </c>
      <c r="AK238" s="4">
        <v>80.838999999999999</v>
      </c>
      <c r="AN238" s="4">
        <v>3</v>
      </c>
      <c r="AO238" s="4">
        <v>25</v>
      </c>
      <c r="AP238" s="4">
        <f>AP237+7</f>
        <v>147</v>
      </c>
      <c r="AQ238" s="4"/>
      <c r="AR238" s="4" t="s">
        <v>1207</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1165</v>
      </c>
      <c r="AF239" s="4" t="s">
        <v>153</v>
      </c>
      <c r="AG239" s="4" t="s">
        <v>1160</v>
      </c>
      <c r="AH239" s="4">
        <v>1440</v>
      </c>
      <c r="AI239" s="4"/>
      <c r="AJ239" s="4" t="s">
        <v>1148</v>
      </c>
      <c r="AK239" s="4">
        <v>81.933999999999997</v>
      </c>
      <c r="AN239" s="4">
        <v>3</v>
      </c>
      <c r="AO239" s="4">
        <v>25</v>
      </c>
      <c r="AP239" s="4">
        <f t="shared" ref="AP239:AP241" si="3">AP238+7</f>
        <v>154</v>
      </c>
      <c r="AQ239" s="4"/>
      <c r="AR239" s="4" t="s">
        <v>1207</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1165</v>
      </c>
      <c r="AF240" s="4" t="s">
        <v>153</v>
      </c>
      <c r="AG240" s="4" t="s">
        <v>1160</v>
      </c>
      <c r="AH240" s="4">
        <v>1440</v>
      </c>
      <c r="AI240" s="4"/>
      <c r="AJ240" s="4" t="s">
        <v>1148</v>
      </c>
      <c r="AK240" s="4">
        <v>85.218999999999994</v>
      </c>
      <c r="AN240" s="4">
        <v>3</v>
      </c>
      <c r="AO240" s="4">
        <v>25</v>
      </c>
      <c r="AP240" s="4">
        <f t="shared" si="3"/>
        <v>161</v>
      </c>
      <c r="AQ240" s="4"/>
      <c r="AR240" s="4" t="s">
        <v>1207</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1165</v>
      </c>
      <c r="AF241" s="4" t="s">
        <v>153</v>
      </c>
      <c r="AG241" s="4" t="s">
        <v>1160</v>
      </c>
      <c r="AH241" s="4">
        <v>1440</v>
      </c>
      <c r="AI241" s="4"/>
      <c r="AJ241" s="4" t="s">
        <v>1148</v>
      </c>
      <c r="AK241" s="4">
        <v>88.869</v>
      </c>
      <c r="AN241" s="4">
        <v>3</v>
      </c>
      <c r="AO241" s="4">
        <v>25</v>
      </c>
      <c r="AP241" s="4">
        <f t="shared" si="3"/>
        <v>168</v>
      </c>
      <c r="AQ241" s="4"/>
      <c r="AR241" s="4" t="s">
        <v>1207</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1165</v>
      </c>
      <c r="AF242" s="4" t="s">
        <v>153</v>
      </c>
      <c r="AG242" s="4" t="s">
        <v>1159</v>
      </c>
      <c r="AH242" s="4">
        <v>1440</v>
      </c>
      <c r="AI242" s="4"/>
      <c r="AJ242" s="4" t="s">
        <v>1148</v>
      </c>
      <c r="AK242" s="4">
        <v>0</v>
      </c>
      <c r="AN242" s="4">
        <v>3</v>
      </c>
      <c r="AO242" s="4">
        <v>25</v>
      </c>
      <c r="AP242" s="4">
        <v>7</v>
      </c>
      <c r="AQ242" s="4"/>
      <c r="AR242" s="4" t="s">
        <v>1207</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1165</v>
      </c>
      <c r="AF243" s="4" t="s">
        <v>153</v>
      </c>
      <c r="AG243" s="4" t="s">
        <v>1159</v>
      </c>
      <c r="AH243" s="4">
        <v>1440</v>
      </c>
      <c r="AI243" s="4"/>
      <c r="AJ243" s="4" t="s">
        <v>1148</v>
      </c>
      <c r="AK243" s="4">
        <v>14.051</v>
      </c>
      <c r="AN243" s="4">
        <v>3</v>
      </c>
      <c r="AO243" s="4">
        <v>25</v>
      </c>
      <c r="AP243" s="4">
        <f>AP242+7</f>
        <v>14</v>
      </c>
      <c r="AQ243" s="4"/>
      <c r="AR243" s="4" t="s">
        <v>1207</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1165</v>
      </c>
      <c r="AF244" s="4" t="s">
        <v>153</v>
      </c>
      <c r="AG244" s="4" t="s">
        <v>1159</v>
      </c>
      <c r="AH244" s="4">
        <v>1440</v>
      </c>
      <c r="AI244" s="4"/>
      <c r="AJ244" s="4" t="s">
        <v>1148</v>
      </c>
      <c r="AK244" s="4">
        <v>26.46</v>
      </c>
      <c r="AN244" s="4">
        <v>3</v>
      </c>
      <c r="AO244" s="4">
        <v>25</v>
      </c>
      <c r="AP244" s="4">
        <f t="shared" ref="AP244:AP261" si="4">AP243+7</f>
        <v>21</v>
      </c>
      <c r="AQ244" s="4"/>
      <c r="AR244" s="4" t="s">
        <v>1207</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1165</v>
      </c>
      <c r="AF245" s="4" t="s">
        <v>153</v>
      </c>
      <c r="AG245" s="4" t="s">
        <v>1159</v>
      </c>
      <c r="AH245" s="4">
        <v>1440</v>
      </c>
      <c r="AI245" s="4"/>
      <c r="AJ245" s="4" t="s">
        <v>1148</v>
      </c>
      <c r="AK245" s="4">
        <v>35.948999999999998</v>
      </c>
      <c r="AN245" s="4">
        <v>3</v>
      </c>
      <c r="AO245" s="4">
        <v>25</v>
      </c>
      <c r="AP245" s="4">
        <f t="shared" si="4"/>
        <v>28</v>
      </c>
      <c r="AQ245" s="4"/>
      <c r="AR245" s="4" t="s">
        <v>1207</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1165</v>
      </c>
      <c r="AF246" s="4" t="s">
        <v>153</v>
      </c>
      <c r="AG246" s="4" t="s">
        <v>1159</v>
      </c>
      <c r="AH246" s="4">
        <v>1440</v>
      </c>
      <c r="AI246" s="4"/>
      <c r="AJ246" s="4" t="s">
        <v>1148</v>
      </c>
      <c r="AK246" s="4">
        <v>41.423000000000002</v>
      </c>
      <c r="AN246" s="4">
        <v>3</v>
      </c>
      <c r="AO246" s="4">
        <v>25</v>
      </c>
      <c r="AP246" s="4">
        <f t="shared" si="4"/>
        <v>35</v>
      </c>
      <c r="AQ246" s="4"/>
      <c r="AR246" s="4" t="s">
        <v>1207</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1165</v>
      </c>
      <c r="AF247" s="4" t="s">
        <v>153</v>
      </c>
      <c r="AG247" s="4" t="s">
        <v>1159</v>
      </c>
      <c r="AH247" s="4">
        <v>1440</v>
      </c>
      <c r="AI247" s="4"/>
      <c r="AJ247" s="4" t="s">
        <v>1148</v>
      </c>
      <c r="AK247" s="4">
        <v>41.423000000000002</v>
      </c>
      <c r="AN247" s="4">
        <v>3</v>
      </c>
      <c r="AO247" s="4">
        <v>25</v>
      </c>
      <c r="AP247" s="4">
        <f t="shared" si="4"/>
        <v>42</v>
      </c>
      <c r="AQ247" s="4"/>
      <c r="AR247" s="4" t="s">
        <v>1207</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1165</v>
      </c>
      <c r="AF248" s="4" t="s">
        <v>153</v>
      </c>
      <c r="AG248" s="4" t="s">
        <v>1159</v>
      </c>
      <c r="AH248" s="4">
        <v>1440</v>
      </c>
      <c r="AI248" s="4"/>
      <c r="AJ248" s="4" t="s">
        <v>1148</v>
      </c>
      <c r="AK248" s="4">
        <v>48.357999999999997</v>
      </c>
      <c r="AN248" s="4">
        <v>3</v>
      </c>
      <c r="AO248" s="4">
        <v>25</v>
      </c>
      <c r="AP248" s="4">
        <f t="shared" si="4"/>
        <v>49</v>
      </c>
      <c r="AQ248" s="4"/>
      <c r="AR248" s="4" t="s">
        <v>1207</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1165</v>
      </c>
      <c r="AF249" s="4" t="s">
        <v>153</v>
      </c>
      <c r="AG249" s="4" t="s">
        <v>1159</v>
      </c>
      <c r="AH249" s="4">
        <v>1440</v>
      </c>
      <c r="AI249" s="4"/>
      <c r="AJ249" s="4" t="s">
        <v>1148</v>
      </c>
      <c r="AK249" s="4">
        <v>60.401000000000003</v>
      </c>
      <c r="AN249" s="4">
        <v>3</v>
      </c>
      <c r="AO249" s="4">
        <v>25</v>
      </c>
      <c r="AP249" s="4">
        <f t="shared" si="4"/>
        <v>56</v>
      </c>
      <c r="AQ249" s="4"/>
      <c r="AR249" s="4" t="s">
        <v>1207</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1165</v>
      </c>
      <c r="AF250" s="4" t="s">
        <v>153</v>
      </c>
      <c r="AG250" s="4" t="s">
        <v>1159</v>
      </c>
      <c r="AH250" s="4">
        <v>1440</v>
      </c>
      <c r="AI250" s="4"/>
      <c r="AJ250" s="4" t="s">
        <v>1148</v>
      </c>
      <c r="AK250" s="4">
        <v>61.860999999999997</v>
      </c>
      <c r="AN250" s="4">
        <v>3</v>
      </c>
      <c r="AO250" s="4">
        <v>25</v>
      </c>
      <c r="AP250" s="4">
        <f t="shared" si="4"/>
        <v>63</v>
      </c>
      <c r="AQ250" s="4"/>
      <c r="AR250" s="4" t="s">
        <v>1207</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1165</v>
      </c>
      <c r="AF251" s="4" t="s">
        <v>153</v>
      </c>
      <c r="AG251" s="4" t="s">
        <v>1159</v>
      </c>
      <c r="AH251" s="4">
        <v>1440</v>
      </c>
      <c r="AI251" s="4"/>
      <c r="AJ251" s="4" t="s">
        <v>1148</v>
      </c>
      <c r="AK251" s="4">
        <v>62.956000000000003</v>
      </c>
      <c r="AN251" s="4">
        <v>3</v>
      </c>
      <c r="AO251" s="4">
        <v>25</v>
      </c>
      <c r="AP251" s="4">
        <f t="shared" si="4"/>
        <v>70</v>
      </c>
      <c r="AQ251" s="4"/>
      <c r="AR251" s="4" t="s">
        <v>1207</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1165</v>
      </c>
      <c r="AF252" s="4" t="s">
        <v>153</v>
      </c>
      <c r="AG252" s="4" t="s">
        <v>1159</v>
      </c>
      <c r="AH252" s="4">
        <v>1440</v>
      </c>
      <c r="AI252" s="4"/>
      <c r="AJ252" s="4" t="s">
        <v>1148</v>
      </c>
      <c r="AK252" s="4">
        <v>64.415999999999997</v>
      </c>
      <c r="AN252" s="4">
        <v>3</v>
      </c>
      <c r="AO252" s="4">
        <v>25</v>
      </c>
      <c r="AP252" s="4">
        <f t="shared" si="4"/>
        <v>77</v>
      </c>
      <c r="AQ252" s="4"/>
      <c r="AR252" s="4" t="s">
        <v>1207</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1165</v>
      </c>
      <c r="AF253" s="4" t="s">
        <v>153</v>
      </c>
      <c r="AG253" s="4" t="s">
        <v>1159</v>
      </c>
      <c r="AH253" s="4">
        <v>1440</v>
      </c>
      <c r="AI253" s="4"/>
      <c r="AJ253" s="4" t="s">
        <v>1148</v>
      </c>
      <c r="AK253" s="4">
        <v>70.984999999999999</v>
      </c>
      <c r="AN253" s="4">
        <v>3</v>
      </c>
      <c r="AO253" s="4">
        <v>25</v>
      </c>
      <c r="AP253" s="4">
        <f t="shared" si="4"/>
        <v>84</v>
      </c>
      <c r="AQ253" s="4"/>
      <c r="AR253" s="4" t="s">
        <v>1207</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1165</v>
      </c>
      <c r="AF254" s="4" t="s">
        <v>153</v>
      </c>
      <c r="AG254" s="4" t="s">
        <v>1159</v>
      </c>
      <c r="AH254" s="4">
        <v>1440</v>
      </c>
      <c r="AI254" s="4"/>
      <c r="AJ254" s="4" t="s">
        <v>1148</v>
      </c>
      <c r="AK254" s="4">
        <v>76.825000000000003</v>
      </c>
      <c r="AN254" s="4">
        <v>3</v>
      </c>
      <c r="AO254" s="4">
        <v>25</v>
      </c>
      <c r="AP254" s="4">
        <f t="shared" si="4"/>
        <v>91</v>
      </c>
      <c r="AQ254" s="4"/>
      <c r="AR254" s="4" t="s">
        <v>1207</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1165</v>
      </c>
      <c r="AF255" s="4" t="s">
        <v>153</v>
      </c>
      <c r="AG255" s="4" t="s">
        <v>1159</v>
      </c>
      <c r="AH255" s="4">
        <v>1440</v>
      </c>
      <c r="AI255" s="4"/>
      <c r="AJ255" s="4" t="s">
        <v>1148</v>
      </c>
      <c r="AK255" s="4">
        <v>80.838999999999999</v>
      </c>
      <c r="AN255" s="4">
        <v>3</v>
      </c>
      <c r="AO255" s="4">
        <v>25</v>
      </c>
      <c r="AP255" s="4">
        <f t="shared" si="4"/>
        <v>98</v>
      </c>
      <c r="AQ255" s="4"/>
      <c r="AR255" s="4" t="s">
        <v>1207</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1165</v>
      </c>
      <c r="AF256" s="4" t="s">
        <v>153</v>
      </c>
      <c r="AG256" s="4" t="s">
        <v>1159</v>
      </c>
      <c r="AH256" s="4">
        <v>1440</v>
      </c>
      <c r="AI256" s="4"/>
      <c r="AJ256" s="4" t="s">
        <v>1148</v>
      </c>
      <c r="AK256" s="4">
        <v>80.474000000000004</v>
      </c>
      <c r="AN256" s="4">
        <v>3</v>
      </c>
      <c r="AO256" s="4">
        <v>25</v>
      </c>
      <c r="AP256" s="4">
        <f t="shared" si="4"/>
        <v>105</v>
      </c>
      <c r="AQ256" s="4"/>
      <c r="AR256" s="4" t="s">
        <v>1207</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1165</v>
      </c>
      <c r="AF257" s="4" t="s">
        <v>153</v>
      </c>
      <c r="AG257" s="4" t="s">
        <v>1159</v>
      </c>
      <c r="AH257" s="4">
        <v>1440</v>
      </c>
      <c r="AI257" s="4"/>
      <c r="AJ257" s="4" t="s">
        <v>1148</v>
      </c>
      <c r="AK257" s="4">
        <v>80.838999999999999</v>
      </c>
      <c r="AN257" s="4">
        <v>3</v>
      </c>
      <c r="AO257" s="4">
        <v>25</v>
      </c>
      <c r="AP257" s="4">
        <f t="shared" si="4"/>
        <v>112</v>
      </c>
      <c r="AQ257" s="4"/>
      <c r="AR257" s="4" t="s">
        <v>1207</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1165</v>
      </c>
      <c r="AF258" s="4" t="s">
        <v>153</v>
      </c>
      <c r="AG258" s="4" t="s">
        <v>1159</v>
      </c>
      <c r="AH258" s="4">
        <v>1440</v>
      </c>
      <c r="AI258" s="4"/>
      <c r="AJ258" s="4" t="s">
        <v>1148</v>
      </c>
      <c r="AK258" s="4">
        <v>80.838999999999999</v>
      </c>
      <c r="AN258" s="4">
        <v>3</v>
      </c>
      <c r="AO258" s="4">
        <v>25</v>
      </c>
      <c r="AP258" s="4">
        <f t="shared" si="4"/>
        <v>119</v>
      </c>
      <c r="AQ258" s="4"/>
      <c r="AR258" s="4" t="s">
        <v>1207</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1165</v>
      </c>
      <c r="AF259" s="4" t="s">
        <v>153</v>
      </c>
      <c r="AG259" s="4" t="s">
        <v>1159</v>
      </c>
      <c r="AH259" s="4">
        <v>1440</v>
      </c>
      <c r="AI259" s="4"/>
      <c r="AJ259" s="4" t="s">
        <v>1148</v>
      </c>
      <c r="AK259" s="4">
        <v>80.838999999999999</v>
      </c>
      <c r="AN259" s="4">
        <v>3</v>
      </c>
      <c r="AO259" s="4">
        <v>25</v>
      </c>
      <c r="AP259" s="4">
        <f t="shared" si="4"/>
        <v>126</v>
      </c>
      <c r="AQ259" s="4"/>
      <c r="AR259" s="4" t="s">
        <v>1207</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1165</v>
      </c>
      <c r="AF260" s="4" t="s">
        <v>153</v>
      </c>
      <c r="AG260" s="4" t="s">
        <v>1159</v>
      </c>
      <c r="AH260" s="4">
        <v>1440</v>
      </c>
      <c r="AI260" s="4"/>
      <c r="AJ260" s="4" t="s">
        <v>1148</v>
      </c>
      <c r="AK260" s="4">
        <v>101.277</v>
      </c>
      <c r="AN260" s="4">
        <v>3</v>
      </c>
      <c r="AO260" s="4">
        <v>25</v>
      </c>
      <c r="AP260" s="4">
        <f t="shared" si="4"/>
        <v>133</v>
      </c>
      <c r="AQ260" s="4"/>
      <c r="AR260" s="4" t="s">
        <v>1207</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1165</v>
      </c>
      <c r="AF261" s="4" t="s">
        <v>153</v>
      </c>
      <c r="AG261" s="4" t="s">
        <v>1159</v>
      </c>
      <c r="AH261" s="4">
        <v>1440</v>
      </c>
      <c r="AI261" s="4"/>
      <c r="AJ261" s="4" t="s">
        <v>1148</v>
      </c>
      <c r="AK261" s="4">
        <v>101.277</v>
      </c>
      <c r="AN261" s="4">
        <v>3</v>
      </c>
      <c r="AO261" s="4">
        <v>25</v>
      </c>
      <c r="AP261" s="4">
        <f t="shared" si="4"/>
        <v>140</v>
      </c>
      <c r="AQ261" s="4"/>
      <c r="AR261" s="4" t="s">
        <v>1207</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1165</v>
      </c>
      <c r="AF262" s="4" t="s">
        <v>153</v>
      </c>
      <c r="AG262" s="4" t="s">
        <v>1159</v>
      </c>
      <c r="AH262" s="4">
        <v>1440</v>
      </c>
      <c r="AI262" s="4"/>
      <c r="AJ262" s="4" t="s">
        <v>1148</v>
      </c>
      <c r="AK262" s="4">
        <v>101.277</v>
      </c>
      <c r="AN262" s="4">
        <v>3</v>
      </c>
      <c r="AO262" s="4">
        <v>25</v>
      </c>
      <c r="AP262" s="4">
        <f>AP261+7</f>
        <v>147</v>
      </c>
      <c r="AQ262" s="4"/>
      <c r="AR262" s="4" t="s">
        <v>1207</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1165</v>
      </c>
      <c r="AF263" s="4" t="s">
        <v>153</v>
      </c>
      <c r="AG263" s="4" t="s">
        <v>1159</v>
      </c>
      <c r="AH263" s="4">
        <v>1440</v>
      </c>
      <c r="AI263" s="4"/>
      <c r="AJ263" s="4" t="s">
        <v>1148</v>
      </c>
      <c r="AK263" s="4">
        <v>101.277</v>
      </c>
      <c r="AN263" s="4">
        <v>3</v>
      </c>
      <c r="AO263" s="4">
        <v>25</v>
      </c>
      <c r="AP263" s="4">
        <f t="shared" ref="AP263:AP265" si="5">AP262+7</f>
        <v>154</v>
      </c>
      <c r="AQ263" s="4"/>
      <c r="AR263" s="4" t="s">
        <v>1207</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1165</v>
      </c>
      <c r="AF264" s="4" t="s">
        <v>153</v>
      </c>
      <c r="AG264" s="4" t="s">
        <v>1159</v>
      </c>
      <c r="AH264" s="4">
        <v>1440</v>
      </c>
      <c r="AI264" s="4"/>
      <c r="AJ264" s="4" t="s">
        <v>1148</v>
      </c>
      <c r="AK264" s="4">
        <v>101.277</v>
      </c>
      <c r="AN264" s="4">
        <v>3</v>
      </c>
      <c r="AO264" s="4">
        <v>25</v>
      </c>
      <c r="AP264" s="4">
        <f t="shared" si="5"/>
        <v>161</v>
      </c>
      <c r="AQ264" s="4"/>
      <c r="AR264" s="4" t="s">
        <v>1207</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1165</v>
      </c>
      <c r="AF265" s="4" t="s">
        <v>153</v>
      </c>
      <c r="AG265" s="4" t="s">
        <v>1159</v>
      </c>
      <c r="AH265" s="4">
        <v>1440</v>
      </c>
      <c r="AI265" s="4"/>
      <c r="AJ265" s="4" t="s">
        <v>1148</v>
      </c>
      <c r="AK265" s="4">
        <v>101.277</v>
      </c>
      <c r="AN265" s="4">
        <v>3</v>
      </c>
      <c r="AO265" s="4">
        <v>25</v>
      </c>
      <c r="AP265" s="4">
        <f t="shared" si="5"/>
        <v>168</v>
      </c>
      <c r="AQ265" s="4"/>
      <c r="AR265" s="4" t="s">
        <v>1207</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1165</v>
      </c>
      <c r="AF266" s="4" t="s">
        <v>153</v>
      </c>
      <c r="AG266" s="4" t="s">
        <v>1159</v>
      </c>
      <c r="AH266" s="4">
        <v>1440</v>
      </c>
      <c r="AI266" s="4"/>
      <c r="AJ266" s="4" t="s">
        <v>1148</v>
      </c>
      <c r="AK266" s="4">
        <v>0</v>
      </c>
      <c r="AN266" s="4">
        <v>3</v>
      </c>
      <c r="AO266" s="4">
        <v>25</v>
      </c>
      <c r="AP266" s="4">
        <v>7</v>
      </c>
      <c r="AQ266" s="4"/>
      <c r="AR266" s="4" t="s">
        <v>1207</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1165</v>
      </c>
      <c r="AF267" s="4" t="s">
        <v>153</v>
      </c>
      <c r="AG267" s="4" t="s">
        <v>1159</v>
      </c>
      <c r="AH267" s="4">
        <v>1440</v>
      </c>
      <c r="AI267" s="4"/>
      <c r="AJ267" s="4" t="s">
        <v>1148</v>
      </c>
      <c r="AK267" s="4">
        <v>8.577</v>
      </c>
      <c r="AN267" s="4">
        <v>3</v>
      </c>
      <c r="AO267" s="4">
        <v>25</v>
      </c>
      <c r="AP267" s="4">
        <f>AP266+7</f>
        <v>14</v>
      </c>
      <c r="AQ267" s="4"/>
      <c r="AR267" s="4" t="s">
        <v>1207</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1165</v>
      </c>
      <c r="AF268" s="4" t="s">
        <v>153</v>
      </c>
      <c r="AG268" s="4" t="s">
        <v>1159</v>
      </c>
      <c r="AH268" s="4">
        <v>1440</v>
      </c>
      <c r="AI268" s="4"/>
      <c r="AJ268" s="4" t="s">
        <v>1148</v>
      </c>
      <c r="AK268" s="4">
        <v>23.54</v>
      </c>
      <c r="AN268" s="4">
        <v>3</v>
      </c>
      <c r="AO268" s="4">
        <v>25</v>
      </c>
      <c r="AP268" s="4">
        <f t="shared" ref="AP268:AP285" si="6">AP267+7</f>
        <v>21</v>
      </c>
      <c r="AQ268" s="4"/>
      <c r="AR268" s="4" t="s">
        <v>1207</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1165</v>
      </c>
      <c r="AF269" s="4" t="s">
        <v>153</v>
      </c>
      <c r="AG269" s="4" t="s">
        <v>1159</v>
      </c>
      <c r="AH269" s="4">
        <v>1440</v>
      </c>
      <c r="AI269" s="4"/>
      <c r="AJ269" s="4" t="s">
        <v>1148</v>
      </c>
      <c r="AK269" s="4">
        <v>26.46</v>
      </c>
      <c r="AN269" s="4">
        <v>3</v>
      </c>
      <c r="AO269" s="4">
        <v>25</v>
      </c>
      <c r="AP269" s="4">
        <f t="shared" si="6"/>
        <v>28</v>
      </c>
      <c r="AQ269" s="4"/>
      <c r="AR269" s="4" t="s">
        <v>1207</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1165</v>
      </c>
      <c r="AF270" s="4" t="s">
        <v>153</v>
      </c>
      <c r="AG270" s="4" t="s">
        <v>1159</v>
      </c>
      <c r="AH270" s="4">
        <v>1440</v>
      </c>
      <c r="AI270" s="4"/>
      <c r="AJ270" s="4" t="s">
        <v>1148</v>
      </c>
      <c r="AK270" s="4">
        <v>31.934000000000001</v>
      </c>
      <c r="AN270" s="4">
        <v>3</v>
      </c>
      <c r="AO270" s="4">
        <v>25</v>
      </c>
      <c r="AP270" s="4">
        <f t="shared" si="6"/>
        <v>35</v>
      </c>
      <c r="AQ270" s="4"/>
      <c r="AR270" s="4" t="s">
        <v>1207</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1165</v>
      </c>
      <c r="AF271" s="4" t="s">
        <v>153</v>
      </c>
      <c r="AG271" s="4" t="s">
        <v>1159</v>
      </c>
      <c r="AH271" s="4">
        <v>1440</v>
      </c>
      <c r="AI271" s="4"/>
      <c r="AJ271" s="4" t="s">
        <v>1148</v>
      </c>
      <c r="AK271" s="4">
        <v>37.408999999999999</v>
      </c>
      <c r="AN271" s="4">
        <v>3</v>
      </c>
      <c r="AO271" s="4">
        <v>25</v>
      </c>
      <c r="AP271" s="4">
        <f t="shared" si="6"/>
        <v>42</v>
      </c>
      <c r="AQ271" s="4"/>
      <c r="AR271" s="4" t="s">
        <v>1207</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1165</v>
      </c>
      <c r="AF272" s="4" t="s">
        <v>153</v>
      </c>
      <c r="AG272" s="4" t="s">
        <v>1159</v>
      </c>
      <c r="AH272" s="4">
        <v>1440</v>
      </c>
      <c r="AI272" s="4"/>
      <c r="AJ272" s="4" t="s">
        <v>1148</v>
      </c>
      <c r="AK272" s="4">
        <v>55.292000000000002</v>
      </c>
      <c r="AN272" s="4">
        <v>3</v>
      </c>
      <c r="AO272" s="4">
        <v>25</v>
      </c>
      <c r="AP272" s="4">
        <f t="shared" si="6"/>
        <v>49</v>
      </c>
      <c r="AQ272" s="4"/>
      <c r="AR272" s="4" t="s">
        <v>1207</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1165</v>
      </c>
      <c r="AF273" s="4" t="s">
        <v>153</v>
      </c>
      <c r="AG273" s="4" t="s">
        <v>1159</v>
      </c>
      <c r="AH273" s="4">
        <v>1440</v>
      </c>
      <c r="AI273" s="4"/>
      <c r="AJ273" s="4" t="s">
        <v>1148</v>
      </c>
      <c r="AK273" s="4">
        <v>66.971000000000004</v>
      </c>
      <c r="AN273" s="4">
        <v>3</v>
      </c>
      <c r="AO273" s="4">
        <v>25</v>
      </c>
      <c r="AP273" s="4">
        <f t="shared" si="6"/>
        <v>56</v>
      </c>
      <c r="AQ273" s="4"/>
      <c r="AR273" s="4" t="s">
        <v>1207</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1165</v>
      </c>
      <c r="AF274" s="4" t="s">
        <v>153</v>
      </c>
      <c r="AG274" s="4" t="s">
        <v>1159</v>
      </c>
      <c r="AH274" s="4">
        <v>1440</v>
      </c>
      <c r="AI274" s="4"/>
      <c r="AJ274" s="4" t="s">
        <v>1148</v>
      </c>
      <c r="AK274" s="4">
        <v>66.971000000000004</v>
      </c>
      <c r="AN274" s="4">
        <v>3</v>
      </c>
      <c r="AO274" s="4">
        <v>25</v>
      </c>
      <c r="AP274" s="4">
        <f t="shared" si="6"/>
        <v>63</v>
      </c>
      <c r="AQ274" s="4"/>
      <c r="AR274" s="4" t="s">
        <v>1207</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1165</v>
      </c>
      <c r="AF275" s="4" t="s">
        <v>153</v>
      </c>
      <c r="AG275" s="4" t="s">
        <v>1159</v>
      </c>
      <c r="AH275" s="4">
        <v>1440</v>
      </c>
      <c r="AI275" s="4"/>
      <c r="AJ275" s="4" t="s">
        <v>1148</v>
      </c>
      <c r="AK275" s="4">
        <v>69.891000000000005</v>
      </c>
      <c r="AN275" s="4">
        <v>3</v>
      </c>
      <c r="AO275" s="4">
        <v>25</v>
      </c>
      <c r="AP275" s="4">
        <f t="shared" si="6"/>
        <v>70</v>
      </c>
      <c r="AQ275" s="4"/>
      <c r="AR275" s="4" t="s">
        <v>1207</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1165</v>
      </c>
      <c r="AF276" s="4" t="s">
        <v>153</v>
      </c>
      <c r="AG276" s="4" t="s">
        <v>1159</v>
      </c>
      <c r="AH276" s="4">
        <v>1440</v>
      </c>
      <c r="AI276" s="4"/>
      <c r="AJ276" s="4" t="s">
        <v>1148</v>
      </c>
      <c r="AK276" s="4">
        <v>69.891000000000005</v>
      </c>
      <c r="AN276" s="4">
        <v>3</v>
      </c>
      <c r="AO276" s="4">
        <v>25</v>
      </c>
      <c r="AP276" s="4">
        <f t="shared" si="6"/>
        <v>77</v>
      </c>
      <c r="AQ276" s="4"/>
      <c r="AR276" s="4" t="s">
        <v>1207</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1165</v>
      </c>
      <c r="AF277" s="4" t="s">
        <v>153</v>
      </c>
      <c r="AG277" s="4" t="s">
        <v>1159</v>
      </c>
      <c r="AH277" s="4">
        <v>1440</v>
      </c>
      <c r="AI277" s="4"/>
      <c r="AJ277" s="4" t="s">
        <v>1148</v>
      </c>
      <c r="AK277" s="4">
        <v>73.905000000000001</v>
      </c>
      <c r="AN277" s="4">
        <v>3</v>
      </c>
      <c r="AO277" s="4">
        <v>25</v>
      </c>
      <c r="AP277" s="4">
        <f t="shared" si="6"/>
        <v>84</v>
      </c>
      <c r="AQ277" s="4"/>
      <c r="AR277" s="4" t="s">
        <v>1207</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1165</v>
      </c>
      <c r="AF278" s="4" t="s">
        <v>153</v>
      </c>
      <c r="AG278" s="4" t="s">
        <v>1159</v>
      </c>
      <c r="AH278" s="4">
        <v>1440</v>
      </c>
      <c r="AI278" s="4"/>
      <c r="AJ278" s="4" t="s">
        <v>1148</v>
      </c>
      <c r="AK278" s="4">
        <v>87.409000000000006</v>
      </c>
      <c r="AN278" s="4">
        <v>3</v>
      </c>
      <c r="AO278" s="4">
        <v>25</v>
      </c>
      <c r="AP278" s="4">
        <f t="shared" si="6"/>
        <v>91</v>
      </c>
      <c r="AQ278" s="4"/>
      <c r="AR278" s="4" t="s">
        <v>1207</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1165</v>
      </c>
      <c r="AF279" s="4" t="s">
        <v>153</v>
      </c>
      <c r="AG279" s="4" t="s">
        <v>1159</v>
      </c>
      <c r="AH279" s="4">
        <v>1440</v>
      </c>
      <c r="AI279" s="4"/>
      <c r="AJ279" s="4" t="s">
        <v>1148</v>
      </c>
      <c r="AK279" s="4">
        <v>87.409000000000006</v>
      </c>
      <c r="AN279" s="4">
        <v>3</v>
      </c>
      <c r="AO279" s="4">
        <v>25</v>
      </c>
      <c r="AP279" s="4">
        <f t="shared" si="6"/>
        <v>98</v>
      </c>
      <c r="AQ279" s="4"/>
      <c r="AR279" s="4" t="s">
        <v>1207</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1165</v>
      </c>
      <c r="AF280" s="4" t="s">
        <v>153</v>
      </c>
      <c r="AG280" s="4" t="s">
        <v>1159</v>
      </c>
      <c r="AH280" s="4">
        <v>1440</v>
      </c>
      <c r="AI280" s="4"/>
      <c r="AJ280" s="4" t="s">
        <v>1148</v>
      </c>
      <c r="AK280" s="4">
        <v>91.787999999999997</v>
      </c>
      <c r="AN280" s="4">
        <v>3</v>
      </c>
      <c r="AO280" s="4">
        <v>25</v>
      </c>
      <c r="AP280" s="4">
        <f t="shared" si="6"/>
        <v>105</v>
      </c>
      <c r="AQ280" s="4"/>
      <c r="AR280" s="4" t="s">
        <v>1207</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1165</v>
      </c>
      <c r="AF281" s="4" t="s">
        <v>153</v>
      </c>
      <c r="AG281" s="4" t="s">
        <v>1159</v>
      </c>
      <c r="AH281" s="4">
        <v>1440</v>
      </c>
      <c r="AI281" s="4"/>
      <c r="AJ281" s="4" t="s">
        <v>1148</v>
      </c>
      <c r="AK281" s="4">
        <v>91.787999999999997</v>
      </c>
      <c r="AN281" s="4">
        <v>3</v>
      </c>
      <c r="AO281" s="4">
        <v>25</v>
      </c>
      <c r="AP281" s="4">
        <f t="shared" si="6"/>
        <v>112</v>
      </c>
      <c r="AQ281" s="4"/>
      <c r="AR281" s="4" t="s">
        <v>1207</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1165</v>
      </c>
      <c r="AF282" s="4" t="s">
        <v>153</v>
      </c>
      <c r="AG282" s="4" t="s">
        <v>1159</v>
      </c>
      <c r="AH282" s="4">
        <v>1440</v>
      </c>
      <c r="AI282" s="4"/>
      <c r="AJ282" s="4" t="s">
        <v>1148</v>
      </c>
      <c r="AK282" s="4">
        <v>91.787999999999997</v>
      </c>
      <c r="AN282" s="4">
        <v>3</v>
      </c>
      <c r="AO282" s="4">
        <v>25</v>
      </c>
      <c r="AP282" s="4">
        <f t="shared" si="6"/>
        <v>119</v>
      </c>
      <c r="AQ282" s="4"/>
      <c r="AR282" s="4" t="s">
        <v>1207</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1165</v>
      </c>
      <c r="AF283" s="4" t="s">
        <v>153</v>
      </c>
      <c r="AG283" s="4" t="s">
        <v>1159</v>
      </c>
      <c r="AH283" s="4">
        <v>1440</v>
      </c>
      <c r="AI283" s="4"/>
      <c r="AJ283" s="4" t="s">
        <v>1148</v>
      </c>
      <c r="AK283" s="4">
        <v>91.423000000000002</v>
      </c>
      <c r="AN283" s="4">
        <v>3</v>
      </c>
      <c r="AO283" s="4">
        <v>25</v>
      </c>
      <c r="AP283" s="4">
        <f t="shared" si="6"/>
        <v>126</v>
      </c>
      <c r="AQ283" s="4"/>
      <c r="AR283" s="4" t="s">
        <v>1207</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1165</v>
      </c>
      <c r="AF284" s="4" t="s">
        <v>153</v>
      </c>
      <c r="AG284" s="4" t="s">
        <v>1159</v>
      </c>
      <c r="AH284" s="4">
        <v>1440</v>
      </c>
      <c r="AI284" s="4"/>
      <c r="AJ284" s="4" t="s">
        <v>1148</v>
      </c>
      <c r="AK284" s="4">
        <v>91.787999999999997</v>
      </c>
      <c r="AN284" s="4">
        <v>3</v>
      </c>
      <c r="AO284" s="4">
        <v>25</v>
      </c>
      <c r="AP284" s="4">
        <f t="shared" si="6"/>
        <v>133</v>
      </c>
      <c r="AQ284" s="4"/>
      <c r="AR284" s="4" t="s">
        <v>1207</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1165</v>
      </c>
      <c r="AF285" s="4" t="s">
        <v>153</v>
      </c>
      <c r="AG285" s="4" t="s">
        <v>1159</v>
      </c>
      <c r="AH285" s="4">
        <v>1440</v>
      </c>
      <c r="AI285" s="4"/>
      <c r="AJ285" s="4" t="s">
        <v>1148</v>
      </c>
      <c r="AK285" s="4">
        <v>91.787999999999997</v>
      </c>
      <c r="AN285" s="4">
        <v>3</v>
      </c>
      <c r="AO285" s="4">
        <v>25</v>
      </c>
      <c r="AP285" s="4">
        <f t="shared" si="6"/>
        <v>140</v>
      </c>
      <c r="AQ285" s="4"/>
      <c r="AR285" s="4" t="s">
        <v>1207</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1165</v>
      </c>
      <c r="AF286" s="4" t="s">
        <v>153</v>
      </c>
      <c r="AG286" s="4" t="s">
        <v>1159</v>
      </c>
      <c r="AH286" s="4">
        <v>1440</v>
      </c>
      <c r="AI286" s="4"/>
      <c r="AJ286" s="4" t="s">
        <v>1148</v>
      </c>
      <c r="AK286" s="4">
        <v>93.248000000000005</v>
      </c>
      <c r="AN286" s="4">
        <v>3</v>
      </c>
      <c r="AO286" s="4">
        <v>25</v>
      </c>
      <c r="AP286" s="4">
        <f>AP285+7</f>
        <v>147</v>
      </c>
      <c r="AQ286" s="4"/>
      <c r="AR286" s="4" t="s">
        <v>1207</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1165</v>
      </c>
      <c r="AF287" s="4" t="s">
        <v>153</v>
      </c>
      <c r="AG287" s="4" t="s">
        <v>1159</v>
      </c>
      <c r="AH287" s="4">
        <v>1440</v>
      </c>
      <c r="AI287" s="4"/>
      <c r="AJ287" s="4" t="s">
        <v>1148</v>
      </c>
      <c r="AK287" s="4">
        <v>93.248000000000005</v>
      </c>
      <c r="AN287" s="4">
        <v>3</v>
      </c>
      <c r="AO287" s="4">
        <v>25</v>
      </c>
      <c r="AP287" s="4">
        <f t="shared" ref="AP287:AP288" si="7">AP286+7</f>
        <v>154</v>
      </c>
      <c r="AQ287" s="4"/>
      <c r="AR287" s="4" t="s">
        <v>1207</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1165</v>
      </c>
      <c r="AF288" s="4" t="s">
        <v>153</v>
      </c>
      <c r="AG288" s="4" t="s">
        <v>1159</v>
      </c>
      <c r="AH288" s="4">
        <v>1440</v>
      </c>
      <c r="AI288" s="4"/>
      <c r="AJ288" s="4" t="s">
        <v>1148</v>
      </c>
      <c r="AK288" s="4">
        <v>95.802999999999997</v>
      </c>
      <c r="AN288" s="4">
        <v>3</v>
      </c>
      <c r="AO288" s="4">
        <v>25</v>
      </c>
      <c r="AP288" s="4">
        <f t="shared" si="7"/>
        <v>161</v>
      </c>
      <c r="AQ288" s="4"/>
      <c r="AR288" s="4" t="s">
        <v>1207</v>
      </c>
      <c r="AS288" t="s">
        <v>1208</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1165</v>
      </c>
      <c r="AF289" s="4" t="s">
        <v>153</v>
      </c>
      <c r="AG289" s="4" t="s">
        <v>1160</v>
      </c>
      <c r="AH289" s="4">
        <v>1440</v>
      </c>
      <c r="AI289" s="4"/>
      <c r="AJ289" s="4" t="s">
        <v>1148</v>
      </c>
      <c r="AK289" s="4">
        <v>0</v>
      </c>
      <c r="AN289" s="4">
        <v>3</v>
      </c>
      <c r="AO289" s="4">
        <v>25</v>
      </c>
      <c r="AP289" s="4">
        <v>7</v>
      </c>
      <c r="AQ289" s="4"/>
      <c r="AR289" s="4" t="s">
        <v>1207</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1165</v>
      </c>
      <c r="AF290" s="4" t="s">
        <v>153</v>
      </c>
      <c r="AG290" s="4" t="s">
        <v>1160</v>
      </c>
      <c r="AH290" s="4">
        <v>1440</v>
      </c>
      <c r="AI290" s="4"/>
      <c r="AJ290" s="4" t="s">
        <v>1148</v>
      </c>
      <c r="AK290" s="4">
        <v>0</v>
      </c>
      <c r="AN290" s="4">
        <v>3</v>
      </c>
      <c r="AO290" s="4">
        <v>25</v>
      </c>
      <c r="AP290" s="4">
        <f>AP289+7</f>
        <v>14</v>
      </c>
      <c r="AQ290" s="4"/>
      <c r="AR290" s="4" t="s">
        <v>1207</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1165</v>
      </c>
      <c r="AF291" s="4" t="s">
        <v>153</v>
      </c>
      <c r="AG291" s="4" t="s">
        <v>1160</v>
      </c>
      <c r="AH291" s="4">
        <v>1440</v>
      </c>
      <c r="AI291" s="4"/>
      <c r="AJ291" s="4" t="s">
        <v>1148</v>
      </c>
      <c r="AK291" s="4">
        <v>1.2410000000000001</v>
      </c>
      <c r="AN291" s="4">
        <v>3</v>
      </c>
      <c r="AO291" s="4">
        <v>25</v>
      </c>
      <c r="AP291" s="4">
        <f t="shared" ref="AP291:AP308" si="8">AP290+7</f>
        <v>21</v>
      </c>
      <c r="AQ291" s="4"/>
      <c r="AR291" s="4" t="s">
        <v>1207</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1165</v>
      </c>
      <c r="AF292" s="4" t="s">
        <v>153</v>
      </c>
      <c r="AG292" s="4" t="s">
        <v>1160</v>
      </c>
      <c r="AH292" s="4">
        <v>1440</v>
      </c>
      <c r="AI292" s="4"/>
      <c r="AJ292" s="4" t="s">
        <v>1148</v>
      </c>
      <c r="AK292" s="4">
        <v>4.0780000000000003</v>
      </c>
      <c r="AN292" s="4">
        <v>3</v>
      </c>
      <c r="AO292" s="4">
        <v>25</v>
      </c>
      <c r="AP292" s="4">
        <f t="shared" si="8"/>
        <v>28</v>
      </c>
      <c r="AQ292" s="4"/>
      <c r="AR292" s="4" t="s">
        <v>1207</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1165</v>
      </c>
      <c r="AF293" s="4" t="s">
        <v>153</v>
      </c>
      <c r="AG293" s="4" t="s">
        <v>1160</v>
      </c>
      <c r="AH293" s="4">
        <v>1440</v>
      </c>
      <c r="AI293" s="4"/>
      <c r="AJ293" s="4" t="s">
        <v>1148</v>
      </c>
      <c r="AK293" s="4">
        <v>4.0780000000000003</v>
      </c>
      <c r="AN293" s="4">
        <v>3</v>
      </c>
      <c r="AO293" s="4">
        <v>25</v>
      </c>
      <c r="AP293" s="4">
        <f t="shared" si="8"/>
        <v>35</v>
      </c>
      <c r="AQ293" s="4"/>
      <c r="AR293" s="4" t="s">
        <v>1207</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1165</v>
      </c>
      <c r="AF294" s="4" t="s">
        <v>153</v>
      </c>
      <c r="AG294" s="4" t="s">
        <v>1160</v>
      </c>
      <c r="AH294" s="4">
        <v>1440</v>
      </c>
      <c r="AI294" s="4"/>
      <c r="AJ294" s="4" t="s">
        <v>1148</v>
      </c>
      <c r="AK294" s="4">
        <v>3.7229999999999999</v>
      </c>
      <c r="AN294" s="4">
        <v>3</v>
      </c>
      <c r="AO294" s="4">
        <v>25</v>
      </c>
      <c r="AP294" s="4">
        <f t="shared" si="8"/>
        <v>42</v>
      </c>
      <c r="AQ294" s="4"/>
      <c r="AR294" s="4" t="s">
        <v>1207</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1165</v>
      </c>
      <c r="AF295" s="4" t="s">
        <v>153</v>
      </c>
      <c r="AG295" s="4" t="s">
        <v>1160</v>
      </c>
      <c r="AH295" s="4">
        <v>1440</v>
      </c>
      <c r="AI295" s="4"/>
      <c r="AJ295" s="4" t="s">
        <v>1148</v>
      </c>
      <c r="AK295" s="4">
        <v>7.6239999999999997</v>
      </c>
      <c r="AN295" s="4">
        <v>3</v>
      </c>
      <c r="AO295" s="4">
        <v>25</v>
      </c>
      <c r="AP295" s="4">
        <f t="shared" si="8"/>
        <v>49</v>
      </c>
      <c r="AQ295" s="4"/>
      <c r="AR295" s="4" t="s">
        <v>1207</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1165</v>
      </c>
      <c r="AF296" s="4" t="s">
        <v>153</v>
      </c>
      <c r="AG296" s="4" t="s">
        <v>1160</v>
      </c>
      <c r="AH296" s="4">
        <v>1440</v>
      </c>
      <c r="AI296" s="4"/>
      <c r="AJ296" s="4" t="s">
        <v>1148</v>
      </c>
      <c r="AK296" s="4">
        <v>7.9790000000000001</v>
      </c>
      <c r="AN296" s="4">
        <v>3</v>
      </c>
      <c r="AO296" s="4">
        <v>25</v>
      </c>
      <c r="AP296" s="4">
        <f t="shared" si="8"/>
        <v>56</v>
      </c>
      <c r="AQ296" s="4"/>
      <c r="AR296" s="4" t="s">
        <v>1207</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1165</v>
      </c>
      <c r="AF297" s="4" t="s">
        <v>153</v>
      </c>
      <c r="AG297" s="4" t="s">
        <v>1160</v>
      </c>
      <c r="AH297" s="4">
        <v>1440</v>
      </c>
      <c r="AI297" s="4"/>
      <c r="AJ297" s="4" t="s">
        <v>1148</v>
      </c>
      <c r="AK297" s="4">
        <v>7.9790000000000001</v>
      </c>
      <c r="AN297" s="4">
        <v>3</v>
      </c>
      <c r="AO297" s="4">
        <v>25</v>
      </c>
      <c r="AP297" s="4">
        <f t="shared" si="8"/>
        <v>63</v>
      </c>
      <c r="AQ297" s="4"/>
      <c r="AR297" s="4" t="s">
        <v>1207</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1165</v>
      </c>
      <c r="AF298" s="4" t="s">
        <v>153</v>
      </c>
      <c r="AG298" s="4" t="s">
        <v>1160</v>
      </c>
      <c r="AH298" s="4">
        <v>1440</v>
      </c>
      <c r="AI298" s="4"/>
      <c r="AJ298" s="4" t="s">
        <v>1148</v>
      </c>
      <c r="AK298" s="4">
        <v>7.9790000000000001</v>
      </c>
      <c r="AN298" s="4">
        <v>3</v>
      </c>
      <c r="AO298" s="4">
        <v>25</v>
      </c>
      <c r="AP298" s="4">
        <f t="shared" si="8"/>
        <v>70</v>
      </c>
      <c r="AQ298" s="4"/>
      <c r="AR298" s="4" t="s">
        <v>1207</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1165</v>
      </c>
      <c r="AF299" s="4" t="s">
        <v>153</v>
      </c>
      <c r="AG299" s="4" t="s">
        <v>1160</v>
      </c>
      <c r="AH299" s="4">
        <v>1440</v>
      </c>
      <c r="AI299" s="4"/>
      <c r="AJ299" s="4" t="s">
        <v>1148</v>
      </c>
      <c r="AK299" s="4">
        <v>7.9790000000000001</v>
      </c>
      <c r="AN299" s="4">
        <v>3</v>
      </c>
      <c r="AO299" s="4">
        <v>25</v>
      </c>
      <c r="AP299" s="4">
        <f t="shared" si="8"/>
        <v>77</v>
      </c>
      <c r="AQ299" s="4"/>
      <c r="AR299" s="4" t="s">
        <v>1207</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1165</v>
      </c>
      <c r="AF300" s="4" t="s">
        <v>153</v>
      </c>
      <c r="AG300" s="4" t="s">
        <v>1160</v>
      </c>
      <c r="AH300" s="4">
        <v>1440</v>
      </c>
      <c r="AI300" s="4"/>
      <c r="AJ300" s="4" t="s">
        <v>1148</v>
      </c>
      <c r="AK300" s="4">
        <v>7.9790000000000001</v>
      </c>
      <c r="AN300" s="4">
        <v>3</v>
      </c>
      <c r="AO300" s="4">
        <v>25</v>
      </c>
      <c r="AP300" s="4">
        <f t="shared" si="8"/>
        <v>84</v>
      </c>
      <c r="AQ300" s="4"/>
      <c r="AR300" s="4" t="s">
        <v>1207</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1165</v>
      </c>
      <c r="AF301" s="4" t="s">
        <v>153</v>
      </c>
      <c r="AG301" s="4" t="s">
        <v>1160</v>
      </c>
      <c r="AH301" s="4">
        <v>1440</v>
      </c>
      <c r="AI301" s="4"/>
      <c r="AJ301" s="4" t="s">
        <v>1148</v>
      </c>
      <c r="AK301" s="4">
        <v>9.0429999999999993</v>
      </c>
      <c r="AN301" s="4">
        <v>3</v>
      </c>
      <c r="AO301" s="4">
        <v>25</v>
      </c>
      <c r="AP301" s="4">
        <f t="shared" si="8"/>
        <v>91</v>
      </c>
      <c r="AQ301" s="4"/>
      <c r="AR301" s="4" t="s">
        <v>1207</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1165</v>
      </c>
      <c r="AF302" s="4" t="s">
        <v>153</v>
      </c>
      <c r="AG302" s="4" t="s">
        <v>1160</v>
      </c>
      <c r="AH302" s="4">
        <v>1440</v>
      </c>
      <c r="AI302" s="4"/>
      <c r="AJ302" s="4" t="s">
        <v>1148</v>
      </c>
      <c r="AK302" s="4">
        <v>9.3970000000000002</v>
      </c>
      <c r="AN302" s="4">
        <v>3</v>
      </c>
      <c r="AO302" s="4">
        <v>25</v>
      </c>
      <c r="AP302" s="4">
        <f t="shared" si="8"/>
        <v>98</v>
      </c>
      <c r="AQ302" s="4"/>
      <c r="AR302" s="4" t="s">
        <v>1207</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1165</v>
      </c>
      <c r="AF303" s="4" t="s">
        <v>153</v>
      </c>
      <c r="AG303" s="4" t="s">
        <v>1160</v>
      </c>
      <c r="AH303" s="4">
        <v>1440</v>
      </c>
      <c r="AI303" s="4"/>
      <c r="AJ303" s="4" t="s">
        <v>1148</v>
      </c>
      <c r="AK303" s="4">
        <v>14.715999999999999</v>
      </c>
      <c r="AN303" s="4">
        <v>3</v>
      </c>
      <c r="AO303" s="4">
        <v>25</v>
      </c>
      <c r="AP303" s="4">
        <f t="shared" si="8"/>
        <v>105</v>
      </c>
      <c r="AQ303" s="4"/>
      <c r="AR303" s="4" t="s">
        <v>1207</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1165</v>
      </c>
      <c r="AF304" s="4" t="s">
        <v>153</v>
      </c>
      <c r="AG304" s="4" t="s">
        <v>1160</v>
      </c>
      <c r="AH304" s="4">
        <v>1440</v>
      </c>
      <c r="AI304" s="4"/>
      <c r="AJ304" s="4" t="s">
        <v>1148</v>
      </c>
      <c r="AK304" s="4">
        <v>14.715999999999999</v>
      </c>
      <c r="AN304" s="4">
        <v>3</v>
      </c>
      <c r="AO304" s="4">
        <v>25</v>
      </c>
      <c r="AP304" s="4">
        <f t="shared" si="8"/>
        <v>112</v>
      </c>
      <c r="AQ304" s="4"/>
      <c r="AR304" s="4" t="s">
        <v>1207</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1165</v>
      </c>
      <c r="AF305" s="4" t="s">
        <v>153</v>
      </c>
      <c r="AG305" s="4" t="s">
        <v>1160</v>
      </c>
      <c r="AH305" s="4">
        <v>1440</v>
      </c>
      <c r="AI305" s="4"/>
      <c r="AJ305" s="4" t="s">
        <v>1148</v>
      </c>
      <c r="AK305" s="4">
        <v>15.071</v>
      </c>
      <c r="AN305" s="4">
        <v>3</v>
      </c>
      <c r="AO305" s="4">
        <v>25</v>
      </c>
      <c r="AP305" s="4">
        <f t="shared" si="8"/>
        <v>119</v>
      </c>
      <c r="AQ305" s="4"/>
      <c r="AR305" s="4" t="s">
        <v>1207</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1165</v>
      </c>
      <c r="AF306" s="4" t="s">
        <v>153</v>
      </c>
      <c r="AG306" s="4" t="s">
        <v>1160</v>
      </c>
      <c r="AH306" s="4">
        <v>1440</v>
      </c>
      <c r="AI306" s="4"/>
      <c r="AJ306" s="4" t="s">
        <v>1148</v>
      </c>
      <c r="AK306" s="4">
        <v>16.135000000000002</v>
      </c>
      <c r="AN306" s="4">
        <v>3</v>
      </c>
      <c r="AO306" s="4">
        <v>25</v>
      </c>
      <c r="AP306" s="4">
        <f t="shared" si="8"/>
        <v>126</v>
      </c>
      <c r="AQ306" s="4"/>
      <c r="AR306" s="4" t="s">
        <v>1207</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1165</v>
      </c>
      <c r="AF307" s="4" t="s">
        <v>153</v>
      </c>
      <c r="AG307" s="4" t="s">
        <v>1160</v>
      </c>
      <c r="AH307" s="4">
        <v>1440</v>
      </c>
      <c r="AI307" s="4"/>
      <c r="AJ307" s="4" t="s">
        <v>1148</v>
      </c>
      <c r="AK307" s="4">
        <v>17.553000000000001</v>
      </c>
      <c r="AN307" s="4">
        <v>3</v>
      </c>
      <c r="AO307" s="4">
        <v>25</v>
      </c>
      <c r="AP307" s="4">
        <f t="shared" si="8"/>
        <v>133</v>
      </c>
      <c r="AQ307" s="4"/>
      <c r="AR307" s="4" t="s">
        <v>1207</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1165</v>
      </c>
      <c r="AF308" s="4" t="s">
        <v>153</v>
      </c>
      <c r="AG308" s="4" t="s">
        <v>1160</v>
      </c>
      <c r="AH308" s="4">
        <v>1440</v>
      </c>
      <c r="AI308" s="4"/>
      <c r="AJ308" s="4" t="s">
        <v>1148</v>
      </c>
      <c r="AK308" s="4">
        <v>22.872</v>
      </c>
      <c r="AN308" s="4">
        <v>3</v>
      </c>
      <c r="AO308" s="4">
        <v>25</v>
      </c>
      <c r="AP308" s="4">
        <f t="shared" si="8"/>
        <v>140</v>
      </c>
      <c r="AQ308" s="4"/>
      <c r="AR308" s="4" t="s">
        <v>1207</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1165</v>
      </c>
      <c r="AF309" s="4" t="s">
        <v>153</v>
      </c>
      <c r="AG309" s="4" t="s">
        <v>1160</v>
      </c>
      <c r="AH309" s="4">
        <v>1440</v>
      </c>
      <c r="AI309" s="4"/>
      <c r="AJ309" s="4" t="s">
        <v>1148</v>
      </c>
      <c r="AK309" s="4">
        <v>24.291</v>
      </c>
      <c r="AN309" s="4">
        <v>3</v>
      </c>
      <c r="AO309" s="4">
        <v>25</v>
      </c>
      <c r="AP309" s="4">
        <f>AP308+7</f>
        <v>147</v>
      </c>
      <c r="AQ309" s="4"/>
      <c r="AR309" s="4" t="s">
        <v>1207</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1165</v>
      </c>
      <c r="AF310" s="4" t="s">
        <v>153</v>
      </c>
      <c r="AG310" s="4" t="s">
        <v>1160</v>
      </c>
      <c r="AH310" s="4">
        <v>1440</v>
      </c>
      <c r="AI310" s="4"/>
      <c r="AJ310" s="4" t="s">
        <v>1148</v>
      </c>
      <c r="AK310" s="4">
        <v>24.291</v>
      </c>
      <c r="AN310" s="4">
        <v>3</v>
      </c>
      <c r="AO310" s="4">
        <v>25</v>
      </c>
      <c r="AP310" s="4">
        <f t="shared" ref="AP310:AP312" si="9">AP309+7</f>
        <v>154</v>
      </c>
      <c r="AQ310" s="4"/>
      <c r="AR310" s="4" t="s">
        <v>1207</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1165</v>
      </c>
      <c r="AF311" s="4" t="s">
        <v>153</v>
      </c>
      <c r="AG311" s="4" t="s">
        <v>1160</v>
      </c>
      <c r="AH311" s="4">
        <v>1440</v>
      </c>
      <c r="AI311" s="4"/>
      <c r="AJ311" s="4" t="s">
        <v>1148</v>
      </c>
      <c r="AK311" s="4">
        <v>29.61</v>
      </c>
      <c r="AN311" s="4">
        <v>3</v>
      </c>
      <c r="AO311" s="4">
        <v>25</v>
      </c>
      <c r="AP311" s="4">
        <f t="shared" si="9"/>
        <v>161</v>
      </c>
      <c r="AQ311" s="4"/>
      <c r="AR311" s="4" t="s">
        <v>1207</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1165</v>
      </c>
      <c r="AF312" s="4" t="s">
        <v>153</v>
      </c>
      <c r="AG312" s="4" t="s">
        <v>1160</v>
      </c>
      <c r="AH312" s="4">
        <v>1440</v>
      </c>
      <c r="AI312" s="4"/>
      <c r="AJ312" s="4" t="s">
        <v>1148</v>
      </c>
      <c r="AK312" s="4">
        <v>29.61</v>
      </c>
      <c r="AN312" s="4">
        <v>3</v>
      </c>
      <c r="AO312" s="4">
        <v>25</v>
      </c>
      <c r="AP312" s="4">
        <f t="shared" si="9"/>
        <v>168</v>
      </c>
      <c r="AQ312" s="4"/>
      <c r="AR312" s="4" t="s">
        <v>1207</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1165</v>
      </c>
      <c r="AF313" s="4" t="s">
        <v>153</v>
      </c>
      <c r="AG313" s="4" t="s">
        <v>1159</v>
      </c>
      <c r="AH313" s="4">
        <v>1440</v>
      </c>
      <c r="AI313" s="4"/>
      <c r="AJ313" s="4" t="s">
        <v>1148</v>
      </c>
      <c r="AK313" s="4">
        <v>0</v>
      </c>
      <c r="AN313" s="4">
        <v>3</v>
      </c>
      <c r="AO313" s="4">
        <v>25</v>
      </c>
      <c r="AP313" s="4">
        <v>7</v>
      </c>
      <c r="AQ313" s="4"/>
      <c r="AR313" s="4" t="s">
        <v>1207</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1165</v>
      </c>
      <c r="AF314" s="4" t="s">
        <v>153</v>
      </c>
      <c r="AG314" s="4" t="s">
        <v>1159</v>
      </c>
      <c r="AH314" s="4">
        <v>1440</v>
      </c>
      <c r="AI314" s="4"/>
      <c r="AJ314" s="4" t="s">
        <v>1148</v>
      </c>
      <c r="AK314" s="4">
        <v>24.291</v>
      </c>
      <c r="AN314" s="4">
        <v>3</v>
      </c>
      <c r="AO314" s="4">
        <v>25</v>
      </c>
      <c r="AP314" s="4">
        <f>AP313+7</f>
        <v>14</v>
      </c>
      <c r="AQ314" s="4"/>
      <c r="AR314" s="4" t="s">
        <v>1207</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1165</v>
      </c>
      <c r="AF315" s="4" t="s">
        <v>153</v>
      </c>
      <c r="AG315" s="4" t="s">
        <v>1159</v>
      </c>
      <c r="AH315" s="4">
        <v>1440</v>
      </c>
      <c r="AI315" s="4"/>
      <c r="AJ315" s="4" t="s">
        <v>1148</v>
      </c>
      <c r="AK315" s="4">
        <v>40.247999999999998</v>
      </c>
      <c r="AN315" s="4">
        <v>3</v>
      </c>
      <c r="AO315" s="4">
        <v>25</v>
      </c>
      <c r="AP315" s="4">
        <f t="shared" ref="AP315:AP332" si="10">AP314+7</f>
        <v>21</v>
      </c>
      <c r="AQ315" s="4"/>
      <c r="AR315" s="4" t="s">
        <v>1207</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1165</v>
      </c>
      <c r="AF316" s="4" t="s">
        <v>153</v>
      </c>
      <c r="AG316" s="4" t="s">
        <v>1159</v>
      </c>
      <c r="AH316" s="4">
        <v>1440</v>
      </c>
      <c r="AI316" s="4"/>
      <c r="AJ316" s="4" t="s">
        <v>1148</v>
      </c>
      <c r="AK316" s="4">
        <v>55.850999999999999</v>
      </c>
      <c r="AN316" s="4">
        <v>3</v>
      </c>
      <c r="AO316" s="4">
        <v>25</v>
      </c>
      <c r="AP316" s="4">
        <f t="shared" si="10"/>
        <v>28</v>
      </c>
      <c r="AQ316" s="4"/>
      <c r="AR316" s="4" t="s">
        <v>1207</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1165</v>
      </c>
      <c r="AF317" s="4" t="s">
        <v>153</v>
      </c>
      <c r="AG317" s="4" t="s">
        <v>1159</v>
      </c>
      <c r="AH317" s="4">
        <v>1440</v>
      </c>
      <c r="AI317" s="4"/>
      <c r="AJ317" s="4" t="s">
        <v>1148</v>
      </c>
      <c r="AK317" s="4">
        <v>57.27</v>
      </c>
      <c r="AN317" s="4">
        <v>3</v>
      </c>
      <c r="AO317" s="4">
        <v>25</v>
      </c>
      <c r="AP317" s="4">
        <f t="shared" si="10"/>
        <v>35</v>
      </c>
      <c r="AQ317" s="4"/>
      <c r="AR317" s="4" t="s">
        <v>1207</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1165</v>
      </c>
      <c r="AF318" s="4" t="s">
        <v>153</v>
      </c>
      <c r="AG318" s="4" t="s">
        <v>1159</v>
      </c>
      <c r="AH318" s="4">
        <v>1440</v>
      </c>
      <c r="AI318" s="4"/>
      <c r="AJ318" s="4" t="s">
        <v>1148</v>
      </c>
      <c r="AK318" s="4">
        <v>58.688000000000002</v>
      </c>
      <c r="AN318" s="4">
        <v>3</v>
      </c>
      <c r="AO318" s="4">
        <v>25</v>
      </c>
      <c r="AP318" s="4">
        <f t="shared" si="10"/>
        <v>42</v>
      </c>
      <c r="AQ318" s="4"/>
      <c r="AR318" s="4" t="s">
        <v>1207</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1165</v>
      </c>
      <c r="AF319" s="4" t="s">
        <v>153</v>
      </c>
      <c r="AG319" s="4" t="s">
        <v>1159</v>
      </c>
      <c r="AH319" s="4">
        <v>1440</v>
      </c>
      <c r="AI319" s="4"/>
      <c r="AJ319" s="4" t="s">
        <v>1148</v>
      </c>
      <c r="AK319" s="4">
        <v>72.518000000000001</v>
      </c>
      <c r="AN319" s="4">
        <v>3</v>
      </c>
      <c r="AO319" s="4">
        <v>25</v>
      </c>
      <c r="AP319" s="4">
        <f t="shared" si="10"/>
        <v>49</v>
      </c>
      <c r="AQ319" s="4"/>
      <c r="AR319" s="4" t="s">
        <v>1207</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1165</v>
      </c>
      <c r="AF320" s="4" t="s">
        <v>153</v>
      </c>
      <c r="AG320" s="4" t="s">
        <v>1159</v>
      </c>
      <c r="AH320" s="4">
        <v>1440</v>
      </c>
      <c r="AI320" s="4"/>
      <c r="AJ320" s="4" t="s">
        <v>1148</v>
      </c>
      <c r="AK320" s="4">
        <v>72.518000000000001</v>
      </c>
      <c r="AN320" s="4">
        <v>3</v>
      </c>
      <c r="AO320" s="4">
        <v>25</v>
      </c>
      <c r="AP320" s="4">
        <f t="shared" si="10"/>
        <v>56</v>
      </c>
      <c r="AQ320" s="4"/>
      <c r="AR320" s="4" t="s">
        <v>1207</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1165</v>
      </c>
      <c r="AF321" s="4" t="s">
        <v>153</v>
      </c>
      <c r="AG321" s="4" t="s">
        <v>1159</v>
      </c>
      <c r="AH321" s="4">
        <v>1440</v>
      </c>
      <c r="AI321" s="4"/>
      <c r="AJ321" s="4" t="s">
        <v>1148</v>
      </c>
      <c r="AK321" s="4">
        <v>73.581999999999994</v>
      </c>
      <c r="AN321" s="4">
        <v>3</v>
      </c>
      <c r="AO321" s="4">
        <v>25</v>
      </c>
      <c r="AP321" s="4">
        <f t="shared" si="10"/>
        <v>63</v>
      </c>
      <c r="AQ321" s="4"/>
      <c r="AR321" s="4" t="s">
        <v>1207</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1165</v>
      </c>
      <c r="AF322" s="4" t="s">
        <v>153</v>
      </c>
      <c r="AG322" s="4" t="s">
        <v>1159</v>
      </c>
      <c r="AH322" s="4">
        <v>1440</v>
      </c>
      <c r="AI322" s="4"/>
      <c r="AJ322" s="4" t="s">
        <v>1148</v>
      </c>
      <c r="AK322" s="4">
        <v>76.418000000000006</v>
      </c>
      <c r="AN322" s="4">
        <v>3</v>
      </c>
      <c r="AO322" s="4">
        <v>25</v>
      </c>
      <c r="AP322" s="4">
        <f t="shared" si="10"/>
        <v>70</v>
      </c>
      <c r="AQ322" s="4"/>
      <c r="AR322" s="4" t="s">
        <v>1207</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1165</v>
      </c>
      <c r="AF323" s="4" t="s">
        <v>153</v>
      </c>
      <c r="AG323" s="4" t="s">
        <v>1159</v>
      </c>
      <c r="AH323" s="4">
        <v>1440</v>
      </c>
      <c r="AI323" s="4"/>
      <c r="AJ323" s="4" t="s">
        <v>1148</v>
      </c>
      <c r="AK323" s="4">
        <v>76.418000000000006</v>
      </c>
      <c r="AN323" s="4">
        <v>3</v>
      </c>
      <c r="AO323" s="4">
        <v>25</v>
      </c>
      <c r="AP323" s="4">
        <f t="shared" si="10"/>
        <v>77</v>
      </c>
      <c r="AQ323" s="4"/>
      <c r="AR323" s="4" t="s">
        <v>1207</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1165</v>
      </c>
      <c r="AF324" s="4" t="s">
        <v>153</v>
      </c>
      <c r="AG324" s="4" t="s">
        <v>1159</v>
      </c>
      <c r="AH324" s="4">
        <v>1440</v>
      </c>
      <c r="AI324" s="4"/>
      <c r="AJ324" s="4" t="s">
        <v>1148</v>
      </c>
      <c r="AK324" s="4">
        <v>76.418000000000006</v>
      </c>
      <c r="AN324" s="4">
        <v>3</v>
      </c>
      <c r="AO324" s="4">
        <v>25</v>
      </c>
      <c r="AP324" s="4">
        <f t="shared" si="10"/>
        <v>84</v>
      </c>
      <c r="AQ324" s="4"/>
      <c r="AR324" s="4" t="s">
        <v>1207</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1165</v>
      </c>
      <c r="AF325" s="4" t="s">
        <v>153</v>
      </c>
      <c r="AG325" s="4" t="s">
        <v>1159</v>
      </c>
      <c r="AH325" s="4">
        <v>1440</v>
      </c>
      <c r="AI325" s="4"/>
      <c r="AJ325" s="4" t="s">
        <v>1148</v>
      </c>
      <c r="AK325" s="4">
        <v>76.418000000000006</v>
      </c>
      <c r="AN325" s="4">
        <v>3</v>
      </c>
      <c r="AO325" s="4">
        <v>25</v>
      </c>
      <c r="AP325" s="4">
        <f t="shared" si="10"/>
        <v>91</v>
      </c>
      <c r="AQ325" s="4"/>
      <c r="AR325" s="4" t="s">
        <v>1207</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1165</v>
      </c>
      <c r="AF326" s="4" t="s">
        <v>153</v>
      </c>
      <c r="AG326" s="4" t="s">
        <v>1159</v>
      </c>
      <c r="AH326" s="4">
        <v>1440</v>
      </c>
      <c r="AI326" s="4"/>
      <c r="AJ326" s="4" t="s">
        <v>1148</v>
      </c>
      <c r="AK326" s="4">
        <v>81.382999999999996</v>
      </c>
      <c r="AN326" s="4">
        <v>3</v>
      </c>
      <c r="AO326" s="4">
        <v>25</v>
      </c>
      <c r="AP326" s="4">
        <f t="shared" si="10"/>
        <v>98</v>
      </c>
      <c r="AQ326" s="4"/>
      <c r="AR326" s="4" t="s">
        <v>1207</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1165</v>
      </c>
      <c r="AF327" s="4" t="s">
        <v>153</v>
      </c>
      <c r="AG327" s="4" t="s">
        <v>1159</v>
      </c>
      <c r="AH327" s="4">
        <v>1440</v>
      </c>
      <c r="AI327" s="4"/>
      <c r="AJ327" s="4" t="s">
        <v>1148</v>
      </c>
      <c r="AK327" s="4">
        <v>81.382999999999996</v>
      </c>
      <c r="AN327" s="4">
        <v>3</v>
      </c>
      <c r="AO327" s="4">
        <v>25</v>
      </c>
      <c r="AP327" s="4">
        <f t="shared" si="10"/>
        <v>105</v>
      </c>
      <c r="AQ327" s="4"/>
      <c r="AR327" s="4" t="s">
        <v>1207</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1165</v>
      </c>
      <c r="AF328" s="4" t="s">
        <v>153</v>
      </c>
      <c r="AG328" s="4" t="s">
        <v>1159</v>
      </c>
      <c r="AH328" s="4">
        <v>1440</v>
      </c>
      <c r="AI328" s="4"/>
      <c r="AJ328" s="4" t="s">
        <v>1148</v>
      </c>
      <c r="AK328" s="4">
        <v>81.738</v>
      </c>
      <c r="AN328" s="4">
        <v>3</v>
      </c>
      <c r="AO328" s="4">
        <v>25</v>
      </c>
      <c r="AP328" s="4">
        <f t="shared" si="10"/>
        <v>112</v>
      </c>
      <c r="AQ328" s="4"/>
      <c r="AR328" s="4" t="s">
        <v>1207</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1165</v>
      </c>
      <c r="AF329" s="4" t="s">
        <v>153</v>
      </c>
      <c r="AG329" s="4" t="s">
        <v>1159</v>
      </c>
      <c r="AH329" s="4">
        <v>1440</v>
      </c>
      <c r="AI329" s="4"/>
      <c r="AJ329" s="4" t="s">
        <v>1148</v>
      </c>
      <c r="AK329" s="4">
        <v>81.738</v>
      </c>
      <c r="AN329" s="4">
        <v>3</v>
      </c>
      <c r="AO329" s="4">
        <v>25</v>
      </c>
      <c r="AP329" s="4">
        <f t="shared" si="10"/>
        <v>119</v>
      </c>
      <c r="AQ329" s="4"/>
      <c r="AR329" s="4" t="s">
        <v>1207</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1165</v>
      </c>
      <c r="AF330" s="4" t="s">
        <v>153</v>
      </c>
      <c r="AG330" s="4" t="s">
        <v>1159</v>
      </c>
      <c r="AH330" s="4">
        <v>1440</v>
      </c>
      <c r="AI330" s="4"/>
      <c r="AJ330" s="4" t="s">
        <v>1148</v>
      </c>
      <c r="AK330" s="4">
        <v>81.738</v>
      </c>
      <c r="AN330" s="4">
        <v>3</v>
      </c>
      <c r="AO330" s="4">
        <v>25</v>
      </c>
      <c r="AP330" s="4">
        <f t="shared" si="10"/>
        <v>126</v>
      </c>
      <c r="AQ330" s="4"/>
      <c r="AR330" s="4" t="s">
        <v>1207</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1165</v>
      </c>
      <c r="AF331" s="4" t="s">
        <v>153</v>
      </c>
      <c r="AG331" s="4" t="s">
        <v>1159</v>
      </c>
      <c r="AH331" s="4">
        <v>1440</v>
      </c>
      <c r="AI331" s="4"/>
      <c r="AJ331" s="4" t="s">
        <v>1148</v>
      </c>
      <c r="AK331" s="4">
        <v>82.801000000000002</v>
      </c>
      <c r="AN331" s="4">
        <v>3</v>
      </c>
      <c r="AO331" s="4">
        <v>25</v>
      </c>
      <c r="AP331" s="4">
        <f t="shared" si="10"/>
        <v>133</v>
      </c>
      <c r="AQ331" s="4"/>
      <c r="AR331" s="4" t="s">
        <v>1207</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1165</v>
      </c>
      <c r="AF332" s="4" t="s">
        <v>153</v>
      </c>
      <c r="AG332" s="4" t="s">
        <v>1159</v>
      </c>
      <c r="AH332" s="4">
        <v>1440</v>
      </c>
      <c r="AI332" s="4"/>
      <c r="AJ332" s="4" t="s">
        <v>1148</v>
      </c>
      <c r="AK332" s="4">
        <v>82.801000000000002</v>
      </c>
      <c r="AN332" s="4">
        <v>3</v>
      </c>
      <c r="AO332" s="4">
        <v>25</v>
      </c>
      <c r="AP332" s="4">
        <f t="shared" si="10"/>
        <v>140</v>
      </c>
      <c r="AQ332" s="4"/>
      <c r="AR332" s="4" t="s">
        <v>1207</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1165</v>
      </c>
      <c r="AF333" s="4" t="s">
        <v>153</v>
      </c>
      <c r="AG333" s="4" t="s">
        <v>1159</v>
      </c>
      <c r="AH333" s="4">
        <v>1440</v>
      </c>
      <c r="AI333" s="4"/>
      <c r="AJ333" s="4" t="s">
        <v>1148</v>
      </c>
      <c r="AK333" s="4">
        <v>83.156000000000006</v>
      </c>
      <c r="AN333" s="4">
        <v>3</v>
      </c>
      <c r="AO333" s="4">
        <v>25</v>
      </c>
      <c r="AP333" s="4">
        <f>AP332+7</f>
        <v>147</v>
      </c>
      <c r="AQ333" s="4"/>
      <c r="AR333" s="4" t="s">
        <v>1207</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1165</v>
      </c>
      <c r="AF334" s="4" t="s">
        <v>153</v>
      </c>
      <c r="AG334" s="4" t="s">
        <v>1159</v>
      </c>
      <c r="AH334" s="4">
        <v>1440</v>
      </c>
      <c r="AI334" s="4"/>
      <c r="AJ334" s="4" t="s">
        <v>1148</v>
      </c>
      <c r="AK334" s="4">
        <v>84.22</v>
      </c>
      <c r="AN334" s="4">
        <v>3</v>
      </c>
      <c r="AO334" s="4">
        <v>25</v>
      </c>
      <c r="AP334" s="4">
        <f t="shared" ref="AP334:AP336" si="11">AP333+7</f>
        <v>154</v>
      </c>
      <c r="AQ334" s="4"/>
      <c r="AR334" s="4" t="s">
        <v>1207</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1165</v>
      </c>
      <c r="AF335" s="4" t="s">
        <v>153</v>
      </c>
      <c r="AG335" s="4" t="s">
        <v>1159</v>
      </c>
      <c r="AH335" s="4">
        <v>1440</v>
      </c>
      <c r="AI335" s="4"/>
      <c r="AJ335" s="4" t="s">
        <v>1148</v>
      </c>
      <c r="AK335" s="4">
        <v>84.22</v>
      </c>
      <c r="AN335" s="4">
        <v>3</v>
      </c>
      <c r="AO335" s="4">
        <v>25</v>
      </c>
      <c r="AP335" s="4">
        <f t="shared" si="11"/>
        <v>161</v>
      </c>
      <c r="AQ335" s="4"/>
      <c r="AR335" s="4" t="s">
        <v>1207</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1165</v>
      </c>
      <c r="AF336" s="4" t="s">
        <v>153</v>
      </c>
      <c r="AG336" s="4" t="s">
        <v>1159</v>
      </c>
      <c r="AH336" s="4">
        <v>1440</v>
      </c>
      <c r="AI336" s="4"/>
      <c r="AJ336" s="4" t="s">
        <v>1148</v>
      </c>
      <c r="AK336" s="4">
        <v>84.22</v>
      </c>
      <c r="AN336" s="4">
        <v>3</v>
      </c>
      <c r="AO336" s="4">
        <v>25</v>
      </c>
      <c r="AP336" s="4">
        <f t="shared" si="11"/>
        <v>168</v>
      </c>
      <c r="AQ336" s="4"/>
      <c r="AR336" s="4" t="s">
        <v>1207</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1165</v>
      </c>
      <c r="AF337" s="4" t="s">
        <v>153</v>
      </c>
      <c r="AG337" s="4" t="s">
        <v>1159</v>
      </c>
      <c r="AH337" s="4">
        <v>1440</v>
      </c>
      <c r="AI337" s="4"/>
      <c r="AJ337" s="4" t="s">
        <v>1148</v>
      </c>
      <c r="AK337" s="4">
        <v>1.2410000000000001</v>
      </c>
      <c r="AN337" s="4">
        <v>3</v>
      </c>
      <c r="AO337" s="4">
        <v>25</v>
      </c>
      <c r="AP337" s="4">
        <v>7</v>
      </c>
      <c r="AQ337" s="4"/>
      <c r="AR337" s="4" t="s">
        <v>1207</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1165</v>
      </c>
      <c r="AF338" s="4" t="s">
        <v>153</v>
      </c>
      <c r="AG338" s="4" t="s">
        <v>1159</v>
      </c>
      <c r="AH338" s="4">
        <v>1440</v>
      </c>
      <c r="AI338" s="4"/>
      <c r="AJ338" s="4" t="s">
        <v>1148</v>
      </c>
      <c r="AK338" s="4">
        <v>20.39</v>
      </c>
      <c r="AN338" s="4">
        <v>3</v>
      </c>
      <c r="AO338" s="4">
        <v>25</v>
      </c>
      <c r="AP338" s="4">
        <f>AP337+7</f>
        <v>14</v>
      </c>
      <c r="AQ338" s="4"/>
      <c r="AR338" s="4" t="s">
        <v>1207</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1165</v>
      </c>
      <c r="AF339" s="4" t="s">
        <v>153</v>
      </c>
      <c r="AG339" s="4" t="s">
        <v>1159</v>
      </c>
      <c r="AH339" s="4">
        <v>1440</v>
      </c>
      <c r="AI339" s="4"/>
      <c r="AJ339" s="4" t="s">
        <v>1148</v>
      </c>
      <c r="AK339" s="4">
        <v>25.709</v>
      </c>
      <c r="AN339" s="4">
        <v>3</v>
      </c>
      <c r="AO339" s="4">
        <v>25</v>
      </c>
      <c r="AP339" s="4">
        <f t="shared" ref="AP339:AP356" si="12">AP338+7</f>
        <v>21</v>
      </c>
      <c r="AQ339" s="4"/>
      <c r="AR339" s="4" t="s">
        <v>1207</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1165</v>
      </c>
      <c r="AF340" s="4" t="s">
        <v>153</v>
      </c>
      <c r="AG340" s="4" t="s">
        <v>1159</v>
      </c>
      <c r="AH340" s="4">
        <v>1440</v>
      </c>
      <c r="AI340" s="4"/>
      <c r="AJ340" s="4" t="s">
        <v>1148</v>
      </c>
      <c r="AK340" s="4">
        <v>45.567</v>
      </c>
      <c r="AN340" s="4">
        <v>3</v>
      </c>
      <c r="AO340" s="4">
        <v>25</v>
      </c>
      <c r="AP340" s="4">
        <f t="shared" si="12"/>
        <v>28</v>
      </c>
      <c r="AQ340" s="4"/>
      <c r="AR340" s="4" t="s">
        <v>1207</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1165</v>
      </c>
      <c r="AF341" s="4" t="s">
        <v>153</v>
      </c>
      <c r="AG341" s="4" t="s">
        <v>1159</v>
      </c>
      <c r="AH341" s="4">
        <v>1440</v>
      </c>
      <c r="AI341" s="4"/>
      <c r="AJ341" s="4" t="s">
        <v>1148</v>
      </c>
      <c r="AK341" s="4">
        <v>48.05</v>
      </c>
      <c r="AN341" s="4">
        <v>3</v>
      </c>
      <c r="AO341" s="4">
        <v>25</v>
      </c>
      <c r="AP341" s="4">
        <f t="shared" si="12"/>
        <v>35</v>
      </c>
      <c r="AQ341" s="4"/>
      <c r="AR341" s="4" t="s">
        <v>1207</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1165</v>
      </c>
      <c r="AF342" s="4" t="s">
        <v>153</v>
      </c>
      <c r="AG342" s="4" t="s">
        <v>1159</v>
      </c>
      <c r="AH342" s="4">
        <v>1440</v>
      </c>
      <c r="AI342" s="4"/>
      <c r="AJ342" s="4" t="s">
        <v>1148</v>
      </c>
      <c r="AK342" s="4">
        <v>48.05</v>
      </c>
      <c r="AN342" s="4">
        <v>3</v>
      </c>
      <c r="AO342" s="4">
        <v>25</v>
      </c>
      <c r="AP342" s="4">
        <f t="shared" si="12"/>
        <v>42</v>
      </c>
      <c r="AQ342" s="4"/>
      <c r="AR342" s="4" t="s">
        <v>1207</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1165</v>
      </c>
      <c r="AF343" s="4" t="s">
        <v>153</v>
      </c>
      <c r="AG343" s="4" t="s">
        <v>1159</v>
      </c>
      <c r="AH343" s="4">
        <v>1440</v>
      </c>
      <c r="AI343" s="4"/>
      <c r="AJ343" s="4" t="s">
        <v>1148</v>
      </c>
      <c r="AK343" s="4">
        <v>71.099000000000004</v>
      </c>
      <c r="AN343" s="4">
        <v>3</v>
      </c>
      <c r="AO343" s="4">
        <v>25</v>
      </c>
      <c r="AP343" s="4">
        <f t="shared" si="12"/>
        <v>49</v>
      </c>
      <c r="AQ343" s="4"/>
      <c r="AR343" s="4" t="s">
        <v>1207</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1165</v>
      </c>
      <c r="AF344" s="4" t="s">
        <v>153</v>
      </c>
      <c r="AG344" s="4" t="s">
        <v>1159</v>
      </c>
      <c r="AH344" s="4">
        <v>1440</v>
      </c>
      <c r="AI344" s="4"/>
      <c r="AJ344" s="4" t="s">
        <v>1148</v>
      </c>
      <c r="AK344" s="4">
        <v>80.319000000000003</v>
      </c>
      <c r="AN344" s="4">
        <v>3</v>
      </c>
      <c r="AO344" s="4">
        <v>25</v>
      </c>
      <c r="AP344" s="4">
        <f t="shared" si="12"/>
        <v>56</v>
      </c>
      <c r="AQ344" s="4"/>
      <c r="AR344" s="4" t="s">
        <v>1207</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1165</v>
      </c>
      <c r="AF345" s="4" t="s">
        <v>153</v>
      </c>
      <c r="AG345" s="4" t="s">
        <v>1159</v>
      </c>
      <c r="AH345" s="4">
        <v>1440</v>
      </c>
      <c r="AI345" s="4"/>
      <c r="AJ345" s="4" t="s">
        <v>1148</v>
      </c>
      <c r="AK345" s="4">
        <v>80.319000000000003</v>
      </c>
      <c r="AN345" s="4">
        <v>3</v>
      </c>
      <c r="AO345" s="4">
        <v>25</v>
      </c>
      <c r="AP345" s="4">
        <f t="shared" si="12"/>
        <v>63</v>
      </c>
      <c r="AQ345" s="4"/>
      <c r="AR345" s="4" t="s">
        <v>1207</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1165</v>
      </c>
      <c r="AF346" s="4" t="s">
        <v>153</v>
      </c>
      <c r="AG346" s="4" t="s">
        <v>1159</v>
      </c>
      <c r="AH346" s="4">
        <v>1440</v>
      </c>
      <c r="AI346" s="4"/>
      <c r="AJ346" s="4" t="s">
        <v>1148</v>
      </c>
      <c r="AK346" s="4">
        <v>80.319000000000003</v>
      </c>
      <c r="AN346" s="4">
        <v>3</v>
      </c>
      <c r="AO346" s="4">
        <v>25</v>
      </c>
      <c r="AP346" s="4">
        <f t="shared" si="12"/>
        <v>70</v>
      </c>
      <c r="AQ346" s="4"/>
      <c r="AR346" s="4" t="s">
        <v>1207</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1165</v>
      </c>
      <c r="AF347" s="4" t="s">
        <v>153</v>
      </c>
      <c r="AG347" s="4" t="s">
        <v>1159</v>
      </c>
      <c r="AH347" s="4">
        <v>1440</v>
      </c>
      <c r="AI347" s="4"/>
      <c r="AJ347" s="4" t="s">
        <v>1148</v>
      </c>
      <c r="AK347" s="4">
        <v>80.319000000000003</v>
      </c>
      <c r="AN347" s="4">
        <v>3</v>
      </c>
      <c r="AO347" s="4">
        <v>25</v>
      </c>
      <c r="AP347" s="4">
        <f t="shared" si="12"/>
        <v>77</v>
      </c>
      <c r="AQ347" s="4"/>
      <c r="AR347" s="4" t="s">
        <v>1207</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1165</v>
      </c>
      <c r="AF348" s="4" t="s">
        <v>153</v>
      </c>
      <c r="AG348" s="4" t="s">
        <v>1159</v>
      </c>
      <c r="AH348" s="4">
        <v>1440</v>
      </c>
      <c r="AI348" s="4"/>
      <c r="AJ348" s="4" t="s">
        <v>1148</v>
      </c>
      <c r="AK348" s="4">
        <v>80.319000000000003</v>
      </c>
      <c r="AN348" s="4">
        <v>3</v>
      </c>
      <c r="AO348" s="4">
        <v>25</v>
      </c>
      <c r="AP348" s="4">
        <f t="shared" si="12"/>
        <v>84</v>
      </c>
      <c r="AQ348" s="4"/>
      <c r="AR348" s="4" t="s">
        <v>1207</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1165</v>
      </c>
      <c r="AF349" s="4" t="s">
        <v>153</v>
      </c>
      <c r="AG349" s="4" t="s">
        <v>1159</v>
      </c>
      <c r="AH349" s="4">
        <v>1440</v>
      </c>
      <c r="AI349" s="4"/>
      <c r="AJ349" s="4" t="s">
        <v>1148</v>
      </c>
      <c r="AK349" s="4">
        <v>80.319000000000003</v>
      </c>
      <c r="AN349" s="4">
        <v>3</v>
      </c>
      <c r="AO349" s="4">
        <v>25</v>
      </c>
      <c r="AP349" s="4">
        <f t="shared" si="12"/>
        <v>91</v>
      </c>
      <c r="AQ349" s="4"/>
      <c r="AR349" s="4" t="s">
        <v>1207</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1165</v>
      </c>
      <c r="AF350" s="4" t="s">
        <v>153</v>
      </c>
      <c r="AG350" s="4" t="s">
        <v>1159</v>
      </c>
      <c r="AH350" s="4">
        <v>1440</v>
      </c>
      <c r="AI350" s="4"/>
      <c r="AJ350" s="4" t="s">
        <v>1148</v>
      </c>
      <c r="AK350" s="4">
        <v>87.057000000000002</v>
      </c>
      <c r="AN350" s="4">
        <v>3</v>
      </c>
      <c r="AO350" s="4">
        <v>25</v>
      </c>
      <c r="AP350" s="4">
        <f t="shared" si="12"/>
        <v>98</v>
      </c>
      <c r="AQ350" s="4"/>
      <c r="AR350" s="4" t="s">
        <v>1207</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1165</v>
      </c>
      <c r="AF351" s="4" t="s">
        <v>153</v>
      </c>
      <c r="AG351" s="4" t="s">
        <v>1159</v>
      </c>
      <c r="AH351" s="4">
        <v>1440</v>
      </c>
      <c r="AI351" s="4"/>
      <c r="AJ351" s="4" t="s">
        <v>1148</v>
      </c>
      <c r="AK351" s="4">
        <v>87.057000000000002</v>
      </c>
      <c r="AN351" s="4">
        <v>3</v>
      </c>
      <c r="AO351" s="4">
        <v>25</v>
      </c>
      <c r="AP351" s="4">
        <f t="shared" si="12"/>
        <v>105</v>
      </c>
      <c r="AQ351" s="4"/>
      <c r="AR351" s="4" t="s">
        <v>1207</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1165</v>
      </c>
      <c r="AF352" s="4" t="s">
        <v>153</v>
      </c>
      <c r="AG352" s="4" t="s">
        <v>1159</v>
      </c>
      <c r="AH352" s="4">
        <v>1440</v>
      </c>
      <c r="AI352" s="4"/>
      <c r="AJ352" s="4" t="s">
        <v>1148</v>
      </c>
      <c r="AK352" s="4">
        <v>87.057000000000002</v>
      </c>
      <c r="AN352" s="4">
        <v>3</v>
      </c>
      <c r="AO352" s="4">
        <v>25</v>
      </c>
      <c r="AP352" s="4">
        <f t="shared" si="12"/>
        <v>112</v>
      </c>
      <c r="AQ352" s="4"/>
      <c r="AR352" s="4" t="s">
        <v>1207</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1165</v>
      </c>
      <c r="AF353" s="4" t="s">
        <v>153</v>
      </c>
      <c r="AG353" s="4" t="s">
        <v>1159</v>
      </c>
      <c r="AH353" s="4">
        <v>1440</v>
      </c>
      <c r="AI353" s="4"/>
      <c r="AJ353" s="4" t="s">
        <v>1148</v>
      </c>
      <c r="AK353" s="4">
        <v>87.057000000000002</v>
      </c>
      <c r="AN353" s="4">
        <v>3</v>
      </c>
      <c r="AO353" s="4">
        <v>25</v>
      </c>
      <c r="AP353" s="4">
        <f t="shared" si="12"/>
        <v>119</v>
      </c>
      <c r="AQ353" s="4"/>
      <c r="AR353" s="4" t="s">
        <v>1207</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1165</v>
      </c>
      <c r="AF354" s="4" t="s">
        <v>153</v>
      </c>
      <c r="AG354" s="4" t="s">
        <v>1159</v>
      </c>
      <c r="AH354" s="4">
        <v>1440</v>
      </c>
      <c r="AI354" s="4"/>
      <c r="AJ354" s="4" t="s">
        <v>1148</v>
      </c>
      <c r="AK354" s="4">
        <v>87.057000000000002</v>
      </c>
      <c r="AN354" s="4">
        <v>3</v>
      </c>
      <c r="AO354" s="4">
        <v>25</v>
      </c>
      <c r="AP354" s="4">
        <f t="shared" si="12"/>
        <v>126</v>
      </c>
      <c r="AQ354" s="4"/>
      <c r="AR354" s="4" t="s">
        <v>1207</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1165</v>
      </c>
      <c r="AF355" s="4" t="s">
        <v>153</v>
      </c>
      <c r="AG355" s="4" t="s">
        <v>1159</v>
      </c>
      <c r="AH355" s="4">
        <v>1440</v>
      </c>
      <c r="AI355" s="4"/>
      <c r="AJ355" s="4" t="s">
        <v>1148</v>
      </c>
      <c r="AK355" s="4">
        <v>88.474999999999994</v>
      </c>
      <c r="AN355" s="4">
        <v>3</v>
      </c>
      <c r="AO355" s="4">
        <v>25</v>
      </c>
      <c r="AP355" s="4">
        <f t="shared" si="12"/>
        <v>133</v>
      </c>
      <c r="AQ355" s="4"/>
      <c r="AR355" s="4" t="s">
        <v>1207</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1165</v>
      </c>
      <c r="AF356" s="4" t="s">
        <v>153</v>
      </c>
      <c r="AG356" s="4" t="s">
        <v>1159</v>
      </c>
      <c r="AH356" s="4">
        <v>1440</v>
      </c>
      <c r="AI356" s="4"/>
      <c r="AJ356" s="4" t="s">
        <v>1148</v>
      </c>
      <c r="AK356" s="4">
        <v>88.474999999999994</v>
      </c>
      <c r="AN356" s="4">
        <v>3</v>
      </c>
      <c r="AO356" s="4">
        <v>25</v>
      </c>
      <c r="AP356" s="4">
        <f t="shared" si="12"/>
        <v>140</v>
      </c>
      <c r="AQ356" s="4"/>
      <c r="AR356" s="4" t="s">
        <v>1207</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1165</v>
      </c>
      <c r="AF357" s="4" t="s">
        <v>153</v>
      </c>
      <c r="AG357" s="4" t="s">
        <v>1159</v>
      </c>
      <c r="AH357" s="4">
        <v>1440</v>
      </c>
      <c r="AI357" s="4"/>
      <c r="AJ357" s="4" t="s">
        <v>1148</v>
      </c>
      <c r="AK357" s="4">
        <v>88.120999999999995</v>
      </c>
      <c r="AN357" s="4">
        <v>3</v>
      </c>
      <c r="AO357" s="4">
        <v>25</v>
      </c>
      <c r="AP357" s="4">
        <f>AP356+7</f>
        <v>147</v>
      </c>
      <c r="AQ357" s="4"/>
      <c r="AR357" s="4" t="s">
        <v>1207</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1165</v>
      </c>
      <c r="AF358" s="4" t="s">
        <v>153</v>
      </c>
      <c r="AG358" s="4" t="s">
        <v>1159</v>
      </c>
      <c r="AH358" s="4">
        <v>1440</v>
      </c>
      <c r="AI358" s="4"/>
      <c r="AJ358" s="4" t="s">
        <v>1148</v>
      </c>
      <c r="AK358" s="4">
        <v>88.120999999999995</v>
      </c>
      <c r="AN358" s="4">
        <v>3</v>
      </c>
      <c r="AO358" s="4">
        <v>25</v>
      </c>
      <c r="AP358" s="4">
        <f t="shared" ref="AP358:AP359" si="13">AP357+7</f>
        <v>154</v>
      </c>
      <c r="AQ358" s="4"/>
      <c r="AR358" s="4" t="s">
        <v>1207</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1165</v>
      </c>
      <c r="AF359" s="4" t="s">
        <v>153</v>
      </c>
      <c r="AG359" s="4" t="s">
        <v>1159</v>
      </c>
      <c r="AH359" s="4">
        <v>1440</v>
      </c>
      <c r="AI359" s="4"/>
      <c r="AJ359" s="4" t="s">
        <v>1148</v>
      </c>
      <c r="AK359" s="4">
        <v>90.956999999999994</v>
      </c>
      <c r="AN359" s="4">
        <v>3</v>
      </c>
      <c r="AO359" s="4">
        <v>25</v>
      </c>
      <c r="AP359" s="4">
        <f t="shared" si="13"/>
        <v>161</v>
      </c>
      <c r="AQ359" s="4"/>
      <c r="AR359" s="4" t="s">
        <v>1207</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1165</v>
      </c>
      <c r="AF360" s="4" t="s">
        <v>153</v>
      </c>
      <c r="AG360" s="4" t="s">
        <v>1159</v>
      </c>
      <c r="AH360" s="4">
        <v>1440</v>
      </c>
      <c r="AI360" s="4"/>
      <c r="AJ360" s="4" t="s">
        <v>1148</v>
      </c>
      <c r="AK360" s="4">
        <v>92.376000000000005</v>
      </c>
      <c r="AN360" s="4">
        <v>3</v>
      </c>
      <c r="AO360" s="4">
        <v>25</v>
      </c>
      <c r="AP360" s="4">
        <f t="shared" ref="AP360" si="14">AP359+7</f>
        <v>168</v>
      </c>
      <c r="AQ360" s="4"/>
      <c r="AR360" s="4" t="s">
        <v>1207</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1165</v>
      </c>
      <c r="AF361" s="4" t="s">
        <v>153</v>
      </c>
      <c r="AG361" s="4" t="s">
        <v>1160</v>
      </c>
      <c r="AH361" s="4">
        <v>1440</v>
      </c>
      <c r="AI361" s="4"/>
      <c r="AJ361" s="4" t="s">
        <v>1148</v>
      </c>
      <c r="AK361" s="4">
        <v>0</v>
      </c>
      <c r="AN361" s="4">
        <v>3</v>
      </c>
      <c r="AO361" s="4">
        <v>25</v>
      </c>
      <c r="AP361" s="4">
        <v>7</v>
      </c>
      <c r="AQ361" s="4"/>
      <c r="AR361" s="4" t="s">
        <v>1207</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1165</v>
      </c>
      <c r="AF362" s="4" t="s">
        <v>153</v>
      </c>
      <c r="AG362" s="4" t="s">
        <v>1160</v>
      </c>
      <c r="AH362" s="4">
        <v>1440</v>
      </c>
      <c r="AI362" s="4"/>
      <c r="AJ362" s="4" t="s">
        <v>1148</v>
      </c>
      <c r="AK362" s="4">
        <v>14.613</v>
      </c>
      <c r="AN362" s="4">
        <v>3</v>
      </c>
      <c r="AO362" s="4">
        <v>25</v>
      </c>
      <c r="AP362" s="4">
        <f>AP361+7</f>
        <v>14</v>
      </c>
      <c r="AQ362" s="4"/>
      <c r="AR362" s="4" t="s">
        <v>1207</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1165</v>
      </c>
      <c r="AF363" s="4" t="s">
        <v>153</v>
      </c>
      <c r="AG363" s="4" t="s">
        <v>1160</v>
      </c>
      <c r="AH363" s="4">
        <v>1440</v>
      </c>
      <c r="AI363" s="4"/>
      <c r="AJ363" s="4" t="s">
        <v>1148</v>
      </c>
      <c r="AK363" s="4">
        <v>21.303000000000001</v>
      </c>
      <c r="AN363" s="4">
        <v>3</v>
      </c>
      <c r="AO363" s="4">
        <v>25</v>
      </c>
      <c r="AP363" s="4">
        <f t="shared" ref="AP363:AP380" si="15">AP362+7</f>
        <v>21</v>
      </c>
      <c r="AQ363" s="4"/>
      <c r="AR363" s="4" t="s">
        <v>1207</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1165</v>
      </c>
      <c r="AF364" s="4" t="s">
        <v>153</v>
      </c>
      <c r="AG364" s="4" t="s">
        <v>1160</v>
      </c>
      <c r="AH364" s="4">
        <v>1440</v>
      </c>
      <c r="AI364" s="4"/>
      <c r="AJ364" s="4" t="s">
        <v>1148</v>
      </c>
      <c r="AK364" s="4">
        <v>24.12</v>
      </c>
      <c r="AN364" s="4">
        <v>3</v>
      </c>
      <c r="AO364" s="4">
        <v>25</v>
      </c>
      <c r="AP364" s="4">
        <f t="shared" si="15"/>
        <v>28</v>
      </c>
      <c r="AQ364" s="4"/>
      <c r="AR364" s="4" t="s">
        <v>1207</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1165</v>
      </c>
      <c r="AF365" s="4" t="s">
        <v>153</v>
      </c>
      <c r="AG365" s="4" t="s">
        <v>1160</v>
      </c>
      <c r="AH365" s="4">
        <v>1440</v>
      </c>
      <c r="AI365" s="4"/>
      <c r="AJ365" s="4" t="s">
        <v>1148</v>
      </c>
      <c r="AK365" s="4">
        <v>25.527999999999999</v>
      </c>
      <c r="AN365" s="4">
        <v>3</v>
      </c>
      <c r="AO365" s="4">
        <v>25</v>
      </c>
      <c r="AP365" s="4">
        <f t="shared" si="15"/>
        <v>35</v>
      </c>
      <c r="AQ365" s="4"/>
      <c r="AR365" s="4" t="s">
        <v>1207</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1165</v>
      </c>
      <c r="AF366" s="4" t="s">
        <v>153</v>
      </c>
      <c r="AG366" s="4" t="s">
        <v>1160</v>
      </c>
      <c r="AH366" s="4">
        <v>1440</v>
      </c>
      <c r="AI366" s="4"/>
      <c r="AJ366" s="4" t="s">
        <v>1148</v>
      </c>
      <c r="AK366" s="4">
        <v>25.175999999999998</v>
      </c>
      <c r="AN366" s="4">
        <v>3</v>
      </c>
      <c r="AO366" s="4">
        <v>25</v>
      </c>
      <c r="AP366" s="4">
        <f t="shared" si="15"/>
        <v>42</v>
      </c>
      <c r="AQ366" s="4"/>
      <c r="AR366" s="4" t="s">
        <v>1207</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1165</v>
      </c>
      <c r="AF367" s="4" t="s">
        <v>153</v>
      </c>
      <c r="AG367" s="4" t="s">
        <v>1160</v>
      </c>
      <c r="AH367" s="4">
        <v>1440</v>
      </c>
      <c r="AI367" s="4"/>
      <c r="AJ367" s="4" t="s">
        <v>1148</v>
      </c>
      <c r="AK367" s="4">
        <v>29.401</v>
      </c>
      <c r="AN367" s="4">
        <v>3</v>
      </c>
      <c r="AO367" s="4">
        <v>25</v>
      </c>
      <c r="AP367" s="4">
        <f t="shared" si="15"/>
        <v>49</v>
      </c>
      <c r="AQ367" s="4"/>
      <c r="AR367" s="4" t="s">
        <v>1207</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1165</v>
      </c>
      <c r="AF368" s="4" t="s">
        <v>153</v>
      </c>
      <c r="AG368" s="4" t="s">
        <v>1160</v>
      </c>
      <c r="AH368" s="4">
        <v>1440</v>
      </c>
      <c r="AI368" s="4"/>
      <c r="AJ368" s="4" t="s">
        <v>1148</v>
      </c>
      <c r="AK368" s="4">
        <v>34.683</v>
      </c>
      <c r="AN368" s="4">
        <v>3</v>
      </c>
      <c r="AO368" s="4">
        <v>25</v>
      </c>
      <c r="AP368" s="4">
        <f t="shared" si="15"/>
        <v>56</v>
      </c>
      <c r="AQ368" s="4"/>
      <c r="AR368" s="4" t="s">
        <v>1207</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1165</v>
      </c>
      <c r="AF369" s="4" t="s">
        <v>153</v>
      </c>
      <c r="AG369" s="4" t="s">
        <v>1160</v>
      </c>
      <c r="AH369" s="4">
        <v>1440</v>
      </c>
      <c r="AI369" s="4"/>
      <c r="AJ369" s="4" t="s">
        <v>1148</v>
      </c>
      <c r="AK369" s="4">
        <v>36.091999999999999</v>
      </c>
      <c r="AN369" s="4">
        <v>3</v>
      </c>
      <c r="AO369" s="4">
        <v>25</v>
      </c>
      <c r="AP369" s="4">
        <f t="shared" si="15"/>
        <v>63</v>
      </c>
      <c r="AQ369" s="4"/>
      <c r="AR369" s="4" t="s">
        <v>1207</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1165</v>
      </c>
      <c r="AF370" s="4" t="s">
        <v>153</v>
      </c>
      <c r="AG370" s="4" t="s">
        <v>1160</v>
      </c>
      <c r="AH370" s="4">
        <v>1440</v>
      </c>
      <c r="AI370" s="4"/>
      <c r="AJ370" s="4" t="s">
        <v>1148</v>
      </c>
      <c r="AK370" s="4">
        <v>35.738999999999997</v>
      </c>
      <c r="AN370" s="4">
        <v>3</v>
      </c>
      <c r="AO370" s="4">
        <v>25</v>
      </c>
      <c r="AP370" s="4">
        <f t="shared" si="15"/>
        <v>70</v>
      </c>
      <c r="AQ370" s="4"/>
      <c r="AR370" s="4" t="s">
        <v>1207</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1165</v>
      </c>
      <c r="AF371" s="4" t="s">
        <v>153</v>
      </c>
      <c r="AG371" s="4" t="s">
        <v>1160</v>
      </c>
      <c r="AH371" s="4">
        <v>1440</v>
      </c>
      <c r="AI371" s="4"/>
      <c r="AJ371" s="4" t="s">
        <v>1148</v>
      </c>
      <c r="AK371" s="4">
        <v>36.091999999999999</v>
      </c>
      <c r="AN371" s="4">
        <v>3</v>
      </c>
      <c r="AO371" s="4">
        <v>25</v>
      </c>
      <c r="AP371" s="4">
        <f t="shared" si="15"/>
        <v>77</v>
      </c>
      <c r="AQ371" s="4"/>
      <c r="AR371" s="4" t="s">
        <v>1207</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1165</v>
      </c>
      <c r="AF372" s="4" t="s">
        <v>153</v>
      </c>
      <c r="AG372" s="4" t="s">
        <v>1160</v>
      </c>
      <c r="AH372" s="4">
        <v>1440</v>
      </c>
      <c r="AI372" s="4"/>
      <c r="AJ372" s="4" t="s">
        <v>1148</v>
      </c>
      <c r="AK372" s="4">
        <v>35.738999999999997</v>
      </c>
      <c r="AN372" s="4">
        <v>3</v>
      </c>
      <c r="AO372" s="4">
        <v>25</v>
      </c>
      <c r="AP372" s="4">
        <f t="shared" si="15"/>
        <v>84</v>
      </c>
      <c r="AQ372" s="4"/>
      <c r="AR372" s="4" t="s">
        <v>1207</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1165</v>
      </c>
      <c r="AF373" s="4" t="s">
        <v>153</v>
      </c>
      <c r="AG373" s="4" t="s">
        <v>1160</v>
      </c>
      <c r="AH373" s="4">
        <v>1440</v>
      </c>
      <c r="AI373" s="4"/>
      <c r="AJ373" s="4" t="s">
        <v>1148</v>
      </c>
      <c r="AK373" s="4">
        <v>36.091999999999999</v>
      </c>
      <c r="AN373" s="4">
        <v>3</v>
      </c>
      <c r="AO373" s="4">
        <v>25</v>
      </c>
      <c r="AP373" s="4">
        <f t="shared" si="15"/>
        <v>91</v>
      </c>
      <c r="AQ373" s="4"/>
      <c r="AR373" s="4" t="s">
        <v>1207</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1165</v>
      </c>
      <c r="AF374" s="4" t="s">
        <v>153</v>
      </c>
      <c r="AG374" s="4" t="s">
        <v>1160</v>
      </c>
      <c r="AH374" s="4">
        <v>1440</v>
      </c>
      <c r="AI374" s="4"/>
      <c r="AJ374" s="4" t="s">
        <v>1148</v>
      </c>
      <c r="AK374" s="4">
        <v>37.5</v>
      </c>
      <c r="AN374" s="4">
        <v>3</v>
      </c>
      <c r="AO374" s="4">
        <v>25</v>
      </c>
      <c r="AP374" s="4">
        <f t="shared" si="15"/>
        <v>98</v>
      </c>
      <c r="AQ374" s="4"/>
      <c r="AR374" s="4" t="s">
        <v>1207</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1165</v>
      </c>
      <c r="AF375" s="4" t="s">
        <v>153</v>
      </c>
      <c r="AG375" s="4" t="s">
        <v>1160</v>
      </c>
      <c r="AH375" s="4">
        <v>1440</v>
      </c>
      <c r="AI375" s="4"/>
      <c r="AJ375" s="4" t="s">
        <v>1148</v>
      </c>
      <c r="AK375" s="4">
        <v>37.148000000000003</v>
      </c>
      <c r="AN375" s="4">
        <v>3</v>
      </c>
      <c r="AO375" s="4">
        <v>25</v>
      </c>
      <c r="AP375" s="4">
        <f t="shared" si="15"/>
        <v>105</v>
      </c>
      <c r="AQ375" s="4"/>
      <c r="AR375" s="4" t="s">
        <v>1207</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1165</v>
      </c>
      <c r="AF376" s="4" t="s">
        <v>153</v>
      </c>
      <c r="AG376" s="4" t="s">
        <v>1160</v>
      </c>
      <c r="AH376" s="4">
        <v>1440</v>
      </c>
      <c r="AI376" s="4"/>
      <c r="AJ376" s="4" t="s">
        <v>1148</v>
      </c>
      <c r="AK376" s="4">
        <v>37.148000000000003</v>
      </c>
      <c r="AN376" s="4">
        <v>3</v>
      </c>
      <c r="AO376" s="4">
        <v>25</v>
      </c>
      <c r="AP376" s="4">
        <f t="shared" si="15"/>
        <v>112</v>
      </c>
      <c r="AQ376" s="4"/>
      <c r="AR376" s="4" t="s">
        <v>1207</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1165</v>
      </c>
      <c r="AF377" s="4" t="s">
        <v>153</v>
      </c>
      <c r="AG377" s="4" t="s">
        <v>1160</v>
      </c>
      <c r="AH377" s="4">
        <v>1440</v>
      </c>
      <c r="AI377" s="4"/>
      <c r="AJ377" s="4" t="s">
        <v>1148</v>
      </c>
      <c r="AK377" s="4">
        <v>37.5</v>
      </c>
      <c r="AN377" s="4">
        <v>3</v>
      </c>
      <c r="AO377" s="4">
        <v>25</v>
      </c>
      <c r="AP377" s="4">
        <f t="shared" si="15"/>
        <v>119</v>
      </c>
      <c r="AQ377" s="4"/>
      <c r="AR377" s="4" t="s">
        <v>1207</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1165</v>
      </c>
      <c r="AF378" s="4" t="s">
        <v>153</v>
      </c>
      <c r="AG378" s="4" t="s">
        <v>1160</v>
      </c>
      <c r="AH378" s="4">
        <v>1440</v>
      </c>
      <c r="AI378" s="4"/>
      <c r="AJ378" s="4" t="s">
        <v>1148</v>
      </c>
      <c r="AK378" s="4">
        <v>37.5</v>
      </c>
      <c r="AN378" s="4">
        <v>3</v>
      </c>
      <c r="AO378" s="4">
        <v>25</v>
      </c>
      <c r="AP378" s="4">
        <f t="shared" si="15"/>
        <v>126</v>
      </c>
      <c r="AQ378" s="4"/>
      <c r="AR378" s="4" t="s">
        <v>1207</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1165</v>
      </c>
      <c r="AF379" s="4" t="s">
        <v>153</v>
      </c>
      <c r="AG379" s="4" t="s">
        <v>1160</v>
      </c>
      <c r="AH379" s="4">
        <v>1440</v>
      </c>
      <c r="AI379" s="4"/>
      <c r="AJ379" s="4" t="s">
        <v>1148</v>
      </c>
      <c r="AK379" s="4">
        <v>37.5</v>
      </c>
      <c r="AN379" s="4">
        <v>3</v>
      </c>
      <c r="AO379" s="4">
        <v>25</v>
      </c>
      <c r="AP379" s="4">
        <f t="shared" si="15"/>
        <v>133</v>
      </c>
      <c r="AQ379" s="4"/>
      <c r="AR379" s="4" t="s">
        <v>1207</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1165</v>
      </c>
      <c r="AF380" s="4" t="s">
        <v>153</v>
      </c>
      <c r="AG380" s="4" t="s">
        <v>1160</v>
      </c>
      <c r="AH380" s="4">
        <v>1440</v>
      </c>
      <c r="AI380" s="4"/>
      <c r="AJ380" s="4" t="s">
        <v>1148</v>
      </c>
      <c r="AK380" s="4">
        <v>37.148000000000003</v>
      </c>
      <c r="AN380" s="4">
        <v>3</v>
      </c>
      <c r="AO380" s="4">
        <v>25</v>
      </c>
      <c r="AP380" s="4">
        <f t="shared" si="15"/>
        <v>140</v>
      </c>
      <c r="AQ380" s="4"/>
      <c r="AR380" s="4" t="s">
        <v>1207</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1165</v>
      </c>
      <c r="AF381" s="4" t="s">
        <v>153</v>
      </c>
      <c r="AG381" s="4" t="s">
        <v>1160</v>
      </c>
      <c r="AH381" s="4">
        <v>1440</v>
      </c>
      <c r="AI381" s="4"/>
      <c r="AJ381" s="4" t="s">
        <v>1148</v>
      </c>
      <c r="AK381" s="4">
        <v>37.148000000000003</v>
      </c>
      <c r="AN381" s="4">
        <v>3</v>
      </c>
      <c r="AO381" s="4">
        <v>25</v>
      </c>
      <c r="AP381" s="4">
        <f>AP380+7</f>
        <v>147</v>
      </c>
      <c r="AQ381" s="4"/>
      <c r="AR381" s="4" t="s">
        <v>1207</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1165</v>
      </c>
      <c r="AF382" s="4" t="s">
        <v>153</v>
      </c>
      <c r="AG382" s="4" t="s">
        <v>1160</v>
      </c>
      <c r="AH382" s="4">
        <v>1440</v>
      </c>
      <c r="AI382" s="4"/>
      <c r="AJ382" s="4" t="s">
        <v>1148</v>
      </c>
      <c r="AK382" s="4">
        <v>38.555999999999997</v>
      </c>
      <c r="AN382" s="4">
        <v>3</v>
      </c>
      <c r="AO382" s="4">
        <v>25</v>
      </c>
      <c r="AP382" s="4">
        <f t="shared" ref="AP382:AP384" si="16">AP381+7</f>
        <v>154</v>
      </c>
      <c r="AQ382" s="4"/>
      <c r="AR382" s="4" t="s">
        <v>1207</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1165</v>
      </c>
      <c r="AF383" s="4" t="s">
        <v>153</v>
      </c>
      <c r="AG383" s="4" t="s">
        <v>1160</v>
      </c>
      <c r="AH383" s="4">
        <v>1440</v>
      </c>
      <c r="AI383" s="4"/>
      <c r="AJ383" s="4" t="s">
        <v>1148</v>
      </c>
      <c r="AK383" s="4">
        <v>38.555999999999997</v>
      </c>
      <c r="AN383" s="4">
        <v>3</v>
      </c>
      <c r="AO383" s="4">
        <v>25</v>
      </c>
      <c r="AP383" s="4">
        <f t="shared" si="16"/>
        <v>161</v>
      </c>
      <c r="AQ383" s="4"/>
      <c r="AR383" s="4" t="s">
        <v>1207</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1165</v>
      </c>
      <c r="AF384" s="4" t="s">
        <v>153</v>
      </c>
      <c r="AG384" s="4" t="s">
        <v>1160</v>
      </c>
      <c r="AH384" s="4">
        <v>1440</v>
      </c>
      <c r="AI384" s="4"/>
      <c r="AJ384" s="4" t="s">
        <v>1148</v>
      </c>
      <c r="AK384" s="4">
        <v>39.965000000000003</v>
      </c>
      <c r="AN384" s="4">
        <v>3</v>
      </c>
      <c r="AO384" s="4">
        <v>25</v>
      </c>
      <c r="AP384" s="4">
        <f t="shared" si="16"/>
        <v>168</v>
      </c>
      <c r="AQ384" s="4"/>
      <c r="AR384" s="4" t="s">
        <v>1207</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1165</v>
      </c>
      <c r="AF385" s="4" t="s">
        <v>153</v>
      </c>
      <c r="AG385" s="4" t="s">
        <v>1159</v>
      </c>
      <c r="AH385" s="4">
        <v>1440</v>
      </c>
      <c r="AI385" s="4"/>
      <c r="AJ385" s="4" t="s">
        <v>1148</v>
      </c>
      <c r="AK385" s="4">
        <v>25.352</v>
      </c>
      <c r="AN385" s="4">
        <v>3</v>
      </c>
      <c r="AO385" s="4">
        <v>25</v>
      </c>
      <c r="AP385" s="4">
        <v>14</v>
      </c>
      <c r="AQ385" s="4"/>
      <c r="AR385" s="4" t="s">
        <v>1207</v>
      </c>
      <c r="AS385" t="s">
        <v>1209</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1165</v>
      </c>
      <c r="AF386" s="4" t="s">
        <v>153</v>
      </c>
      <c r="AG386" s="4" t="s">
        <v>1159</v>
      </c>
      <c r="AH386" s="4">
        <v>1440</v>
      </c>
      <c r="AI386" s="4"/>
      <c r="AJ386" s="4" t="s">
        <v>1148</v>
      </c>
      <c r="AK386" s="4">
        <v>37.148000000000003</v>
      </c>
      <c r="AN386" s="4">
        <v>3</v>
      </c>
      <c r="AO386" s="4">
        <v>25</v>
      </c>
      <c r="AP386" s="4">
        <f t="shared" ref="AP386:AP402" si="17">AP385+7</f>
        <v>21</v>
      </c>
      <c r="AQ386" s="4"/>
      <c r="AR386" s="4" t="s">
        <v>1207</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1165</v>
      </c>
      <c r="AF387" s="4" t="s">
        <v>153</v>
      </c>
      <c r="AG387" s="4" t="s">
        <v>1159</v>
      </c>
      <c r="AH387" s="4">
        <v>1440</v>
      </c>
      <c r="AI387" s="4"/>
      <c r="AJ387" s="4" t="s">
        <v>1148</v>
      </c>
      <c r="AK387" s="4">
        <v>43.838000000000001</v>
      </c>
      <c r="AN387" s="4">
        <v>3</v>
      </c>
      <c r="AO387" s="4">
        <v>25</v>
      </c>
      <c r="AP387" s="4">
        <f t="shared" si="17"/>
        <v>28</v>
      </c>
      <c r="AQ387" s="4"/>
      <c r="AR387" s="4" t="s">
        <v>1207</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1165</v>
      </c>
      <c r="AF388" s="4" t="s">
        <v>153</v>
      </c>
      <c r="AG388" s="4" t="s">
        <v>1159</v>
      </c>
      <c r="AH388" s="4">
        <v>1440</v>
      </c>
      <c r="AI388" s="4"/>
      <c r="AJ388" s="4" t="s">
        <v>1148</v>
      </c>
      <c r="AK388" s="4">
        <v>48.063000000000002</v>
      </c>
      <c r="AN388" s="4">
        <v>3</v>
      </c>
      <c r="AO388" s="4">
        <v>25</v>
      </c>
      <c r="AP388" s="4">
        <v>42</v>
      </c>
      <c r="AQ388" s="4"/>
      <c r="AR388" s="4" t="s">
        <v>1207</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1165</v>
      </c>
      <c r="AF389" s="4" t="s">
        <v>153</v>
      </c>
      <c r="AG389" s="4" t="s">
        <v>1159</v>
      </c>
      <c r="AH389" s="4">
        <v>1440</v>
      </c>
      <c r="AI389" s="4"/>
      <c r="AJ389" s="4" t="s">
        <v>1148</v>
      </c>
      <c r="AK389" s="4">
        <v>54.401000000000003</v>
      </c>
      <c r="AN389" s="4">
        <v>3</v>
      </c>
      <c r="AO389" s="4">
        <v>25</v>
      </c>
      <c r="AP389" s="4">
        <f t="shared" si="17"/>
        <v>49</v>
      </c>
      <c r="AQ389" s="4"/>
      <c r="AR389" s="4" t="s">
        <v>1207</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1165</v>
      </c>
      <c r="AF390" s="4" t="s">
        <v>153</v>
      </c>
      <c r="AG390" s="4" t="s">
        <v>1159</v>
      </c>
      <c r="AH390" s="4">
        <v>1440</v>
      </c>
      <c r="AI390" s="4"/>
      <c r="AJ390" s="4" t="s">
        <v>1148</v>
      </c>
      <c r="AK390" s="4">
        <v>58.627000000000002</v>
      </c>
      <c r="AN390" s="4">
        <v>3</v>
      </c>
      <c r="AO390" s="4">
        <v>25</v>
      </c>
      <c r="AP390" s="4">
        <f t="shared" si="17"/>
        <v>56</v>
      </c>
      <c r="AQ390" s="4"/>
      <c r="AR390" s="4" t="s">
        <v>1207</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1165</v>
      </c>
      <c r="AF391" s="4" t="s">
        <v>153</v>
      </c>
      <c r="AG391" s="4" t="s">
        <v>1159</v>
      </c>
      <c r="AH391" s="4">
        <v>1440</v>
      </c>
      <c r="AI391" s="4"/>
      <c r="AJ391" s="4" t="s">
        <v>1148</v>
      </c>
      <c r="AK391" s="4">
        <v>58.627000000000002</v>
      </c>
      <c r="AN391" s="4">
        <v>3</v>
      </c>
      <c r="AO391" s="4">
        <v>25</v>
      </c>
      <c r="AP391" s="4">
        <f t="shared" si="17"/>
        <v>63</v>
      </c>
      <c r="AQ391" s="4"/>
      <c r="AR391" s="4" t="s">
        <v>1207</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1165</v>
      </c>
      <c r="AF392" s="4" t="s">
        <v>153</v>
      </c>
      <c r="AG392" s="4" t="s">
        <v>1159</v>
      </c>
      <c r="AH392" s="4">
        <v>1440</v>
      </c>
      <c r="AI392" s="4"/>
      <c r="AJ392" s="4" t="s">
        <v>1148</v>
      </c>
      <c r="AK392" s="4">
        <v>58.627000000000002</v>
      </c>
      <c r="AN392" s="4">
        <v>3</v>
      </c>
      <c r="AO392" s="4">
        <v>25</v>
      </c>
      <c r="AP392" s="4">
        <f t="shared" si="17"/>
        <v>70</v>
      </c>
      <c r="AQ392" s="4"/>
      <c r="AR392" s="4" t="s">
        <v>1207</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1165</v>
      </c>
      <c r="AF393" s="4" t="s">
        <v>153</v>
      </c>
      <c r="AG393" s="4" t="s">
        <v>1159</v>
      </c>
      <c r="AH393" s="4">
        <v>1440</v>
      </c>
      <c r="AI393" s="4"/>
      <c r="AJ393" s="4" t="s">
        <v>1148</v>
      </c>
      <c r="AK393" s="4">
        <v>58.627000000000002</v>
      </c>
      <c r="AN393" s="4">
        <v>3</v>
      </c>
      <c r="AO393" s="4">
        <v>25</v>
      </c>
      <c r="AP393" s="4">
        <f t="shared" si="17"/>
        <v>77</v>
      </c>
      <c r="AQ393" s="4"/>
      <c r="AR393" s="4" t="s">
        <v>1207</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1165</v>
      </c>
      <c r="AF394" s="4" t="s">
        <v>153</v>
      </c>
      <c r="AG394" s="4" t="s">
        <v>1159</v>
      </c>
      <c r="AH394" s="4">
        <v>1440</v>
      </c>
      <c r="AI394" s="4"/>
      <c r="AJ394" s="4" t="s">
        <v>1148</v>
      </c>
      <c r="AK394" s="4">
        <v>58.627000000000002</v>
      </c>
      <c r="AN394" s="4">
        <v>3</v>
      </c>
      <c r="AO394" s="4">
        <v>25</v>
      </c>
      <c r="AP394" s="4">
        <f t="shared" si="17"/>
        <v>84</v>
      </c>
      <c r="AQ394" s="4"/>
      <c r="AR394" s="4" t="s">
        <v>1207</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1165</v>
      </c>
      <c r="AF395" s="4" t="s">
        <v>153</v>
      </c>
      <c r="AG395" s="4" t="s">
        <v>1159</v>
      </c>
      <c r="AH395" s="4">
        <v>1440</v>
      </c>
      <c r="AI395" s="4"/>
      <c r="AJ395" s="4" t="s">
        <v>1148</v>
      </c>
      <c r="AK395" s="4">
        <v>60.034999999999997</v>
      </c>
      <c r="AN395" s="4">
        <v>3</v>
      </c>
      <c r="AO395" s="4">
        <v>25</v>
      </c>
      <c r="AP395" s="4">
        <f t="shared" si="17"/>
        <v>91</v>
      </c>
      <c r="AQ395" s="4"/>
      <c r="AR395" s="4" t="s">
        <v>1207</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1165</v>
      </c>
      <c r="AF396" s="4" t="s">
        <v>153</v>
      </c>
      <c r="AG396" s="4" t="s">
        <v>1159</v>
      </c>
      <c r="AH396" s="4">
        <v>1440</v>
      </c>
      <c r="AI396" s="4"/>
      <c r="AJ396" s="4" t="s">
        <v>1148</v>
      </c>
      <c r="AK396" s="4">
        <v>65.668999999999997</v>
      </c>
      <c r="AN396" s="4">
        <v>3</v>
      </c>
      <c r="AO396" s="4">
        <v>25</v>
      </c>
      <c r="AP396" s="4">
        <f t="shared" si="17"/>
        <v>98</v>
      </c>
      <c r="AQ396" s="4"/>
      <c r="AR396" s="4" t="s">
        <v>1207</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1165</v>
      </c>
      <c r="AF397" s="4" t="s">
        <v>153</v>
      </c>
      <c r="AG397" s="4" t="s">
        <v>1159</v>
      </c>
      <c r="AH397" s="4">
        <v>1440</v>
      </c>
      <c r="AI397" s="4"/>
      <c r="AJ397" s="4" t="s">
        <v>1148</v>
      </c>
      <c r="AK397" s="4">
        <v>65.316999999999993</v>
      </c>
      <c r="AN397" s="4">
        <v>3</v>
      </c>
      <c r="AO397" s="4">
        <v>25</v>
      </c>
      <c r="AP397" s="4">
        <f t="shared" si="17"/>
        <v>105</v>
      </c>
      <c r="AQ397" s="4"/>
      <c r="AR397" s="4" t="s">
        <v>1207</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1165</v>
      </c>
      <c r="AF398" s="4" t="s">
        <v>153</v>
      </c>
      <c r="AG398" s="4" t="s">
        <v>1159</v>
      </c>
      <c r="AH398" s="4">
        <v>1440</v>
      </c>
      <c r="AI398" s="4"/>
      <c r="AJ398" s="4" t="s">
        <v>1148</v>
      </c>
      <c r="AK398" s="4">
        <v>65.668999999999997</v>
      </c>
      <c r="AN398" s="4">
        <v>3</v>
      </c>
      <c r="AO398" s="4">
        <v>25</v>
      </c>
      <c r="AP398" s="4">
        <f t="shared" si="17"/>
        <v>112</v>
      </c>
      <c r="AQ398" s="4"/>
      <c r="AR398" s="4" t="s">
        <v>1207</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1165</v>
      </c>
      <c r="AF399" s="4" t="s">
        <v>153</v>
      </c>
      <c r="AG399" s="4" t="s">
        <v>1159</v>
      </c>
      <c r="AH399" s="4">
        <v>1440</v>
      </c>
      <c r="AI399" s="4"/>
      <c r="AJ399" s="4" t="s">
        <v>1148</v>
      </c>
      <c r="AK399" s="4">
        <v>65.316999999999993</v>
      </c>
      <c r="AN399" s="4">
        <v>3</v>
      </c>
      <c r="AO399" s="4">
        <v>25</v>
      </c>
      <c r="AP399" s="4">
        <f t="shared" si="17"/>
        <v>119</v>
      </c>
      <c r="AQ399" s="4"/>
      <c r="AR399" s="4" t="s">
        <v>1207</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1165</v>
      </c>
      <c r="AF400" s="4" t="s">
        <v>153</v>
      </c>
      <c r="AG400" s="4" t="s">
        <v>1159</v>
      </c>
      <c r="AH400" s="4">
        <v>1440</v>
      </c>
      <c r="AI400" s="4"/>
      <c r="AJ400" s="4" t="s">
        <v>1148</v>
      </c>
      <c r="AK400" s="4">
        <v>64.965000000000003</v>
      </c>
      <c r="AN400" s="4">
        <v>3</v>
      </c>
      <c r="AO400" s="4">
        <v>25</v>
      </c>
      <c r="AP400" s="4">
        <f t="shared" si="17"/>
        <v>126</v>
      </c>
      <c r="AQ400" s="4"/>
      <c r="AR400" s="4" t="s">
        <v>1207</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1165</v>
      </c>
      <c r="AF401" s="4" t="s">
        <v>153</v>
      </c>
      <c r="AG401" s="4" t="s">
        <v>1159</v>
      </c>
      <c r="AH401" s="4">
        <v>1440</v>
      </c>
      <c r="AI401" s="4"/>
      <c r="AJ401" s="4" t="s">
        <v>1148</v>
      </c>
      <c r="AK401" s="4">
        <v>65.316999999999993</v>
      </c>
      <c r="AN401" s="4">
        <v>3</v>
      </c>
      <c r="AO401" s="4">
        <v>25</v>
      </c>
      <c r="AP401" s="4">
        <f t="shared" si="17"/>
        <v>133</v>
      </c>
      <c r="AQ401" s="4"/>
      <c r="AR401" s="4" t="s">
        <v>1207</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1165</v>
      </c>
      <c r="AF402" s="4" t="s">
        <v>153</v>
      </c>
      <c r="AG402" s="4" t="s">
        <v>1159</v>
      </c>
      <c r="AH402" s="4">
        <v>1440</v>
      </c>
      <c r="AI402" s="4"/>
      <c r="AJ402" s="4" t="s">
        <v>1148</v>
      </c>
      <c r="AK402" s="4">
        <v>65.316999999999993</v>
      </c>
      <c r="AN402" s="4">
        <v>3</v>
      </c>
      <c r="AO402" s="4">
        <v>25</v>
      </c>
      <c r="AP402" s="4">
        <f t="shared" si="17"/>
        <v>140</v>
      </c>
      <c r="AQ402" s="4"/>
      <c r="AR402" s="4" t="s">
        <v>1207</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1165</v>
      </c>
      <c r="AF403" s="4" t="s">
        <v>153</v>
      </c>
      <c r="AG403" s="4" t="s">
        <v>1159</v>
      </c>
      <c r="AH403" s="4">
        <v>1440</v>
      </c>
      <c r="AI403" s="4"/>
      <c r="AJ403" s="4" t="s">
        <v>1148</v>
      </c>
      <c r="AK403" s="4">
        <v>65.316999999999993</v>
      </c>
      <c r="AN403" s="4">
        <v>3</v>
      </c>
      <c r="AO403" s="4">
        <v>25</v>
      </c>
      <c r="AP403" s="4">
        <f>AP402+7</f>
        <v>147</v>
      </c>
      <c r="AQ403" s="4"/>
      <c r="AR403" s="4" t="s">
        <v>1207</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1165</v>
      </c>
      <c r="AF404" s="4" t="s">
        <v>153</v>
      </c>
      <c r="AG404" s="4" t="s">
        <v>1159</v>
      </c>
      <c r="AH404" s="4">
        <v>1440</v>
      </c>
      <c r="AI404" s="4"/>
      <c r="AJ404" s="4" t="s">
        <v>1148</v>
      </c>
      <c r="AK404" s="4">
        <v>65.316999999999993</v>
      </c>
      <c r="AN404" s="4">
        <v>3</v>
      </c>
      <c r="AO404" s="4">
        <v>25</v>
      </c>
      <c r="AP404" s="4">
        <f t="shared" ref="AP404:AP406" si="18">AP403+7</f>
        <v>154</v>
      </c>
      <c r="AQ404" s="4"/>
      <c r="AR404" s="4" t="s">
        <v>1207</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1165</v>
      </c>
      <c r="AF405" s="4" t="s">
        <v>153</v>
      </c>
      <c r="AG405" s="4" t="s">
        <v>1159</v>
      </c>
      <c r="AH405" s="4">
        <v>1440</v>
      </c>
      <c r="AI405" s="4"/>
      <c r="AJ405" s="4" t="s">
        <v>1148</v>
      </c>
      <c r="AK405" s="4">
        <v>65.668999999999997</v>
      </c>
      <c r="AN405" s="4">
        <v>3</v>
      </c>
      <c r="AO405" s="4">
        <v>25</v>
      </c>
      <c r="AP405" s="4">
        <f t="shared" si="18"/>
        <v>161</v>
      </c>
      <c r="AQ405" s="4"/>
      <c r="AR405" s="4" t="s">
        <v>1207</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1165</v>
      </c>
      <c r="AF406" s="4" t="s">
        <v>153</v>
      </c>
      <c r="AG406" s="4" t="s">
        <v>1159</v>
      </c>
      <c r="AH406" s="4">
        <v>1440</v>
      </c>
      <c r="AI406" s="4"/>
      <c r="AJ406" s="4" t="s">
        <v>1148</v>
      </c>
      <c r="AK406" s="4">
        <v>66.724999999999994</v>
      </c>
      <c r="AN406" s="4">
        <v>3</v>
      </c>
      <c r="AO406" s="4">
        <v>25</v>
      </c>
      <c r="AP406" s="4">
        <f t="shared" si="18"/>
        <v>168</v>
      </c>
      <c r="AQ406" s="4"/>
      <c r="AR406" s="4" t="s">
        <v>1207</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1165</v>
      </c>
      <c r="AF407" s="4" t="s">
        <v>153</v>
      </c>
      <c r="AG407" s="4" t="s">
        <v>1159</v>
      </c>
      <c r="AH407" s="4">
        <v>1440</v>
      </c>
      <c r="AI407" s="4"/>
      <c r="AJ407" s="4" t="s">
        <v>1148</v>
      </c>
      <c r="AK407" s="4">
        <v>5.4580000000000002</v>
      </c>
      <c r="AN407" s="4">
        <v>3</v>
      </c>
      <c r="AO407" s="4">
        <v>25</v>
      </c>
      <c r="AP407" s="4">
        <v>7</v>
      </c>
      <c r="AQ407" s="4"/>
      <c r="AR407" s="4" t="s">
        <v>1207</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1165</v>
      </c>
      <c r="AF408" s="4" t="s">
        <v>153</v>
      </c>
      <c r="AG408" s="4" t="s">
        <v>1159</v>
      </c>
      <c r="AH408" s="4">
        <v>1440</v>
      </c>
      <c r="AI408" s="4"/>
      <c r="AJ408" s="4" t="s">
        <v>1148</v>
      </c>
      <c r="AK408" s="4">
        <v>30.457999999999998</v>
      </c>
      <c r="AN408" s="4">
        <v>3</v>
      </c>
      <c r="AO408" s="4">
        <v>25</v>
      </c>
      <c r="AP408" s="4">
        <f>AP407+7</f>
        <v>14</v>
      </c>
      <c r="AQ408" s="4"/>
      <c r="AR408" s="4" t="s">
        <v>1207</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1165</v>
      </c>
      <c r="AF409" s="4" t="s">
        <v>153</v>
      </c>
      <c r="AG409" s="4" t="s">
        <v>1159</v>
      </c>
      <c r="AH409" s="4">
        <v>1440</v>
      </c>
      <c r="AI409" s="4"/>
      <c r="AJ409" s="4" t="s">
        <v>1148</v>
      </c>
      <c r="AK409" s="4">
        <v>35.738999999999997</v>
      </c>
      <c r="AN409" s="4">
        <v>3</v>
      </c>
      <c r="AO409" s="4">
        <v>25</v>
      </c>
      <c r="AP409" s="4">
        <f t="shared" ref="AP409:AP426" si="19">AP408+7</f>
        <v>21</v>
      </c>
      <c r="AQ409" s="4"/>
      <c r="AR409" s="4" t="s">
        <v>1207</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1165</v>
      </c>
      <c r="AF410" s="4" t="s">
        <v>153</v>
      </c>
      <c r="AG410" s="4" t="s">
        <v>1159</v>
      </c>
      <c r="AH410" s="4">
        <v>1440</v>
      </c>
      <c r="AI410" s="4"/>
      <c r="AJ410" s="4" t="s">
        <v>1148</v>
      </c>
      <c r="AK410" s="4">
        <v>41.021000000000001</v>
      </c>
      <c r="AN410" s="4">
        <v>3</v>
      </c>
      <c r="AO410" s="4">
        <v>25</v>
      </c>
      <c r="AP410" s="4">
        <f t="shared" si="19"/>
        <v>28</v>
      </c>
      <c r="AQ410" s="4"/>
      <c r="AR410" s="4" t="s">
        <v>1207</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1165</v>
      </c>
      <c r="AF411" s="4" t="s">
        <v>153</v>
      </c>
      <c r="AG411" s="4" t="s">
        <v>1159</v>
      </c>
      <c r="AH411" s="4">
        <v>1440</v>
      </c>
      <c r="AI411" s="4"/>
      <c r="AJ411" s="4" t="s">
        <v>1148</v>
      </c>
      <c r="AK411" s="4">
        <v>48.063000000000002</v>
      </c>
      <c r="AN411" s="4">
        <v>3</v>
      </c>
      <c r="AO411" s="4">
        <v>25</v>
      </c>
      <c r="AP411" s="4">
        <f t="shared" si="19"/>
        <v>35</v>
      </c>
      <c r="AQ411" s="4"/>
      <c r="AR411" s="4" t="s">
        <v>1207</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1165</v>
      </c>
      <c r="AF412" s="4" t="s">
        <v>153</v>
      </c>
      <c r="AG412" s="4" t="s">
        <v>1159</v>
      </c>
      <c r="AH412" s="4">
        <v>1440</v>
      </c>
      <c r="AI412" s="4"/>
      <c r="AJ412" s="4" t="s">
        <v>1148</v>
      </c>
      <c r="AK412" s="4">
        <v>49.472000000000001</v>
      </c>
      <c r="AN412" s="4">
        <v>3</v>
      </c>
      <c r="AO412" s="4">
        <v>25</v>
      </c>
      <c r="AP412" s="4">
        <f t="shared" si="19"/>
        <v>42</v>
      </c>
      <c r="AQ412" s="4"/>
      <c r="AR412" s="4" t="s">
        <v>1207</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1165</v>
      </c>
      <c r="AF413" s="4" t="s">
        <v>153</v>
      </c>
      <c r="AG413" s="4" t="s">
        <v>1159</v>
      </c>
      <c r="AH413" s="4">
        <v>1440</v>
      </c>
      <c r="AI413" s="4"/>
      <c r="AJ413" s="4" t="s">
        <v>1148</v>
      </c>
      <c r="AK413" s="4">
        <v>66.373000000000005</v>
      </c>
      <c r="AN413" s="4">
        <v>3</v>
      </c>
      <c r="AO413" s="4">
        <v>25</v>
      </c>
      <c r="AP413" s="4">
        <f t="shared" si="19"/>
        <v>49</v>
      </c>
      <c r="AQ413" s="4"/>
      <c r="AR413" s="4" t="s">
        <v>1207</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1165</v>
      </c>
      <c r="AF414" s="4" t="s">
        <v>153</v>
      </c>
      <c r="AG414" s="4" t="s">
        <v>1159</v>
      </c>
      <c r="AH414" s="4">
        <v>1440</v>
      </c>
      <c r="AI414" s="4"/>
      <c r="AJ414" s="4" t="s">
        <v>1148</v>
      </c>
      <c r="AK414" s="4">
        <v>66.724999999999994</v>
      </c>
      <c r="AN414" s="4">
        <v>3</v>
      </c>
      <c r="AO414" s="4">
        <v>25</v>
      </c>
      <c r="AP414" s="4">
        <f t="shared" si="19"/>
        <v>56</v>
      </c>
      <c r="AQ414" s="4"/>
      <c r="AR414" s="4" t="s">
        <v>1207</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1165</v>
      </c>
      <c r="AF415" s="4" t="s">
        <v>153</v>
      </c>
      <c r="AG415" s="4" t="s">
        <v>1159</v>
      </c>
      <c r="AH415" s="4">
        <v>1440</v>
      </c>
      <c r="AI415" s="4"/>
      <c r="AJ415" s="4" t="s">
        <v>1148</v>
      </c>
      <c r="AK415" s="4">
        <v>68.134</v>
      </c>
      <c r="AN415" s="4">
        <v>3</v>
      </c>
      <c r="AO415" s="4">
        <v>25</v>
      </c>
      <c r="AP415" s="4">
        <f t="shared" si="19"/>
        <v>63</v>
      </c>
      <c r="AQ415" s="4"/>
      <c r="AR415" s="4" t="s">
        <v>1207</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1165</v>
      </c>
      <c r="AF416" s="4" t="s">
        <v>153</v>
      </c>
      <c r="AG416" s="4" t="s">
        <v>1159</v>
      </c>
      <c r="AH416" s="4">
        <v>1440</v>
      </c>
      <c r="AI416" s="4"/>
      <c r="AJ416" s="4" t="s">
        <v>1148</v>
      </c>
      <c r="AK416" s="4">
        <v>68.134</v>
      </c>
      <c r="AN416" s="4">
        <v>3</v>
      </c>
      <c r="AO416" s="4">
        <v>25</v>
      </c>
      <c r="AP416" s="4">
        <f t="shared" si="19"/>
        <v>70</v>
      </c>
      <c r="AQ416" s="4"/>
      <c r="AR416" s="4" t="s">
        <v>1207</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1165</v>
      </c>
      <c r="AF417" s="4" t="s">
        <v>153</v>
      </c>
      <c r="AG417" s="4" t="s">
        <v>1159</v>
      </c>
      <c r="AH417" s="4">
        <v>1440</v>
      </c>
      <c r="AI417" s="4"/>
      <c r="AJ417" s="4" t="s">
        <v>1148</v>
      </c>
      <c r="AK417" s="4">
        <v>67.781999999999996</v>
      </c>
      <c r="AN417" s="4">
        <v>3</v>
      </c>
      <c r="AO417" s="4">
        <v>25</v>
      </c>
      <c r="AP417" s="4">
        <f t="shared" si="19"/>
        <v>77</v>
      </c>
      <c r="AQ417" s="4"/>
      <c r="AR417" s="4" t="s">
        <v>1207</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1165</v>
      </c>
      <c r="AF418" s="4" t="s">
        <v>153</v>
      </c>
      <c r="AG418" s="4" t="s">
        <v>1159</v>
      </c>
      <c r="AH418" s="4">
        <v>1440</v>
      </c>
      <c r="AI418" s="4"/>
      <c r="AJ418" s="4" t="s">
        <v>1148</v>
      </c>
      <c r="AK418" s="4">
        <v>67.781999999999996</v>
      </c>
      <c r="AN418" s="4">
        <v>3</v>
      </c>
      <c r="AO418" s="4">
        <v>25</v>
      </c>
      <c r="AP418" s="4">
        <f t="shared" si="19"/>
        <v>84</v>
      </c>
      <c r="AQ418" s="4"/>
      <c r="AR418" s="4" t="s">
        <v>1207</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1165</v>
      </c>
      <c r="AF419" s="4" t="s">
        <v>153</v>
      </c>
      <c r="AG419" s="4" t="s">
        <v>1159</v>
      </c>
      <c r="AH419" s="4">
        <v>1440</v>
      </c>
      <c r="AI419" s="4"/>
      <c r="AJ419" s="4" t="s">
        <v>1148</v>
      </c>
      <c r="AK419" s="4">
        <v>69.19</v>
      </c>
      <c r="AN419" s="4">
        <v>3</v>
      </c>
      <c r="AO419" s="4">
        <v>25</v>
      </c>
      <c r="AP419" s="4">
        <f t="shared" si="19"/>
        <v>91</v>
      </c>
      <c r="AQ419" s="4"/>
      <c r="AR419" s="4" t="s">
        <v>1207</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1165</v>
      </c>
      <c r="AF420" s="4" t="s">
        <v>153</v>
      </c>
      <c r="AG420" s="4" t="s">
        <v>1159</v>
      </c>
      <c r="AH420" s="4">
        <v>1440</v>
      </c>
      <c r="AI420" s="4"/>
      <c r="AJ420" s="4" t="s">
        <v>1148</v>
      </c>
      <c r="AK420" s="4">
        <v>77.289000000000001</v>
      </c>
      <c r="AN420" s="4">
        <v>3</v>
      </c>
      <c r="AO420" s="4">
        <v>25</v>
      </c>
      <c r="AP420" s="4">
        <f t="shared" si="19"/>
        <v>98</v>
      </c>
      <c r="AQ420" s="4"/>
      <c r="AR420" s="4" t="s">
        <v>1207</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1165</v>
      </c>
      <c r="AF421" s="4" t="s">
        <v>153</v>
      </c>
      <c r="AG421" s="4" t="s">
        <v>1159</v>
      </c>
      <c r="AH421" s="4">
        <v>1440</v>
      </c>
      <c r="AI421" s="4"/>
      <c r="AJ421" s="4" t="s">
        <v>1148</v>
      </c>
      <c r="AK421" s="4">
        <v>77.289000000000001</v>
      </c>
      <c r="AN421" s="4">
        <v>3</v>
      </c>
      <c r="AO421" s="4">
        <v>25</v>
      </c>
      <c r="AP421" s="4">
        <f t="shared" si="19"/>
        <v>105</v>
      </c>
      <c r="AQ421" s="4"/>
      <c r="AR421" s="4" t="s">
        <v>1207</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1165</v>
      </c>
      <c r="AF422" s="4" t="s">
        <v>153</v>
      </c>
      <c r="AG422" s="4" t="s">
        <v>1159</v>
      </c>
      <c r="AH422" s="4">
        <v>1440</v>
      </c>
      <c r="AI422" s="4"/>
      <c r="AJ422" s="4" t="s">
        <v>1148</v>
      </c>
      <c r="AK422" s="4">
        <v>77.289000000000001</v>
      </c>
      <c r="AN422" s="4">
        <v>3</v>
      </c>
      <c r="AO422" s="4">
        <v>25</v>
      </c>
      <c r="AP422" s="4">
        <f t="shared" si="19"/>
        <v>112</v>
      </c>
      <c r="AQ422" s="4"/>
      <c r="AR422" s="4" t="s">
        <v>1207</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1165</v>
      </c>
      <c r="AF423" s="4" t="s">
        <v>153</v>
      </c>
      <c r="AG423" s="4" t="s">
        <v>1159</v>
      </c>
      <c r="AH423" s="4">
        <v>1440</v>
      </c>
      <c r="AI423" s="4"/>
      <c r="AJ423" s="4" t="s">
        <v>1148</v>
      </c>
      <c r="AK423" s="4">
        <v>77.289000000000001</v>
      </c>
      <c r="AN423" s="4">
        <v>3</v>
      </c>
      <c r="AO423" s="4">
        <v>25</v>
      </c>
      <c r="AP423" s="4">
        <f t="shared" si="19"/>
        <v>119</v>
      </c>
      <c r="AQ423" s="4"/>
      <c r="AR423" s="4" t="s">
        <v>1207</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1165</v>
      </c>
      <c r="AF424" s="4" t="s">
        <v>153</v>
      </c>
      <c r="AG424" s="4" t="s">
        <v>1159</v>
      </c>
      <c r="AH424" s="4">
        <v>1440</v>
      </c>
      <c r="AI424" s="4"/>
      <c r="AJ424" s="4" t="s">
        <v>1148</v>
      </c>
      <c r="AK424" s="4">
        <v>77.289000000000001</v>
      </c>
      <c r="AN424" s="4">
        <v>3</v>
      </c>
      <c r="AO424" s="4">
        <v>25</v>
      </c>
      <c r="AP424" s="4">
        <f t="shared" si="19"/>
        <v>126</v>
      </c>
      <c r="AQ424" s="4"/>
      <c r="AR424" s="4" t="s">
        <v>1207</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1165</v>
      </c>
      <c r="AF425" s="4" t="s">
        <v>153</v>
      </c>
      <c r="AG425" s="4" t="s">
        <v>1159</v>
      </c>
      <c r="AH425" s="4">
        <v>1440</v>
      </c>
      <c r="AI425" s="4"/>
      <c r="AJ425" s="4" t="s">
        <v>1148</v>
      </c>
      <c r="AK425" s="4">
        <v>77.289000000000001</v>
      </c>
      <c r="AN425" s="4">
        <v>3</v>
      </c>
      <c r="AO425" s="4">
        <v>25</v>
      </c>
      <c r="AP425" s="4">
        <f t="shared" si="19"/>
        <v>133</v>
      </c>
      <c r="AQ425" s="4"/>
      <c r="AR425" s="4" t="s">
        <v>1207</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1165</v>
      </c>
      <c r="AF426" s="4" t="s">
        <v>153</v>
      </c>
      <c r="AG426" s="4" t="s">
        <v>1159</v>
      </c>
      <c r="AH426" s="4">
        <v>1440</v>
      </c>
      <c r="AI426" s="4"/>
      <c r="AJ426" s="4" t="s">
        <v>1148</v>
      </c>
      <c r="AK426" s="4">
        <v>77.641000000000005</v>
      </c>
      <c r="AN426" s="4">
        <v>3</v>
      </c>
      <c r="AO426" s="4">
        <v>25</v>
      </c>
      <c r="AP426" s="4">
        <f t="shared" si="19"/>
        <v>140</v>
      </c>
      <c r="AQ426" s="4"/>
      <c r="AR426" s="4" t="s">
        <v>1207</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1165</v>
      </c>
      <c r="AF427" s="4" t="s">
        <v>153</v>
      </c>
      <c r="AG427" s="4" t="s">
        <v>1159</v>
      </c>
      <c r="AH427" s="4">
        <v>1440</v>
      </c>
      <c r="AI427" s="4"/>
      <c r="AJ427" s="4" t="s">
        <v>1148</v>
      </c>
      <c r="AK427" s="4">
        <v>77.289000000000001</v>
      </c>
      <c r="AN427" s="4">
        <v>3</v>
      </c>
      <c r="AO427" s="4">
        <v>25</v>
      </c>
      <c r="AP427" s="4">
        <f>AP426+7</f>
        <v>147</v>
      </c>
      <c r="AQ427" s="4"/>
      <c r="AR427" s="4" t="s">
        <v>1207</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1165</v>
      </c>
      <c r="AF428" s="4" t="s">
        <v>153</v>
      </c>
      <c r="AG428" s="4" t="s">
        <v>1159</v>
      </c>
      <c r="AH428" s="4">
        <v>1440</v>
      </c>
      <c r="AI428" s="4"/>
      <c r="AJ428" s="4" t="s">
        <v>1148</v>
      </c>
      <c r="AK428" s="4">
        <v>77.289000000000001</v>
      </c>
      <c r="AN428" s="4">
        <v>3</v>
      </c>
      <c r="AO428" s="4">
        <v>25</v>
      </c>
      <c r="AP428" s="4">
        <f t="shared" ref="AP428:AP430" si="20">AP427+7</f>
        <v>154</v>
      </c>
      <c r="AQ428" s="4"/>
      <c r="AR428" s="4" t="s">
        <v>1207</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1165</v>
      </c>
      <c r="AF429" s="4" t="s">
        <v>153</v>
      </c>
      <c r="AG429" s="4" t="s">
        <v>1159</v>
      </c>
      <c r="AH429" s="4">
        <v>1440</v>
      </c>
      <c r="AI429" s="4"/>
      <c r="AJ429" s="4" t="s">
        <v>1148</v>
      </c>
      <c r="AK429" s="4">
        <v>77.289000000000001</v>
      </c>
      <c r="AN429" s="4">
        <v>3</v>
      </c>
      <c r="AO429" s="4">
        <v>25</v>
      </c>
      <c r="AP429" s="4">
        <f t="shared" si="20"/>
        <v>161</v>
      </c>
      <c r="AQ429" s="4"/>
      <c r="AR429" s="4" t="s">
        <v>1207</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1165</v>
      </c>
      <c r="AF430" s="4" t="s">
        <v>153</v>
      </c>
      <c r="AG430" s="4" t="s">
        <v>1159</v>
      </c>
      <c r="AH430" s="4">
        <v>1440</v>
      </c>
      <c r="AI430" s="4"/>
      <c r="AJ430" s="4" t="s">
        <v>1148</v>
      </c>
      <c r="AK430" s="4">
        <v>77.289000000000001</v>
      </c>
      <c r="AN430" s="4">
        <v>3</v>
      </c>
      <c r="AO430" s="4">
        <v>25</v>
      </c>
      <c r="AP430" s="4">
        <f t="shared" si="20"/>
        <v>168</v>
      </c>
      <c r="AQ430" s="4"/>
      <c r="AR430" s="4" t="s">
        <v>1207</v>
      </c>
    </row>
    <row r="431" spans="1:44" x14ac:dyDescent="0.2">
      <c r="A431" t="s">
        <v>372</v>
      </c>
      <c r="B431" s="4" t="s">
        <v>1146</v>
      </c>
      <c r="C431" s="4" t="s">
        <v>1149</v>
      </c>
      <c r="D431" s="4" t="s">
        <v>1215</v>
      </c>
      <c r="E431" s="4" t="s">
        <v>1216</v>
      </c>
      <c r="G431" s="4" t="s">
        <v>1165</v>
      </c>
      <c r="H431" s="4"/>
      <c r="I431" s="4" t="s">
        <v>1213</v>
      </c>
      <c r="M431" s="4" t="s">
        <v>1157</v>
      </c>
      <c r="P431">
        <v>2006</v>
      </c>
      <c r="Q431" t="s">
        <v>1210</v>
      </c>
      <c r="R431">
        <v>182.5</v>
      </c>
      <c r="S431" t="s">
        <v>1211</v>
      </c>
      <c r="T431" t="s">
        <v>1212</v>
      </c>
      <c r="U431" s="4" t="s">
        <v>1220</v>
      </c>
      <c r="X431" s="9" t="s">
        <v>1212</v>
      </c>
      <c r="AD431" t="s">
        <v>153</v>
      </c>
      <c r="AE431" t="s">
        <v>1214</v>
      </c>
      <c r="AJ431" s="4" t="s">
        <v>1148</v>
      </c>
      <c r="AK431" s="4">
        <v>58.976999999999997</v>
      </c>
      <c r="AN431" s="4">
        <v>3</v>
      </c>
      <c r="AO431" s="4">
        <v>50</v>
      </c>
      <c r="AP431">
        <v>7</v>
      </c>
      <c r="AR431" s="4" t="s">
        <v>1207</v>
      </c>
    </row>
    <row r="432" spans="1:44" x14ac:dyDescent="0.2">
      <c r="A432" t="s">
        <v>372</v>
      </c>
      <c r="B432" s="4" t="s">
        <v>1146</v>
      </c>
      <c r="C432" s="4" t="s">
        <v>1149</v>
      </c>
      <c r="D432" s="4" t="s">
        <v>1215</v>
      </c>
      <c r="E432" s="4" t="s">
        <v>1221</v>
      </c>
      <c r="G432" s="4" t="s">
        <v>1165</v>
      </c>
      <c r="H432" s="4"/>
      <c r="I432" s="4" t="s">
        <v>1213</v>
      </c>
      <c r="M432" s="4" t="s">
        <v>1157</v>
      </c>
      <c r="P432">
        <v>2006</v>
      </c>
      <c r="Q432" t="s">
        <v>1210</v>
      </c>
      <c r="R432">
        <v>182.5</v>
      </c>
      <c r="S432" t="s">
        <v>1211</v>
      </c>
      <c r="T432" t="s">
        <v>1212</v>
      </c>
      <c r="U432" s="4" t="s">
        <v>1218</v>
      </c>
      <c r="V432" s="9" t="s">
        <v>1217</v>
      </c>
      <c r="W432">
        <v>7</v>
      </c>
      <c r="X432" s="9" t="s">
        <v>1212</v>
      </c>
      <c r="AD432" t="s">
        <v>1165</v>
      </c>
      <c r="AJ432" s="4" t="s">
        <v>1148</v>
      </c>
      <c r="AK432" s="4">
        <v>3.0680000000000001</v>
      </c>
      <c r="AN432" s="4">
        <v>3</v>
      </c>
      <c r="AO432" s="4">
        <v>50</v>
      </c>
      <c r="AP432">
        <v>7</v>
      </c>
      <c r="AR432" s="4" t="s">
        <v>1207</v>
      </c>
    </row>
    <row r="433" spans="1:45" x14ac:dyDescent="0.2">
      <c r="A433" t="s">
        <v>372</v>
      </c>
      <c r="B433" s="4" t="s">
        <v>1146</v>
      </c>
      <c r="C433" s="4" t="s">
        <v>1149</v>
      </c>
      <c r="D433" s="4" t="s">
        <v>1215</v>
      </c>
      <c r="E433" s="4" t="s">
        <v>1221</v>
      </c>
      <c r="G433" s="4" t="s">
        <v>1165</v>
      </c>
      <c r="H433" s="4"/>
      <c r="I433" s="4" t="s">
        <v>1213</v>
      </c>
      <c r="M433" s="4" t="s">
        <v>1157</v>
      </c>
      <c r="P433">
        <v>2006</v>
      </c>
      <c r="Q433" t="s">
        <v>1210</v>
      </c>
      <c r="R433">
        <v>182.5</v>
      </c>
      <c r="S433" t="s">
        <v>1211</v>
      </c>
      <c r="T433" t="s">
        <v>1212</v>
      </c>
      <c r="U433" s="4" t="s">
        <v>1219</v>
      </c>
      <c r="V433" s="9" t="s">
        <v>1217</v>
      </c>
      <c r="W433">
        <v>7</v>
      </c>
      <c r="X433" s="9" t="s">
        <v>1212</v>
      </c>
      <c r="AD433" t="s">
        <v>153</v>
      </c>
      <c r="AE433" t="s">
        <v>1214</v>
      </c>
      <c r="AJ433" s="4" t="s">
        <v>1148</v>
      </c>
      <c r="AK433" s="4">
        <v>36.476999999999997</v>
      </c>
      <c r="AN433" s="4">
        <v>3</v>
      </c>
      <c r="AO433" s="4">
        <v>50</v>
      </c>
      <c r="AP433">
        <v>7</v>
      </c>
      <c r="AR433" s="4" t="s">
        <v>1207</v>
      </c>
    </row>
    <row r="434" spans="1:45" x14ac:dyDescent="0.2">
      <c r="A434" t="s">
        <v>372</v>
      </c>
      <c r="B434" s="4" t="s">
        <v>1146</v>
      </c>
      <c r="C434" s="4" t="s">
        <v>1149</v>
      </c>
      <c r="D434" s="4" t="s">
        <v>1215</v>
      </c>
      <c r="E434" s="4" t="s">
        <v>1221</v>
      </c>
      <c r="G434" s="4" t="s">
        <v>1165</v>
      </c>
      <c r="H434" s="4"/>
      <c r="I434" s="4" t="s">
        <v>1213</v>
      </c>
      <c r="M434" s="4" t="s">
        <v>1157</v>
      </c>
      <c r="P434">
        <v>2006</v>
      </c>
      <c r="Q434" t="s">
        <v>1210</v>
      </c>
      <c r="R434">
        <v>182.5</v>
      </c>
      <c r="S434" t="s">
        <v>1211</v>
      </c>
      <c r="T434" t="s">
        <v>1212</v>
      </c>
      <c r="U434" s="4" t="s">
        <v>100</v>
      </c>
      <c r="X434" s="9" t="s">
        <v>1212</v>
      </c>
      <c r="AD434" t="s">
        <v>153</v>
      </c>
      <c r="AE434" t="s">
        <v>1214</v>
      </c>
      <c r="AJ434" s="4" t="s">
        <v>1148</v>
      </c>
      <c r="AK434" s="4">
        <v>78.067999999999998</v>
      </c>
      <c r="AN434" s="4">
        <v>3</v>
      </c>
      <c r="AO434" s="4">
        <v>50</v>
      </c>
      <c r="AP434">
        <v>7</v>
      </c>
      <c r="AR434" s="4" t="s">
        <v>1207</v>
      </c>
    </row>
    <row r="435" spans="1:45" x14ac:dyDescent="0.2">
      <c r="A435" t="s">
        <v>372</v>
      </c>
      <c r="B435" s="4" t="s">
        <v>1146</v>
      </c>
      <c r="C435" s="4" t="s">
        <v>1149</v>
      </c>
      <c r="D435" s="4" t="s">
        <v>1215</v>
      </c>
      <c r="E435" s="4" t="s">
        <v>1222</v>
      </c>
      <c r="G435" s="4" t="s">
        <v>1165</v>
      </c>
      <c r="H435" s="4"/>
      <c r="I435" s="4" t="s">
        <v>1213</v>
      </c>
      <c r="M435" s="4" t="s">
        <v>1157</v>
      </c>
      <c r="P435">
        <v>2006</v>
      </c>
      <c r="Q435" t="s">
        <v>1210</v>
      </c>
      <c r="R435">
        <v>182.5</v>
      </c>
      <c r="S435" t="s">
        <v>1211</v>
      </c>
      <c r="T435" t="s">
        <v>1212</v>
      </c>
      <c r="U435" s="4" t="s">
        <v>1218</v>
      </c>
      <c r="V435" s="9" t="s">
        <v>1217</v>
      </c>
      <c r="W435">
        <v>7</v>
      </c>
      <c r="X435" s="9" t="s">
        <v>1212</v>
      </c>
      <c r="AD435" t="s">
        <v>1165</v>
      </c>
      <c r="AJ435" s="4" t="s">
        <v>1148</v>
      </c>
      <c r="AK435" s="4">
        <v>6.1360000000000001</v>
      </c>
      <c r="AN435" s="4">
        <v>3</v>
      </c>
      <c r="AO435" s="4">
        <v>50</v>
      </c>
      <c r="AP435">
        <v>7</v>
      </c>
      <c r="AR435" s="4" t="s">
        <v>1207</v>
      </c>
    </row>
    <row r="436" spans="1:45" x14ac:dyDescent="0.2">
      <c r="A436" t="s">
        <v>372</v>
      </c>
      <c r="B436" s="4" t="s">
        <v>1146</v>
      </c>
      <c r="C436" s="4" t="s">
        <v>1149</v>
      </c>
      <c r="D436" s="4" t="s">
        <v>1215</v>
      </c>
      <c r="E436" s="4" t="s">
        <v>1222</v>
      </c>
      <c r="G436" s="4" t="s">
        <v>1165</v>
      </c>
      <c r="H436" s="4"/>
      <c r="I436" s="4" t="s">
        <v>1213</v>
      </c>
      <c r="M436" s="4" t="s">
        <v>1157</v>
      </c>
      <c r="P436">
        <v>2006</v>
      </c>
      <c r="Q436" t="s">
        <v>1210</v>
      </c>
      <c r="R436">
        <v>182.5</v>
      </c>
      <c r="S436" t="s">
        <v>1211</v>
      </c>
      <c r="T436" t="s">
        <v>1212</v>
      </c>
      <c r="U436" s="4" t="s">
        <v>100</v>
      </c>
      <c r="X436" s="9" t="s">
        <v>1212</v>
      </c>
      <c r="AD436" t="s">
        <v>153</v>
      </c>
      <c r="AE436" t="s">
        <v>1214</v>
      </c>
      <c r="AJ436" s="4" t="s">
        <v>1148</v>
      </c>
      <c r="AK436" s="4">
        <v>38.523000000000003</v>
      </c>
      <c r="AN436" s="4">
        <v>3</v>
      </c>
      <c r="AO436" s="4">
        <v>50</v>
      </c>
      <c r="AP436">
        <v>7</v>
      </c>
      <c r="AR436" s="4" t="s">
        <v>1207</v>
      </c>
    </row>
    <row r="437" spans="1:45" x14ac:dyDescent="0.2">
      <c r="A437" t="s">
        <v>372</v>
      </c>
      <c r="B437" s="4" t="s">
        <v>1146</v>
      </c>
      <c r="C437" s="4" t="s">
        <v>1149</v>
      </c>
      <c r="D437" s="4" t="s">
        <v>1215</v>
      </c>
      <c r="E437" s="4" t="s">
        <v>1222</v>
      </c>
      <c r="G437" s="4" t="s">
        <v>1165</v>
      </c>
      <c r="H437" s="4"/>
      <c r="I437" s="4" t="s">
        <v>1213</v>
      </c>
      <c r="M437" s="4" t="s">
        <v>1157</v>
      </c>
      <c r="P437">
        <v>2006</v>
      </c>
      <c r="Q437" t="s">
        <v>1210</v>
      </c>
      <c r="R437">
        <v>182.5</v>
      </c>
      <c r="S437" t="s">
        <v>1211</v>
      </c>
      <c r="T437" t="s">
        <v>1212</v>
      </c>
      <c r="U437" s="4" t="s">
        <v>1219</v>
      </c>
      <c r="V437" s="9" t="s">
        <v>1217</v>
      </c>
      <c r="W437">
        <v>7</v>
      </c>
      <c r="X437" s="9" t="s">
        <v>1212</v>
      </c>
      <c r="AD437" t="s">
        <v>153</v>
      </c>
      <c r="AE437" t="s">
        <v>1214</v>
      </c>
      <c r="AJ437" s="4" t="s">
        <v>1148</v>
      </c>
      <c r="AK437" s="4">
        <v>76.704999999999998</v>
      </c>
      <c r="AN437" s="4">
        <v>3</v>
      </c>
      <c r="AO437" s="4">
        <v>50</v>
      </c>
      <c r="AP437">
        <v>7</v>
      </c>
      <c r="AR437" s="4" t="s">
        <v>1207</v>
      </c>
    </row>
    <row r="438" spans="1:45" x14ac:dyDescent="0.2">
      <c r="A438" t="s">
        <v>372</v>
      </c>
      <c r="B438" s="4" t="s">
        <v>1146</v>
      </c>
      <c r="C438" s="4" t="s">
        <v>1149</v>
      </c>
      <c r="D438" s="4" t="s">
        <v>1215</v>
      </c>
      <c r="E438" s="4" t="s">
        <v>1222</v>
      </c>
      <c r="G438" s="4" t="s">
        <v>1165</v>
      </c>
      <c r="H438" s="4"/>
      <c r="I438" s="4" t="s">
        <v>1213</v>
      </c>
      <c r="M438" s="4" t="s">
        <v>1157</v>
      </c>
      <c r="P438">
        <v>2006</v>
      </c>
      <c r="Q438" t="s">
        <v>1210</v>
      </c>
      <c r="R438">
        <v>182.5</v>
      </c>
      <c r="S438" t="s">
        <v>1211</v>
      </c>
      <c r="T438" t="s">
        <v>1212</v>
      </c>
      <c r="U438" s="4" t="s">
        <v>100</v>
      </c>
      <c r="X438" s="9" t="s">
        <v>1212</v>
      </c>
      <c r="AD438" t="s">
        <v>153</v>
      </c>
      <c r="AE438" t="s">
        <v>1214</v>
      </c>
      <c r="AJ438" s="4" t="s">
        <v>1148</v>
      </c>
      <c r="AK438" s="4">
        <v>20.795000000000002</v>
      </c>
      <c r="AN438" s="4">
        <v>3</v>
      </c>
      <c r="AO438" s="4">
        <v>50</v>
      </c>
      <c r="AP438">
        <v>14</v>
      </c>
      <c r="AR438" s="4" t="s">
        <v>1207</v>
      </c>
    </row>
    <row r="439" spans="1:45" s="7" customFormat="1" x14ac:dyDescent="0.2">
      <c r="A439" s="7" t="s">
        <v>372</v>
      </c>
      <c r="B439" s="13" t="s">
        <v>1146</v>
      </c>
      <c r="C439" s="13" t="s">
        <v>1149</v>
      </c>
      <c r="D439" s="13" t="s">
        <v>1215</v>
      </c>
      <c r="E439" s="13" t="s">
        <v>1222</v>
      </c>
      <c r="G439" s="4" t="s">
        <v>1165</v>
      </c>
      <c r="H439" s="4"/>
      <c r="I439" s="13" t="s">
        <v>1213</v>
      </c>
      <c r="M439" s="13" t="s">
        <v>1157</v>
      </c>
      <c r="P439" s="7">
        <v>2006</v>
      </c>
      <c r="Q439" s="7" t="s">
        <v>1210</v>
      </c>
      <c r="R439" s="7">
        <v>182.5</v>
      </c>
      <c r="S439" s="7" t="s">
        <v>1211</v>
      </c>
      <c r="T439" s="7" t="s">
        <v>1212</v>
      </c>
      <c r="U439" s="13" t="s">
        <v>100</v>
      </c>
      <c r="V439" s="10"/>
      <c r="X439" s="10" t="s">
        <v>1212</v>
      </c>
      <c r="AD439" s="7" t="s">
        <v>153</v>
      </c>
      <c r="AE439" s="7" t="s">
        <v>1214</v>
      </c>
      <c r="AJ439" s="13" t="s">
        <v>1148</v>
      </c>
      <c r="AK439" s="13">
        <v>29.658999999999999</v>
      </c>
      <c r="AN439" s="13">
        <v>3</v>
      </c>
      <c r="AO439" s="13">
        <v>50</v>
      </c>
      <c r="AP439" s="7">
        <v>21</v>
      </c>
      <c r="AR439" s="13" t="s">
        <v>1207</v>
      </c>
    </row>
    <row r="440" spans="1:45" x14ac:dyDescent="0.2">
      <c r="A440" t="s">
        <v>372</v>
      </c>
      <c r="B440" s="4" t="s">
        <v>1146</v>
      </c>
      <c r="C440" s="4" t="s">
        <v>1149</v>
      </c>
      <c r="D440" s="4" t="s">
        <v>1215</v>
      </c>
      <c r="E440" s="4" t="s">
        <v>1223</v>
      </c>
      <c r="G440" s="4" t="s">
        <v>1165</v>
      </c>
      <c r="H440" s="4"/>
      <c r="I440" s="4" t="s">
        <v>1213</v>
      </c>
      <c r="M440" s="4" t="s">
        <v>1157</v>
      </c>
      <c r="P440">
        <v>2006</v>
      </c>
      <c r="Q440" t="s">
        <v>1210</v>
      </c>
      <c r="R440">
        <v>182.5</v>
      </c>
      <c r="S440" t="s">
        <v>1211</v>
      </c>
      <c r="T440" t="s">
        <v>1212</v>
      </c>
      <c r="U440" s="4" t="s">
        <v>100</v>
      </c>
      <c r="X440" s="9" t="s">
        <v>1212</v>
      </c>
      <c r="AD440" t="s">
        <v>153</v>
      </c>
      <c r="AE440" t="s">
        <v>1214</v>
      </c>
      <c r="AJ440" s="4" t="s">
        <v>1148</v>
      </c>
      <c r="AK440" s="4">
        <v>83.548000000000002</v>
      </c>
      <c r="AN440" s="4">
        <v>3</v>
      </c>
      <c r="AO440" s="4">
        <v>50</v>
      </c>
      <c r="AP440">
        <v>7</v>
      </c>
      <c r="AR440" s="4" t="s">
        <v>1207</v>
      </c>
    </row>
    <row r="441" spans="1:45" x14ac:dyDescent="0.2">
      <c r="A441" t="s">
        <v>372</v>
      </c>
      <c r="B441" s="4" t="s">
        <v>1146</v>
      </c>
      <c r="C441" s="4" t="s">
        <v>1149</v>
      </c>
      <c r="D441" s="4" t="s">
        <v>1215</v>
      </c>
      <c r="E441" s="4" t="s">
        <v>1223</v>
      </c>
      <c r="G441" s="4" t="s">
        <v>1165</v>
      </c>
      <c r="H441" s="4"/>
      <c r="I441" s="4" t="s">
        <v>1213</v>
      </c>
      <c r="M441" s="4" t="s">
        <v>1157</v>
      </c>
      <c r="P441">
        <v>2006</v>
      </c>
      <c r="Q441" t="s">
        <v>1210</v>
      </c>
      <c r="R441">
        <v>182.5</v>
      </c>
      <c r="S441" t="s">
        <v>1211</v>
      </c>
      <c r="T441" t="s">
        <v>1212</v>
      </c>
      <c r="U441" s="4" t="s">
        <v>100</v>
      </c>
      <c r="X441" s="9" t="s">
        <v>1212</v>
      </c>
      <c r="AD441" t="s">
        <v>153</v>
      </c>
      <c r="AE441" t="s">
        <v>1214</v>
      </c>
      <c r="AJ441" s="4" t="s">
        <v>1148</v>
      </c>
      <c r="AK441" s="4">
        <v>12.581</v>
      </c>
      <c r="AN441" s="4">
        <v>3</v>
      </c>
      <c r="AO441" s="4">
        <v>50</v>
      </c>
      <c r="AP441">
        <v>14</v>
      </c>
      <c r="AR441" s="4" t="s">
        <v>1207</v>
      </c>
    </row>
    <row r="442" spans="1:45" x14ac:dyDescent="0.2">
      <c r="A442" s="4" t="s">
        <v>372</v>
      </c>
      <c r="B442" s="4" t="s">
        <v>1146</v>
      </c>
      <c r="C442" s="4" t="s">
        <v>1149</v>
      </c>
      <c r="D442" s="4" t="s">
        <v>1215</v>
      </c>
      <c r="E442" s="4" t="s">
        <v>1223</v>
      </c>
      <c r="F442" s="4"/>
      <c r="G442" s="4" t="s">
        <v>1165</v>
      </c>
      <c r="H442" s="4"/>
      <c r="I442" s="4" t="s">
        <v>1213</v>
      </c>
      <c r="J442" s="4"/>
      <c r="K442" s="4"/>
      <c r="L442" s="4"/>
      <c r="M442" s="4" t="s">
        <v>1157</v>
      </c>
      <c r="N442" s="4"/>
      <c r="O442" s="4"/>
      <c r="P442" s="4">
        <v>2006</v>
      </c>
      <c r="Q442" s="4" t="s">
        <v>1210</v>
      </c>
      <c r="R442" s="4">
        <v>182.5</v>
      </c>
      <c r="S442" s="4" t="s">
        <v>1211</v>
      </c>
      <c r="T442" s="4" t="s">
        <v>1212</v>
      </c>
      <c r="U442" s="4" t="s">
        <v>1219</v>
      </c>
      <c r="V442" s="9" t="s">
        <v>1217</v>
      </c>
      <c r="W442">
        <v>7</v>
      </c>
      <c r="X442" s="11" t="s">
        <v>1212</v>
      </c>
      <c r="Y442" s="4"/>
      <c r="Z442" s="4"/>
      <c r="AA442" s="4"/>
      <c r="AB442" s="4"/>
      <c r="AC442" s="4"/>
      <c r="AD442" s="4" t="s">
        <v>153</v>
      </c>
      <c r="AE442" s="4" t="s">
        <v>1214</v>
      </c>
      <c r="AF442" s="4"/>
      <c r="AG442" s="4"/>
      <c r="AH442" s="4"/>
      <c r="AI442" s="4"/>
      <c r="AJ442" s="4" t="s">
        <v>1148</v>
      </c>
      <c r="AK442" s="4">
        <v>65.805999999999997</v>
      </c>
      <c r="AL442" s="4"/>
      <c r="AM442" s="4"/>
      <c r="AN442" s="4">
        <v>3</v>
      </c>
      <c r="AO442" s="4">
        <v>50</v>
      </c>
      <c r="AP442" s="4">
        <v>7</v>
      </c>
      <c r="AQ442" s="4"/>
      <c r="AR442" s="4" t="s">
        <v>1207</v>
      </c>
      <c r="AS442" s="4"/>
    </row>
    <row r="443" spans="1:45" x14ac:dyDescent="0.2">
      <c r="A443" t="s">
        <v>372</v>
      </c>
      <c r="B443" s="4" t="s">
        <v>1146</v>
      </c>
      <c r="C443" s="4" t="s">
        <v>1149</v>
      </c>
      <c r="D443" s="4" t="s">
        <v>1215</v>
      </c>
      <c r="E443" s="4" t="s">
        <v>1224</v>
      </c>
      <c r="G443" s="4" t="s">
        <v>1165</v>
      </c>
      <c r="H443" s="4"/>
      <c r="I443" s="4" t="s">
        <v>1213</v>
      </c>
      <c r="M443" s="4" t="s">
        <v>1157</v>
      </c>
      <c r="P443">
        <v>2006</v>
      </c>
      <c r="Q443" t="s">
        <v>1210</v>
      </c>
      <c r="R443">
        <v>182.5</v>
      </c>
      <c r="S443" t="s">
        <v>1211</v>
      </c>
      <c r="T443" t="s">
        <v>1212</v>
      </c>
      <c r="U443" s="4" t="s">
        <v>100</v>
      </c>
      <c r="X443" s="9" t="s">
        <v>1212</v>
      </c>
      <c r="AD443" t="s">
        <v>153</v>
      </c>
      <c r="AE443" t="s">
        <v>1214</v>
      </c>
      <c r="AJ443" s="4" t="s">
        <v>1148</v>
      </c>
      <c r="AK443" s="4">
        <v>24.838999999999999</v>
      </c>
      <c r="AN443" s="4">
        <v>3</v>
      </c>
      <c r="AO443" s="4">
        <v>50</v>
      </c>
      <c r="AP443">
        <v>14</v>
      </c>
      <c r="AR443" s="4" t="s">
        <v>1207</v>
      </c>
    </row>
    <row r="444" spans="1:45" s="7" customFormat="1" x14ac:dyDescent="0.2">
      <c r="A444" s="7" t="s">
        <v>372</v>
      </c>
      <c r="B444" s="13" t="s">
        <v>1146</v>
      </c>
      <c r="C444" s="13" t="s">
        <v>1149</v>
      </c>
      <c r="D444" s="13" t="s">
        <v>1215</v>
      </c>
      <c r="E444" s="13" t="s">
        <v>1224</v>
      </c>
      <c r="G444" s="4" t="s">
        <v>1165</v>
      </c>
      <c r="H444" s="4"/>
      <c r="I444" s="13" t="s">
        <v>1213</v>
      </c>
      <c r="M444" s="13" t="s">
        <v>1157</v>
      </c>
      <c r="P444" s="7">
        <v>2006</v>
      </c>
      <c r="Q444" s="7" t="s">
        <v>1210</v>
      </c>
      <c r="R444" s="7">
        <v>182.5</v>
      </c>
      <c r="S444" s="7" t="s">
        <v>1211</v>
      </c>
      <c r="T444" s="7" t="s">
        <v>1212</v>
      </c>
      <c r="U444" s="13" t="s">
        <v>100</v>
      </c>
      <c r="V444" s="10"/>
      <c r="X444" s="10" t="s">
        <v>1212</v>
      </c>
      <c r="AD444" s="7" t="s">
        <v>153</v>
      </c>
      <c r="AE444" s="7" t="s">
        <v>1214</v>
      </c>
      <c r="AJ444" s="13" t="s">
        <v>1148</v>
      </c>
      <c r="AK444" s="13">
        <v>32.581000000000003</v>
      </c>
      <c r="AN444" s="13">
        <v>3</v>
      </c>
      <c r="AO444" s="13">
        <v>50</v>
      </c>
      <c r="AP444" s="7">
        <v>21</v>
      </c>
      <c r="AR444" s="13" t="s">
        <v>1207</v>
      </c>
    </row>
    <row r="445" spans="1:45" x14ac:dyDescent="0.2">
      <c r="A445" s="4" t="s">
        <v>372</v>
      </c>
      <c r="B445" s="4" t="s">
        <v>1146</v>
      </c>
      <c r="C445" s="4" t="s">
        <v>1149</v>
      </c>
      <c r="D445" s="4" t="s">
        <v>1215</v>
      </c>
      <c r="E445" s="4" t="s">
        <v>1224</v>
      </c>
      <c r="F445" s="4"/>
      <c r="G445" s="4" t="s">
        <v>1165</v>
      </c>
      <c r="H445" s="4"/>
      <c r="I445" s="4" t="s">
        <v>1213</v>
      </c>
      <c r="J445" s="4"/>
      <c r="K445" s="4"/>
      <c r="L445" s="4"/>
      <c r="M445" s="4" t="s">
        <v>1157</v>
      </c>
      <c r="N445" s="4"/>
      <c r="O445" s="4"/>
      <c r="P445" s="4">
        <v>2006</v>
      </c>
      <c r="Q445" s="4" t="s">
        <v>1210</v>
      </c>
      <c r="R445" s="4">
        <v>182.5</v>
      </c>
      <c r="S445" s="4" t="s">
        <v>1211</v>
      </c>
      <c r="T445" s="4" t="s">
        <v>1212</v>
      </c>
      <c r="U445" s="4" t="s">
        <v>1219</v>
      </c>
      <c r="V445" s="9" t="s">
        <v>1217</v>
      </c>
      <c r="W445">
        <v>7</v>
      </c>
      <c r="X445" s="11" t="s">
        <v>1212</v>
      </c>
      <c r="Y445" s="4"/>
      <c r="Z445" s="4"/>
      <c r="AA445" s="4"/>
      <c r="AB445" s="4"/>
      <c r="AC445" s="4"/>
      <c r="AD445" s="4" t="s">
        <v>153</v>
      </c>
      <c r="AE445" s="4" t="s">
        <v>1214</v>
      </c>
      <c r="AF445" s="4"/>
      <c r="AG445" s="4"/>
      <c r="AH445" s="4"/>
      <c r="AI445" s="4"/>
      <c r="AJ445" s="4" t="s">
        <v>1148</v>
      </c>
      <c r="AK445" s="4">
        <v>9.032</v>
      </c>
      <c r="AL445" s="4"/>
      <c r="AM445" s="4"/>
      <c r="AN445" s="4">
        <v>3</v>
      </c>
      <c r="AO445" s="4">
        <v>50</v>
      </c>
      <c r="AP445" s="4">
        <v>14</v>
      </c>
      <c r="AQ445" s="4"/>
      <c r="AR445" s="4" t="s">
        <v>1207</v>
      </c>
      <c r="AS445" s="4"/>
    </row>
    <row r="446" spans="1:45" s="7" customFormat="1" x14ac:dyDescent="0.2">
      <c r="A446" s="7" t="s">
        <v>372</v>
      </c>
      <c r="B446" s="13" t="s">
        <v>1146</v>
      </c>
      <c r="C446" s="13" t="s">
        <v>1149</v>
      </c>
      <c r="D446" s="13" t="s">
        <v>1215</v>
      </c>
      <c r="E446" s="13" t="s">
        <v>746</v>
      </c>
      <c r="G446" s="4" t="s">
        <v>1165</v>
      </c>
      <c r="H446" s="4"/>
      <c r="I446" s="13" t="s">
        <v>1213</v>
      </c>
      <c r="M446" s="13" t="s">
        <v>1157</v>
      </c>
      <c r="P446" s="7">
        <v>2006</v>
      </c>
      <c r="Q446" s="7" t="s">
        <v>1210</v>
      </c>
      <c r="R446" s="7">
        <v>182.5</v>
      </c>
      <c r="S446" s="7" t="s">
        <v>1211</v>
      </c>
      <c r="T446" s="7" t="s">
        <v>1212</v>
      </c>
      <c r="U446" s="13" t="s">
        <v>100</v>
      </c>
      <c r="V446" s="10"/>
      <c r="X446" s="10" t="s">
        <v>1212</v>
      </c>
      <c r="AD446" s="7" t="s">
        <v>153</v>
      </c>
      <c r="AE446" s="7" t="s">
        <v>1214</v>
      </c>
      <c r="AJ446" s="13" t="s">
        <v>1148</v>
      </c>
      <c r="AK446" s="13">
        <v>22.902999999999999</v>
      </c>
      <c r="AN446" s="13">
        <v>3</v>
      </c>
      <c r="AO446" s="13">
        <v>50</v>
      </c>
      <c r="AP446" s="7">
        <v>21</v>
      </c>
      <c r="AR446" s="13" t="s">
        <v>1207</v>
      </c>
    </row>
    <row r="447" spans="1:45" x14ac:dyDescent="0.2">
      <c r="A447" s="4" t="s">
        <v>372</v>
      </c>
      <c r="B447" s="4" t="s">
        <v>1146</v>
      </c>
      <c r="C447" s="4" t="s">
        <v>1149</v>
      </c>
      <c r="D447" s="4" t="s">
        <v>1226</v>
      </c>
      <c r="E447" s="4" t="s">
        <v>1225</v>
      </c>
      <c r="F447" s="4"/>
      <c r="G447" s="4" t="s">
        <v>1165</v>
      </c>
      <c r="H447" s="4"/>
      <c r="I447" s="4" t="s">
        <v>1213</v>
      </c>
      <c r="J447" s="4"/>
      <c r="K447" s="4"/>
      <c r="L447" s="4"/>
      <c r="M447" s="4" t="s">
        <v>1157</v>
      </c>
      <c r="N447" s="4"/>
      <c r="O447" s="4"/>
      <c r="P447" s="4">
        <v>2006</v>
      </c>
      <c r="Q447" s="4" t="s">
        <v>1210</v>
      </c>
      <c r="R447" s="4">
        <v>182.5</v>
      </c>
      <c r="S447" s="4" t="s">
        <v>1211</v>
      </c>
      <c r="T447" s="4" t="s">
        <v>1212</v>
      </c>
      <c r="U447" s="4" t="s">
        <v>1219</v>
      </c>
      <c r="V447" s="9" t="s">
        <v>1217</v>
      </c>
      <c r="W447">
        <v>7</v>
      </c>
      <c r="X447" s="11" t="s">
        <v>1212</v>
      </c>
      <c r="Y447" s="4"/>
      <c r="Z447" s="4"/>
      <c r="AA447" s="4"/>
      <c r="AB447" s="4"/>
      <c r="AC447" s="4"/>
      <c r="AD447" s="4" t="s">
        <v>153</v>
      </c>
      <c r="AE447" s="4" t="s">
        <v>1214</v>
      </c>
      <c r="AF447" s="4"/>
      <c r="AG447" s="4"/>
      <c r="AH447" s="4"/>
      <c r="AI447" s="4"/>
      <c r="AJ447" s="4" t="s">
        <v>1148</v>
      </c>
      <c r="AK447" s="4">
        <v>18.408999999999999</v>
      </c>
      <c r="AL447" s="4"/>
      <c r="AM447" s="4"/>
      <c r="AN447" s="4">
        <v>3</v>
      </c>
      <c r="AO447" s="4">
        <v>50</v>
      </c>
      <c r="AP447" s="4">
        <v>14</v>
      </c>
      <c r="AQ447" s="4"/>
      <c r="AR447" s="4" t="s">
        <v>1207</v>
      </c>
      <c r="AS447" s="4"/>
    </row>
    <row r="448" spans="1:45" s="7" customFormat="1" x14ac:dyDescent="0.2">
      <c r="A448" s="7" t="s">
        <v>372</v>
      </c>
      <c r="B448" s="13" t="s">
        <v>1146</v>
      </c>
      <c r="C448" s="13" t="s">
        <v>1149</v>
      </c>
      <c r="D448" s="13" t="s">
        <v>1226</v>
      </c>
      <c r="E448" s="13" t="s">
        <v>1225</v>
      </c>
      <c r="G448" s="4" t="s">
        <v>1165</v>
      </c>
      <c r="H448" s="4"/>
      <c r="I448" s="13" t="s">
        <v>1213</v>
      </c>
      <c r="M448" s="13" t="s">
        <v>1157</v>
      </c>
      <c r="P448" s="7">
        <v>2006</v>
      </c>
      <c r="Q448" s="7" t="s">
        <v>1210</v>
      </c>
      <c r="R448" s="7">
        <v>182.5</v>
      </c>
      <c r="S448" s="7" t="s">
        <v>1211</v>
      </c>
      <c r="T448" s="7" t="s">
        <v>1212</v>
      </c>
      <c r="U448" s="13" t="s">
        <v>100</v>
      </c>
      <c r="V448" s="10"/>
      <c r="X448" s="10" t="s">
        <v>1212</v>
      </c>
      <c r="AD448" s="7" t="s">
        <v>153</v>
      </c>
      <c r="AE448" s="7" t="s">
        <v>1214</v>
      </c>
      <c r="AJ448" s="13" t="s">
        <v>1148</v>
      </c>
      <c r="AK448" s="13">
        <v>24.885999999999999</v>
      </c>
      <c r="AN448" s="13">
        <v>3</v>
      </c>
      <c r="AO448" s="13">
        <v>50</v>
      </c>
      <c r="AP448" s="7">
        <v>21</v>
      </c>
      <c r="AR448" s="13" t="s">
        <v>1207</v>
      </c>
    </row>
    <row r="449" spans="1:45" s="14" customFormat="1" x14ac:dyDescent="0.2">
      <c r="A449" s="14" t="s">
        <v>372</v>
      </c>
      <c r="B449" s="15" t="s">
        <v>1146</v>
      </c>
      <c r="C449" s="15" t="s">
        <v>1149</v>
      </c>
      <c r="D449" s="15" t="s">
        <v>1226</v>
      </c>
      <c r="E449" s="15" t="s">
        <v>1227</v>
      </c>
      <c r="G449" s="4" t="s">
        <v>1165</v>
      </c>
      <c r="H449" s="4"/>
      <c r="I449" s="15" t="s">
        <v>1213</v>
      </c>
      <c r="M449" s="15" t="s">
        <v>1157</v>
      </c>
      <c r="P449" s="14">
        <v>2006</v>
      </c>
      <c r="Q449" s="14" t="s">
        <v>1210</v>
      </c>
      <c r="R449" s="14">
        <v>182.5</v>
      </c>
      <c r="S449" s="14" t="s">
        <v>1211</v>
      </c>
      <c r="T449" s="14" t="s">
        <v>1212</v>
      </c>
      <c r="U449" s="15" t="s">
        <v>100</v>
      </c>
      <c r="V449" s="12"/>
      <c r="X449" s="12" t="s">
        <v>1212</v>
      </c>
      <c r="AD449" s="14" t="s">
        <v>153</v>
      </c>
      <c r="AE449" s="14" t="s">
        <v>1214</v>
      </c>
      <c r="AJ449" s="15" t="s">
        <v>1148</v>
      </c>
      <c r="AK449" s="15">
        <v>13.635999999999999</v>
      </c>
      <c r="AN449" s="15">
        <v>3</v>
      </c>
      <c r="AO449" s="15">
        <v>50</v>
      </c>
      <c r="AP449" s="14">
        <v>7</v>
      </c>
      <c r="AR449" s="15" t="s">
        <v>1207</v>
      </c>
    </row>
    <row r="450" spans="1:45" s="14" customFormat="1" x14ac:dyDescent="0.2">
      <c r="A450" s="14" t="s">
        <v>372</v>
      </c>
      <c r="B450" s="15" t="s">
        <v>1146</v>
      </c>
      <c r="C450" s="15" t="s">
        <v>1149</v>
      </c>
      <c r="D450" s="15" t="s">
        <v>1226</v>
      </c>
      <c r="E450" s="15" t="s">
        <v>1227</v>
      </c>
      <c r="G450" s="4" t="s">
        <v>1165</v>
      </c>
      <c r="H450" s="4"/>
      <c r="I450" s="15" t="s">
        <v>1213</v>
      </c>
      <c r="M450" s="15" t="s">
        <v>1157</v>
      </c>
      <c r="P450" s="14">
        <v>2006</v>
      </c>
      <c r="Q450" s="14" t="s">
        <v>1210</v>
      </c>
      <c r="R450" s="14">
        <v>182.5</v>
      </c>
      <c r="S450" s="14" t="s">
        <v>1211</v>
      </c>
      <c r="T450" s="14" t="s">
        <v>1212</v>
      </c>
      <c r="U450" s="15" t="s">
        <v>100</v>
      </c>
      <c r="V450" s="12"/>
      <c r="X450" s="12" t="s">
        <v>1212</v>
      </c>
      <c r="AD450" s="14" t="s">
        <v>153</v>
      </c>
      <c r="AE450" s="14" t="s">
        <v>1214</v>
      </c>
      <c r="AJ450" s="15" t="s">
        <v>1148</v>
      </c>
      <c r="AK450" s="15">
        <v>31.023</v>
      </c>
      <c r="AN450" s="15">
        <v>3</v>
      </c>
      <c r="AO450" s="15">
        <v>50</v>
      </c>
      <c r="AP450" s="14">
        <v>14</v>
      </c>
      <c r="AR450" s="15" t="s">
        <v>1207</v>
      </c>
    </row>
    <row r="451" spans="1:45" s="7" customFormat="1" x14ac:dyDescent="0.2">
      <c r="A451" s="7" t="s">
        <v>372</v>
      </c>
      <c r="B451" s="13" t="s">
        <v>1146</v>
      </c>
      <c r="C451" s="13" t="s">
        <v>1149</v>
      </c>
      <c r="D451" s="13" t="s">
        <v>1226</v>
      </c>
      <c r="E451" s="13" t="s">
        <v>1227</v>
      </c>
      <c r="G451" s="4" t="s">
        <v>1165</v>
      </c>
      <c r="H451" s="4"/>
      <c r="I451" s="13" t="s">
        <v>1213</v>
      </c>
      <c r="M451" s="13" t="s">
        <v>1157</v>
      </c>
      <c r="P451" s="7">
        <v>2006</v>
      </c>
      <c r="Q451" s="7" t="s">
        <v>1210</v>
      </c>
      <c r="R451" s="7">
        <v>182.5</v>
      </c>
      <c r="S451" s="7" t="s">
        <v>1211</v>
      </c>
      <c r="T451" s="7" t="s">
        <v>1212</v>
      </c>
      <c r="U451" s="13" t="s">
        <v>100</v>
      </c>
      <c r="V451" s="10"/>
      <c r="X451" s="10" t="s">
        <v>1212</v>
      </c>
      <c r="AD451" s="7" t="s">
        <v>153</v>
      </c>
      <c r="AE451" s="7" t="s">
        <v>1214</v>
      </c>
      <c r="AJ451" s="13" t="s">
        <v>1148</v>
      </c>
      <c r="AK451" s="13">
        <v>17.385999999999999</v>
      </c>
      <c r="AN451" s="13">
        <v>3</v>
      </c>
      <c r="AO451" s="13">
        <v>50</v>
      </c>
      <c r="AP451" s="7">
        <v>21</v>
      </c>
      <c r="AR451" s="13" t="s">
        <v>1207</v>
      </c>
    </row>
    <row r="452" spans="1:45" x14ac:dyDescent="0.2">
      <c r="A452" t="s">
        <v>372</v>
      </c>
      <c r="B452" s="4" t="s">
        <v>1146</v>
      </c>
      <c r="C452" s="4" t="s">
        <v>1149</v>
      </c>
      <c r="D452" s="15" t="s">
        <v>1226</v>
      </c>
      <c r="E452" s="15" t="s">
        <v>1227</v>
      </c>
      <c r="G452" s="4" t="s">
        <v>1165</v>
      </c>
      <c r="H452" s="4"/>
      <c r="I452" s="4" t="s">
        <v>1213</v>
      </c>
      <c r="M452" s="4" t="s">
        <v>1157</v>
      </c>
      <c r="P452">
        <v>2006</v>
      </c>
      <c r="Q452" t="s">
        <v>1210</v>
      </c>
      <c r="R452">
        <v>182.5</v>
      </c>
      <c r="S452" t="s">
        <v>1211</v>
      </c>
      <c r="T452" t="s">
        <v>1212</v>
      </c>
      <c r="U452" s="4" t="s">
        <v>1218</v>
      </c>
      <c r="V452" s="9" t="s">
        <v>1217</v>
      </c>
      <c r="W452">
        <v>7</v>
      </c>
      <c r="X452" s="9" t="s">
        <v>1212</v>
      </c>
      <c r="AD452" t="s">
        <v>1165</v>
      </c>
      <c r="AJ452" s="4" t="s">
        <v>1148</v>
      </c>
      <c r="AK452" s="4">
        <v>0</v>
      </c>
      <c r="AN452" s="4">
        <v>3</v>
      </c>
      <c r="AO452" s="4">
        <v>50</v>
      </c>
      <c r="AP452">
        <v>14</v>
      </c>
      <c r="AR452" s="4" t="s">
        <v>1207</v>
      </c>
    </row>
    <row r="453" spans="1:45" s="14" customFormat="1" x14ac:dyDescent="0.2">
      <c r="A453" s="14" t="s">
        <v>372</v>
      </c>
      <c r="B453" s="15" t="s">
        <v>1146</v>
      </c>
      <c r="C453" s="15" t="s">
        <v>1149</v>
      </c>
      <c r="D453" s="15" t="s">
        <v>1226</v>
      </c>
      <c r="E453" s="15" t="s">
        <v>1228</v>
      </c>
      <c r="G453" s="4" t="s">
        <v>1165</v>
      </c>
      <c r="H453" s="4"/>
      <c r="I453" s="15" t="s">
        <v>1213</v>
      </c>
      <c r="M453" s="15" t="s">
        <v>1157</v>
      </c>
      <c r="P453" s="14">
        <v>2006</v>
      </c>
      <c r="Q453" s="14" t="s">
        <v>1210</v>
      </c>
      <c r="R453" s="14">
        <v>182.5</v>
      </c>
      <c r="S453" s="14" t="s">
        <v>1211</v>
      </c>
      <c r="T453" s="14" t="s">
        <v>1212</v>
      </c>
      <c r="U453" s="15" t="s">
        <v>100</v>
      </c>
      <c r="V453" s="12"/>
      <c r="X453" s="12" t="s">
        <v>1212</v>
      </c>
      <c r="AD453" s="14" t="s">
        <v>153</v>
      </c>
      <c r="AE453" s="14" t="s">
        <v>1214</v>
      </c>
      <c r="AJ453" s="15" t="s">
        <v>1148</v>
      </c>
      <c r="AK453" s="15">
        <v>10.227</v>
      </c>
      <c r="AN453" s="15">
        <v>3</v>
      </c>
      <c r="AO453" s="15">
        <v>50</v>
      </c>
      <c r="AP453" s="14">
        <v>7</v>
      </c>
      <c r="AR453" s="15" t="s">
        <v>1207</v>
      </c>
    </row>
    <row r="454" spans="1:45" s="14" customFormat="1" x14ac:dyDescent="0.2">
      <c r="A454" s="14" t="s">
        <v>372</v>
      </c>
      <c r="B454" s="15" t="s">
        <v>1146</v>
      </c>
      <c r="C454" s="15" t="s">
        <v>1149</v>
      </c>
      <c r="D454" s="15" t="s">
        <v>1226</v>
      </c>
      <c r="E454" s="15" t="s">
        <v>1228</v>
      </c>
      <c r="G454" s="4" t="s">
        <v>1165</v>
      </c>
      <c r="H454" s="4"/>
      <c r="I454" s="15" t="s">
        <v>1213</v>
      </c>
      <c r="M454" s="15" t="s">
        <v>1157</v>
      </c>
      <c r="P454" s="14">
        <v>2006</v>
      </c>
      <c r="Q454" s="14" t="s">
        <v>1210</v>
      </c>
      <c r="R454" s="14">
        <v>182.5</v>
      </c>
      <c r="S454" s="14" t="s">
        <v>1211</v>
      </c>
      <c r="T454" s="14" t="s">
        <v>1212</v>
      </c>
      <c r="U454" s="15" t="s">
        <v>100</v>
      </c>
      <c r="V454" s="12"/>
      <c r="X454" s="12" t="s">
        <v>1212</v>
      </c>
      <c r="AD454" s="14" t="s">
        <v>153</v>
      </c>
      <c r="AE454" s="14" t="s">
        <v>1214</v>
      </c>
      <c r="AJ454" s="15" t="s">
        <v>1148</v>
      </c>
      <c r="AK454" s="15">
        <v>20.795000000000002</v>
      </c>
      <c r="AN454" s="15">
        <v>3</v>
      </c>
      <c r="AO454" s="15">
        <v>50</v>
      </c>
      <c r="AP454" s="14">
        <v>14</v>
      </c>
      <c r="AR454" s="15" t="s">
        <v>1207</v>
      </c>
    </row>
    <row r="455" spans="1:45" s="7" customFormat="1" x14ac:dyDescent="0.2">
      <c r="A455" s="7" t="s">
        <v>372</v>
      </c>
      <c r="B455" s="13" t="s">
        <v>1146</v>
      </c>
      <c r="C455" s="13" t="s">
        <v>1149</v>
      </c>
      <c r="D455" s="13" t="s">
        <v>1226</v>
      </c>
      <c r="E455" s="13" t="s">
        <v>1228</v>
      </c>
      <c r="G455" s="4" t="s">
        <v>1165</v>
      </c>
      <c r="H455" s="4"/>
      <c r="I455" s="13" t="s">
        <v>1213</v>
      </c>
      <c r="M455" s="13" t="s">
        <v>1157</v>
      </c>
      <c r="P455" s="7">
        <v>2006</v>
      </c>
      <c r="Q455" s="7" t="s">
        <v>1210</v>
      </c>
      <c r="R455" s="7">
        <v>182.5</v>
      </c>
      <c r="S455" s="7" t="s">
        <v>1211</v>
      </c>
      <c r="T455" s="7" t="s">
        <v>1212</v>
      </c>
      <c r="U455" s="13" t="s">
        <v>100</v>
      </c>
      <c r="V455" s="10"/>
      <c r="X455" s="10" t="s">
        <v>1212</v>
      </c>
      <c r="AD455" s="7" t="s">
        <v>153</v>
      </c>
      <c r="AE455" s="7" t="s">
        <v>1214</v>
      </c>
      <c r="AJ455" s="13" t="s">
        <v>1148</v>
      </c>
      <c r="AK455" s="13">
        <v>18.75</v>
      </c>
      <c r="AN455" s="13">
        <v>3</v>
      </c>
      <c r="AO455" s="13">
        <v>50</v>
      </c>
      <c r="AP455" s="7">
        <v>21</v>
      </c>
      <c r="AR455" s="13" t="s">
        <v>1207</v>
      </c>
    </row>
    <row r="456" spans="1:45" x14ac:dyDescent="0.2">
      <c r="A456" t="s">
        <v>372</v>
      </c>
      <c r="B456" s="4" t="s">
        <v>1146</v>
      </c>
      <c r="C456" s="4" t="s">
        <v>1149</v>
      </c>
      <c r="D456" s="4" t="s">
        <v>1215</v>
      </c>
      <c r="E456" s="4" t="s">
        <v>1216</v>
      </c>
      <c r="G456" s="4" t="s">
        <v>1165</v>
      </c>
      <c r="H456" s="4"/>
      <c r="I456" s="4" t="s">
        <v>1213</v>
      </c>
      <c r="M456" s="4" t="s">
        <v>1157</v>
      </c>
      <c r="P456">
        <v>2006</v>
      </c>
      <c r="Q456" t="s">
        <v>1210</v>
      </c>
      <c r="R456">
        <v>182.5</v>
      </c>
      <c r="S456" t="s">
        <v>1211</v>
      </c>
      <c r="T456" t="s">
        <v>1212</v>
      </c>
      <c r="U456" s="4" t="s">
        <v>1147</v>
      </c>
      <c r="X456" s="9" t="s">
        <v>1212</v>
      </c>
      <c r="AD456" s="14" t="s">
        <v>1165</v>
      </c>
      <c r="AJ456" s="4" t="s">
        <v>1148</v>
      </c>
      <c r="AK456" s="4">
        <v>2.1429999999999998</v>
      </c>
      <c r="AN456" s="4">
        <v>3</v>
      </c>
      <c r="AO456" s="4">
        <v>50</v>
      </c>
      <c r="AP456">
        <v>21</v>
      </c>
      <c r="AR456" s="4" t="s">
        <v>1155</v>
      </c>
    </row>
    <row r="457" spans="1:45" x14ac:dyDescent="0.2">
      <c r="A457" t="s">
        <v>372</v>
      </c>
      <c r="B457" s="4" t="s">
        <v>1146</v>
      </c>
      <c r="C457" s="4" t="s">
        <v>1149</v>
      </c>
      <c r="D457" s="4" t="s">
        <v>1215</v>
      </c>
      <c r="E457" s="4" t="s">
        <v>1216</v>
      </c>
      <c r="G457" s="4" t="s">
        <v>1165</v>
      </c>
      <c r="H457" s="4"/>
      <c r="I457" s="4" t="s">
        <v>1213</v>
      </c>
      <c r="M457" s="4" t="s">
        <v>1157</v>
      </c>
      <c r="P457">
        <v>2006</v>
      </c>
      <c r="Q457" t="s">
        <v>1210</v>
      </c>
      <c r="R457">
        <v>182.5</v>
      </c>
      <c r="S457" t="s">
        <v>1211</v>
      </c>
      <c r="T457" t="s">
        <v>1212</v>
      </c>
      <c r="U457" s="4" t="s">
        <v>1220</v>
      </c>
      <c r="X457" s="9" t="s">
        <v>1212</v>
      </c>
      <c r="AD457" t="s">
        <v>153</v>
      </c>
      <c r="AE457" t="s">
        <v>1214</v>
      </c>
      <c r="AJ457" s="4" t="s">
        <v>1148</v>
      </c>
      <c r="AK457" s="4">
        <v>58.213999999999999</v>
      </c>
      <c r="AN457" s="4">
        <v>3</v>
      </c>
      <c r="AO457" s="4">
        <v>50</v>
      </c>
      <c r="AP457">
        <v>21</v>
      </c>
      <c r="AR457" s="4" t="s">
        <v>1155</v>
      </c>
    </row>
    <row r="458" spans="1:45" x14ac:dyDescent="0.2">
      <c r="A458" t="s">
        <v>372</v>
      </c>
      <c r="B458" s="4" t="s">
        <v>1146</v>
      </c>
      <c r="C458" s="4" t="s">
        <v>1149</v>
      </c>
      <c r="D458" s="4" t="s">
        <v>1215</v>
      </c>
      <c r="E458" s="4" t="s">
        <v>1216</v>
      </c>
      <c r="G458" s="4" t="s">
        <v>1165</v>
      </c>
      <c r="H458" s="4"/>
      <c r="I458" s="4" t="s">
        <v>1213</v>
      </c>
      <c r="M458" s="4" t="s">
        <v>1157</v>
      </c>
      <c r="P458">
        <v>2006</v>
      </c>
      <c r="Q458" t="s">
        <v>1210</v>
      </c>
      <c r="R458">
        <v>182.5</v>
      </c>
      <c r="S458" t="s">
        <v>1211</v>
      </c>
      <c r="T458" t="s">
        <v>1212</v>
      </c>
      <c r="U458" s="4" t="s">
        <v>1218</v>
      </c>
      <c r="V458" s="9" t="s">
        <v>1217</v>
      </c>
      <c r="W458">
        <v>7</v>
      </c>
      <c r="X458" s="9" t="s">
        <v>1212</v>
      </c>
      <c r="AD458" t="s">
        <v>1165</v>
      </c>
      <c r="AJ458" s="4" t="s">
        <v>1148</v>
      </c>
      <c r="AK458" s="4">
        <v>3.9249999999999998</v>
      </c>
      <c r="AN458" s="4">
        <v>3</v>
      </c>
      <c r="AO458" s="4">
        <v>50</v>
      </c>
      <c r="AP458">
        <v>21</v>
      </c>
      <c r="AR458" s="4" t="s">
        <v>1155</v>
      </c>
    </row>
    <row r="459" spans="1:45" x14ac:dyDescent="0.2">
      <c r="A459" t="s">
        <v>372</v>
      </c>
      <c r="B459" s="4" t="s">
        <v>1146</v>
      </c>
      <c r="C459" s="4" t="s">
        <v>1149</v>
      </c>
      <c r="D459" s="4" t="s">
        <v>1215</v>
      </c>
      <c r="E459" s="4" t="s">
        <v>1216</v>
      </c>
      <c r="G459" s="4" t="s">
        <v>1165</v>
      </c>
      <c r="H459" s="4"/>
      <c r="I459" s="4" t="s">
        <v>1213</v>
      </c>
      <c r="M459" s="4" t="s">
        <v>1157</v>
      </c>
      <c r="P459">
        <v>2006</v>
      </c>
      <c r="Q459" t="s">
        <v>1210</v>
      </c>
      <c r="R459">
        <v>182.5</v>
      </c>
      <c r="S459" t="s">
        <v>1211</v>
      </c>
      <c r="T459" t="s">
        <v>1212</v>
      </c>
      <c r="U459" s="4" t="s">
        <v>1219</v>
      </c>
      <c r="V459" s="9" t="s">
        <v>1217</v>
      </c>
      <c r="W459">
        <v>7</v>
      </c>
      <c r="X459" s="9" t="s">
        <v>1212</v>
      </c>
      <c r="AD459" t="s">
        <v>153</v>
      </c>
      <c r="AE459" t="s">
        <v>1214</v>
      </c>
      <c r="AJ459" s="4" t="s">
        <v>1148</v>
      </c>
      <c r="AK459" s="4">
        <v>6.0709999999999997</v>
      </c>
      <c r="AN459" s="4">
        <v>3</v>
      </c>
      <c r="AO459" s="4">
        <v>50</v>
      </c>
      <c r="AP459">
        <v>21</v>
      </c>
      <c r="AR459" s="4" t="s">
        <v>1155</v>
      </c>
    </row>
    <row r="460" spans="1:45" x14ac:dyDescent="0.2">
      <c r="A460" t="s">
        <v>372</v>
      </c>
      <c r="B460" s="4" t="s">
        <v>1146</v>
      </c>
      <c r="C460" s="4" t="s">
        <v>1149</v>
      </c>
      <c r="D460" s="4" t="s">
        <v>1215</v>
      </c>
      <c r="E460" s="4" t="s">
        <v>1221</v>
      </c>
      <c r="G460" s="4" t="s">
        <v>1165</v>
      </c>
      <c r="H460" s="4"/>
      <c r="I460" s="4" t="s">
        <v>1213</v>
      </c>
      <c r="M460" s="4" t="s">
        <v>1157</v>
      </c>
      <c r="P460">
        <v>2006</v>
      </c>
      <c r="Q460" t="s">
        <v>1210</v>
      </c>
      <c r="R460">
        <v>182.5</v>
      </c>
      <c r="S460" t="s">
        <v>1211</v>
      </c>
      <c r="T460" t="s">
        <v>1212</v>
      </c>
      <c r="U460" s="4" t="s">
        <v>1147</v>
      </c>
      <c r="X460" s="9" t="s">
        <v>1212</v>
      </c>
      <c r="AD460" t="s">
        <v>1165</v>
      </c>
      <c r="AJ460" s="4" t="s">
        <v>1148</v>
      </c>
      <c r="AK460" s="4">
        <v>5.3570000000000002</v>
      </c>
      <c r="AN460" s="4">
        <v>3</v>
      </c>
      <c r="AO460" s="4">
        <v>50</v>
      </c>
      <c r="AP460">
        <v>21</v>
      </c>
      <c r="AR460" s="4" t="s">
        <v>1155</v>
      </c>
    </row>
    <row r="461" spans="1:45" x14ac:dyDescent="0.2">
      <c r="A461" t="s">
        <v>372</v>
      </c>
      <c r="B461" s="4" t="s">
        <v>1146</v>
      </c>
      <c r="C461" s="4" t="s">
        <v>1149</v>
      </c>
      <c r="D461" s="4" t="s">
        <v>1215</v>
      </c>
      <c r="E461" s="4" t="s">
        <v>1221</v>
      </c>
      <c r="G461" s="4" t="s">
        <v>1165</v>
      </c>
      <c r="H461" s="4"/>
      <c r="I461" s="4" t="s">
        <v>1213</v>
      </c>
      <c r="M461" s="4" t="s">
        <v>1157</v>
      </c>
      <c r="P461">
        <v>2006</v>
      </c>
      <c r="Q461" t="s">
        <v>1210</v>
      </c>
      <c r="R461">
        <v>182.5</v>
      </c>
      <c r="S461" t="s">
        <v>1211</v>
      </c>
      <c r="T461" t="s">
        <v>1212</v>
      </c>
      <c r="U461" s="4" t="s">
        <v>1220</v>
      </c>
      <c r="X461" s="9" t="s">
        <v>1212</v>
      </c>
      <c r="AD461" t="s">
        <v>153</v>
      </c>
      <c r="AE461" t="s">
        <v>1214</v>
      </c>
      <c r="AJ461" s="4" t="s">
        <v>1148</v>
      </c>
      <c r="AK461" s="4">
        <v>81.786000000000001</v>
      </c>
      <c r="AN461" s="4">
        <v>3</v>
      </c>
      <c r="AO461" s="4">
        <v>50</v>
      </c>
      <c r="AP461">
        <v>21</v>
      </c>
      <c r="AR461" s="4" t="s">
        <v>1155</v>
      </c>
    </row>
    <row r="462" spans="1:45" x14ac:dyDescent="0.2">
      <c r="A462" t="s">
        <v>372</v>
      </c>
      <c r="B462" s="4" t="s">
        <v>1146</v>
      </c>
      <c r="C462" s="4" t="s">
        <v>1149</v>
      </c>
      <c r="D462" s="4" t="s">
        <v>1215</v>
      </c>
      <c r="E462" s="4" t="s">
        <v>1221</v>
      </c>
      <c r="G462" s="4" t="s">
        <v>1165</v>
      </c>
      <c r="H462" s="4"/>
      <c r="I462" s="4" t="s">
        <v>1213</v>
      </c>
      <c r="M462" s="4" t="s">
        <v>1157</v>
      </c>
      <c r="P462">
        <v>2006</v>
      </c>
      <c r="Q462" t="s">
        <v>1210</v>
      </c>
      <c r="R462">
        <v>182.5</v>
      </c>
      <c r="S462" t="s">
        <v>1211</v>
      </c>
      <c r="T462" t="s">
        <v>1212</v>
      </c>
      <c r="U462" s="4" t="s">
        <v>1218</v>
      </c>
      <c r="V462" s="9" t="s">
        <v>1217</v>
      </c>
      <c r="W462">
        <v>7</v>
      </c>
      <c r="X462" s="9" t="s">
        <v>1212</v>
      </c>
      <c r="AD462" t="s">
        <v>1165</v>
      </c>
      <c r="AJ462" s="4" t="s">
        <v>1148</v>
      </c>
      <c r="AK462" s="4">
        <v>9.6430000000000007</v>
      </c>
      <c r="AN462" s="4">
        <v>3</v>
      </c>
      <c r="AO462" s="4">
        <v>50</v>
      </c>
      <c r="AP462">
        <v>21</v>
      </c>
      <c r="AR462" s="4" t="s">
        <v>1155</v>
      </c>
    </row>
    <row r="463" spans="1:45" x14ac:dyDescent="0.2">
      <c r="A463" t="s">
        <v>372</v>
      </c>
      <c r="B463" s="4" t="s">
        <v>1146</v>
      </c>
      <c r="C463" s="4" t="s">
        <v>1149</v>
      </c>
      <c r="D463" s="4" t="s">
        <v>1215</v>
      </c>
      <c r="E463" s="4" t="s">
        <v>1221</v>
      </c>
      <c r="G463" s="4" t="s">
        <v>1165</v>
      </c>
      <c r="H463" s="4"/>
      <c r="I463" s="4" t="s">
        <v>1213</v>
      </c>
      <c r="M463" s="4" t="s">
        <v>1157</v>
      </c>
      <c r="P463">
        <v>2006</v>
      </c>
      <c r="Q463" t="s">
        <v>1210</v>
      </c>
      <c r="R463">
        <v>182.5</v>
      </c>
      <c r="S463" t="s">
        <v>1211</v>
      </c>
      <c r="T463" t="s">
        <v>1212</v>
      </c>
      <c r="U463" s="4" t="s">
        <v>1219</v>
      </c>
      <c r="V463" s="9" t="s">
        <v>1217</v>
      </c>
      <c r="W463">
        <v>7</v>
      </c>
      <c r="X463" s="9" t="s">
        <v>1212</v>
      </c>
      <c r="AD463" t="s">
        <v>153</v>
      </c>
      <c r="AE463" t="s">
        <v>1214</v>
      </c>
      <c r="AJ463" s="4" t="s">
        <v>1148</v>
      </c>
      <c r="AK463" s="4">
        <v>38.213999999999999</v>
      </c>
      <c r="AN463" s="4">
        <v>3</v>
      </c>
      <c r="AO463" s="4">
        <v>50</v>
      </c>
      <c r="AP463">
        <v>21</v>
      </c>
      <c r="AR463" s="4" t="s">
        <v>1155</v>
      </c>
    </row>
    <row r="464" spans="1:45" x14ac:dyDescent="0.2">
      <c r="A464" s="4" t="s">
        <v>372</v>
      </c>
      <c r="B464" s="4" t="s">
        <v>1146</v>
      </c>
      <c r="C464" s="4" t="s">
        <v>1149</v>
      </c>
      <c r="D464" s="4" t="s">
        <v>1215</v>
      </c>
      <c r="E464" s="4" t="s">
        <v>1222</v>
      </c>
      <c r="F464" s="4"/>
      <c r="G464" s="4" t="s">
        <v>1165</v>
      </c>
      <c r="H464" s="4"/>
      <c r="I464" s="4" t="s">
        <v>1213</v>
      </c>
      <c r="J464" s="4"/>
      <c r="K464" s="4"/>
      <c r="L464" s="4"/>
      <c r="M464" s="4" t="s">
        <v>1157</v>
      </c>
      <c r="N464" s="4"/>
      <c r="O464" s="4"/>
      <c r="P464" s="4">
        <v>2006</v>
      </c>
      <c r="Q464" s="4" t="s">
        <v>1210</v>
      </c>
      <c r="R464" s="4">
        <v>182.5</v>
      </c>
      <c r="S464" s="4" t="s">
        <v>1211</v>
      </c>
      <c r="T464" s="4" t="s">
        <v>1212</v>
      </c>
      <c r="U464" s="4" t="s">
        <v>1147</v>
      </c>
      <c r="V464" s="11"/>
      <c r="W464" s="4"/>
      <c r="X464" s="11" t="s">
        <v>1212</v>
      </c>
      <c r="Y464" s="4"/>
      <c r="Z464" s="4"/>
      <c r="AA464" s="4"/>
      <c r="AB464" s="4"/>
      <c r="AC464" s="4"/>
      <c r="AD464" s="4" t="s">
        <v>1165</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1215</v>
      </c>
      <c r="E465" s="4" t="s">
        <v>1222</v>
      </c>
      <c r="F465" s="4"/>
      <c r="G465" s="4" t="s">
        <v>1165</v>
      </c>
      <c r="H465" s="4"/>
      <c r="I465" s="4" t="s">
        <v>1213</v>
      </c>
      <c r="J465" s="4"/>
      <c r="K465" s="4"/>
      <c r="L465" s="4"/>
      <c r="M465" s="4" t="s">
        <v>1157</v>
      </c>
      <c r="N465" s="4"/>
      <c r="O465" s="4"/>
      <c r="P465" s="4">
        <v>2006</v>
      </c>
      <c r="Q465" s="4" t="s">
        <v>1210</v>
      </c>
      <c r="R465" s="4">
        <v>182.5</v>
      </c>
      <c r="S465" s="4" t="s">
        <v>1211</v>
      </c>
      <c r="T465" s="4" t="s">
        <v>1212</v>
      </c>
      <c r="U465" s="4" t="s">
        <v>1220</v>
      </c>
      <c r="V465" s="4"/>
      <c r="W465" s="4"/>
      <c r="X465" s="11" t="s">
        <v>1212</v>
      </c>
      <c r="Y465" s="4"/>
      <c r="Z465" s="4"/>
      <c r="AA465" s="4"/>
      <c r="AB465" s="4"/>
      <c r="AC465" s="4"/>
      <c r="AD465" s="4" t="s">
        <v>153</v>
      </c>
      <c r="AE465" s="4" t="s">
        <v>1214</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1215</v>
      </c>
      <c r="E466" s="4" t="s">
        <v>1222</v>
      </c>
      <c r="F466" s="4"/>
      <c r="G466" s="4" t="s">
        <v>1165</v>
      </c>
      <c r="H466" s="4"/>
      <c r="I466" s="4" t="s">
        <v>1213</v>
      </c>
      <c r="J466" s="4"/>
      <c r="K466" s="4"/>
      <c r="L466" s="4"/>
      <c r="M466" s="4" t="s">
        <v>1157</v>
      </c>
      <c r="N466" s="4"/>
      <c r="O466" s="4"/>
      <c r="P466" s="4">
        <v>2006</v>
      </c>
      <c r="Q466" s="4" t="s">
        <v>1210</v>
      </c>
      <c r="R466" s="4">
        <v>182.5</v>
      </c>
      <c r="S466" s="4" t="s">
        <v>1211</v>
      </c>
      <c r="T466" s="4" t="s">
        <v>1212</v>
      </c>
      <c r="U466" s="4" t="s">
        <v>1218</v>
      </c>
      <c r="V466" s="11" t="s">
        <v>1217</v>
      </c>
      <c r="W466" s="4">
        <v>7</v>
      </c>
      <c r="X466" s="11" t="s">
        <v>1212</v>
      </c>
      <c r="Y466" s="4"/>
      <c r="Z466" s="4"/>
      <c r="AA466" s="4"/>
      <c r="AB466" s="4"/>
      <c r="AC466" s="4"/>
      <c r="AD466" s="4" t="s">
        <v>1165</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1215</v>
      </c>
      <c r="E467" s="4" t="s">
        <v>1222</v>
      </c>
      <c r="F467" s="4"/>
      <c r="G467" s="4" t="s">
        <v>1165</v>
      </c>
      <c r="H467" s="4"/>
      <c r="I467" s="4" t="s">
        <v>1213</v>
      </c>
      <c r="J467" s="4"/>
      <c r="K467" s="4"/>
      <c r="L467" s="4"/>
      <c r="M467" s="4" t="s">
        <v>1157</v>
      </c>
      <c r="N467" s="4"/>
      <c r="O467" s="4"/>
      <c r="P467" s="4">
        <v>2006</v>
      </c>
      <c r="Q467" s="4" t="s">
        <v>1210</v>
      </c>
      <c r="R467" s="4">
        <v>182.5</v>
      </c>
      <c r="S467" s="4" t="s">
        <v>1211</v>
      </c>
      <c r="T467" s="4" t="s">
        <v>1212</v>
      </c>
      <c r="U467" s="4" t="s">
        <v>1219</v>
      </c>
      <c r="V467" s="11" t="s">
        <v>1217</v>
      </c>
      <c r="W467" s="4">
        <v>7</v>
      </c>
      <c r="X467" s="11" t="s">
        <v>1212</v>
      </c>
      <c r="Y467" s="4"/>
      <c r="Z467" s="4"/>
      <c r="AA467" s="4"/>
      <c r="AB467" s="4"/>
      <c r="AC467" s="4"/>
      <c r="AD467" s="4" t="s">
        <v>153</v>
      </c>
      <c r="AE467" s="4" t="s">
        <v>1214</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1215</v>
      </c>
      <c r="E468" s="4" t="s">
        <v>1223</v>
      </c>
      <c r="F468" s="4"/>
      <c r="G468" s="4" t="s">
        <v>1165</v>
      </c>
      <c r="H468" s="4"/>
      <c r="I468" s="4" t="s">
        <v>1213</v>
      </c>
      <c r="J468" s="4"/>
      <c r="K468" s="4"/>
      <c r="L468" s="4"/>
      <c r="M468" s="4" t="s">
        <v>1157</v>
      </c>
      <c r="N468" s="4"/>
      <c r="O468" s="4"/>
      <c r="P468" s="4">
        <v>2006</v>
      </c>
      <c r="Q468" s="4" t="s">
        <v>1210</v>
      </c>
      <c r="R468" s="4">
        <v>182.5</v>
      </c>
      <c r="S468" s="4" t="s">
        <v>1211</v>
      </c>
      <c r="T468" s="4" t="s">
        <v>1212</v>
      </c>
      <c r="U468" s="4" t="s">
        <v>1147</v>
      </c>
      <c r="V468" s="11"/>
      <c r="W468" s="4"/>
      <c r="X468" s="11" t="s">
        <v>1212</v>
      </c>
      <c r="Y468" s="4"/>
      <c r="Z468" s="4"/>
      <c r="AA468" s="4"/>
      <c r="AB468" s="4"/>
      <c r="AC468" s="4"/>
      <c r="AD468" s="4" t="s">
        <v>1165</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1215</v>
      </c>
      <c r="E469" s="4" t="s">
        <v>1223</v>
      </c>
      <c r="F469" s="4"/>
      <c r="G469" s="4" t="s">
        <v>1165</v>
      </c>
      <c r="H469" s="4"/>
      <c r="I469" s="4" t="s">
        <v>1213</v>
      </c>
      <c r="J469" s="4"/>
      <c r="K469" s="4"/>
      <c r="L469" s="4"/>
      <c r="M469" s="4" t="s">
        <v>1157</v>
      </c>
      <c r="N469" s="4"/>
      <c r="O469" s="4"/>
      <c r="P469" s="4">
        <v>2006</v>
      </c>
      <c r="Q469" s="4" t="s">
        <v>1210</v>
      </c>
      <c r="R469" s="4">
        <v>182.5</v>
      </c>
      <c r="S469" s="4" t="s">
        <v>1211</v>
      </c>
      <c r="T469" s="4" t="s">
        <v>1212</v>
      </c>
      <c r="U469" s="4" t="s">
        <v>1220</v>
      </c>
      <c r="V469" s="4"/>
      <c r="W469" s="4"/>
      <c r="X469" s="11" t="s">
        <v>1212</v>
      </c>
      <c r="Y469" s="4"/>
      <c r="Z469" s="4"/>
      <c r="AA469" s="4"/>
      <c r="AB469" s="4"/>
      <c r="AC469" s="4"/>
      <c r="AD469" s="4" t="s">
        <v>153</v>
      </c>
      <c r="AE469" s="4" t="s">
        <v>1214</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1215</v>
      </c>
      <c r="E470" s="4" t="s">
        <v>1223</v>
      </c>
      <c r="F470" s="4"/>
      <c r="G470" s="4" t="s">
        <v>1165</v>
      </c>
      <c r="H470" s="4"/>
      <c r="I470" s="4" t="s">
        <v>1213</v>
      </c>
      <c r="J470" s="4"/>
      <c r="K470" s="4"/>
      <c r="L470" s="4"/>
      <c r="M470" s="4" t="s">
        <v>1157</v>
      </c>
      <c r="N470" s="4"/>
      <c r="O470" s="4"/>
      <c r="P470" s="4">
        <v>2006</v>
      </c>
      <c r="Q470" s="4" t="s">
        <v>1210</v>
      </c>
      <c r="R470" s="4">
        <v>182.5</v>
      </c>
      <c r="S470" s="4" t="s">
        <v>1211</v>
      </c>
      <c r="T470" s="4" t="s">
        <v>1212</v>
      </c>
      <c r="U470" s="4" t="s">
        <v>1218</v>
      </c>
      <c r="V470" s="11" t="s">
        <v>1217</v>
      </c>
      <c r="W470" s="4">
        <v>7</v>
      </c>
      <c r="X470" s="11" t="s">
        <v>1212</v>
      </c>
      <c r="Y470" s="4"/>
      <c r="Z470" s="4"/>
      <c r="AA470" s="4"/>
      <c r="AB470" s="4"/>
      <c r="AC470" s="4"/>
      <c r="AD470" s="4" t="s">
        <v>1165</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1215</v>
      </c>
      <c r="E471" s="4" t="s">
        <v>1223</v>
      </c>
      <c r="F471" s="4"/>
      <c r="G471" s="4" t="s">
        <v>1165</v>
      </c>
      <c r="H471" s="4"/>
      <c r="I471" s="4" t="s">
        <v>1213</v>
      </c>
      <c r="J471" s="4"/>
      <c r="K471" s="4"/>
      <c r="L471" s="4"/>
      <c r="M471" s="4" t="s">
        <v>1157</v>
      </c>
      <c r="N471" s="4"/>
      <c r="O471" s="4"/>
      <c r="P471" s="4">
        <v>2006</v>
      </c>
      <c r="Q471" s="4" t="s">
        <v>1210</v>
      </c>
      <c r="R471" s="4">
        <v>182.5</v>
      </c>
      <c r="S471" s="4" t="s">
        <v>1211</v>
      </c>
      <c r="T471" s="4" t="s">
        <v>1212</v>
      </c>
      <c r="U471" s="4" t="s">
        <v>1219</v>
      </c>
      <c r="V471" s="11" t="s">
        <v>1217</v>
      </c>
      <c r="W471" s="4">
        <v>7</v>
      </c>
      <c r="X471" s="11" t="s">
        <v>1212</v>
      </c>
      <c r="Y471" s="4"/>
      <c r="Z471" s="4"/>
      <c r="AA471" s="4"/>
      <c r="AB471" s="4"/>
      <c r="AC471" s="4"/>
      <c r="AD471" s="4" t="s">
        <v>153</v>
      </c>
      <c r="AE471" s="4" t="s">
        <v>1214</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1215</v>
      </c>
      <c r="E472" s="4" t="s">
        <v>1224</v>
      </c>
      <c r="F472" s="4"/>
      <c r="G472" s="4" t="s">
        <v>1165</v>
      </c>
      <c r="H472" s="4"/>
      <c r="I472" s="4" t="s">
        <v>1213</v>
      </c>
      <c r="J472" s="4"/>
      <c r="K472" s="4"/>
      <c r="L472" s="4"/>
      <c r="M472" s="4" t="s">
        <v>1157</v>
      </c>
      <c r="N472" s="4"/>
      <c r="O472" s="4"/>
      <c r="P472" s="4">
        <v>2006</v>
      </c>
      <c r="Q472" s="4" t="s">
        <v>1210</v>
      </c>
      <c r="R472" s="4">
        <v>182.5</v>
      </c>
      <c r="S472" s="4" t="s">
        <v>1211</v>
      </c>
      <c r="T472" s="4" t="s">
        <v>1212</v>
      </c>
      <c r="U472" s="4" t="s">
        <v>1147</v>
      </c>
      <c r="V472" s="11"/>
      <c r="W472" s="4"/>
      <c r="X472" s="11" t="s">
        <v>1212</v>
      </c>
      <c r="Y472" s="4"/>
      <c r="Z472" s="4"/>
      <c r="AA472" s="4"/>
      <c r="AB472" s="4"/>
      <c r="AC472" s="4"/>
      <c r="AD472" s="4" t="s">
        <v>1165</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1215</v>
      </c>
      <c r="E473" s="4" t="s">
        <v>1224</v>
      </c>
      <c r="F473" s="4"/>
      <c r="G473" s="4" t="s">
        <v>1165</v>
      </c>
      <c r="H473" s="4"/>
      <c r="I473" s="4" t="s">
        <v>1213</v>
      </c>
      <c r="J473" s="4"/>
      <c r="K473" s="4"/>
      <c r="L473" s="4"/>
      <c r="M473" s="4" t="s">
        <v>1157</v>
      </c>
      <c r="N473" s="4"/>
      <c r="O473" s="4"/>
      <c r="P473" s="4">
        <v>2006</v>
      </c>
      <c r="Q473" s="4" t="s">
        <v>1210</v>
      </c>
      <c r="R473" s="4">
        <v>182.5</v>
      </c>
      <c r="S473" s="4" t="s">
        <v>1211</v>
      </c>
      <c r="T473" s="4" t="s">
        <v>1212</v>
      </c>
      <c r="U473" s="4" t="s">
        <v>1220</v>
      </c>
      <c r="V473" s="4"/>
      <c r="W473" s="4"/>
      <c r="X473" s="11" t="s">
        <v>1212</v>
      </c>
      <c r="Y473" s="4"/>
      <c r="Z473" s="4"/>
      <c r="AA473" s="4"/>
      <c r="AB473" s="4"/>
      <c r="AC473" s="4"/>
      <c r="AD473" s="4" t="s">
        <v>153</v>
      </c>
      <c r="AE473" s="4" t="s">
        <v>1214</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1215</v>
      </c>
      <c r="E474" s="4" t="s">
        <v>1224</v>
      </c>
      <c r="F474" s="4"/>
      <c r="G474" s="4" t="s">
        <v>1165</v>
      </c>
      <c r="H474" s="4"/>
      <c r="I474" s="4" t="s">
        <v>1213</v>
      </c>
      <c r="J474" s="4"/>
      <c r="K474" s="4"/>
      <c r="L474" s="4"/>
      <c r="M474" s="4" t="s">
        <v>1157</v>
      </c>
      <c r="N474" s="4"/>
      <c r="O474" s="4"/>
      <c r="P474" s="4">
        <v>2006</v>
      </c>
      <c r="Q474" s="4" t="s">
        <v>1210</v>
      </c>
      <c r="R474" s="4">
        <v>182.5</v>
      </c>
      <c r="S474" s="4" t="s">
        <v>1211</v>
      </c>
      <c r="T474" s="4" t="s">
        <v>1212</v>
      </c>
      <c r="U474" s="4" t="s">
        <v>1218</v>
      </c>
      <c r="V474" s="11" t="s">
        <v>1217</v>
      </c>
      <c r="W474" s="4">
        <v>7</v>
      </c>
      <c r="X474" s="11" t="s">
        <v>1212</v>
      </c>
      <c r="Y474" s="4"/>
      <c r="Z474" s="4"/>
      <c r="AA474" s="4"/>
      <c r="AB474" s="4"/>
      <c r="AC474" s="4"/>
      <c r="AD474" s="4" t="s">
        <v>1165</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1215</v>
      </c>
      <c r="E475" s="4" t="s">
        <v>1224</v>
      </c>
      <c r="F475" s="4"/>
      <c r="G475" s="4" t="s">
        <v>1165</v>
      </c>
      <c r="H475" s="4"/>
      <c r="I475" s="4" t="s">
        <v>1213</v>
      </c>
      <c r="J475" s="4"/>
      <c r="K475" s="4"/>
      <c r="L475" s="4"/>
      <c r="M475" s="4" t="s">
        <v>1157</v>
      </c>
      <c r="N475" s="4"/>
      <c r="O475" s="4"/>
      <c r="P475" s="4">
        <v>2006</v>
      </c>
      <c r="Q475" s="4" t="s">
        <v>1210</v>
      </c>
      <c r="R475" s="4">
        <v>182.5</v>
      </c>
      <c r="S475" s="4" t="s">
        <v>1211</v>
      </c>
      <c r="T475" s="4" t="s">
        <v>1212</v>
      </c>
      <c r="U475" s="4" t="s">
        <v>1219</v>
      </c>
      <c r="V475" s="11" t="s">
        <v>1217</v>
      </c>
      <c r="W475" s="4">
        <v>7</v>
      </c>
      <c r="X475" s="11" t="s">
        <v>1212</v>
      </c>
      <c r="Y475" s="4"/>
      <c r="Z475" s="4"/>
      <c r="AA475" s="4"/>
      <c r="AB475" s="4"/>
      <c r="AC475" s="4"/>
      <c r="AD475" s="4" t="s">
        <v>153</v>
      </c>
      <c r="AE475" s="4" t="s">
        <v>1214</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1215</v>
      </c>
      <c r="E476" s="4" t="s">
        <v>746</v>
      </c>
      <c r="F476" s="4"/>
      <c r="G476" s="4" t="s">
        <v>1165</v>
      </c>
      <c r="H476" s="4"/>
      <c r="I476" s="4" t="s">
        <v>1213</v>
      </c>
      <c r="J476" s="4"/>
      <c r="K476" s="4"/>
      <c r="L476" s="4"/>
      <c r="M476" s="4" t="s">
        <v>1157</v>
      </c>
      <c r="N476" s="4"/>
      <c r="O476" s="4"/>
      <c r="P476" s="4">
        <v>2006</v>
      </c>
      <c r="Q476" s="4" t="s">
        <v>1210</v>
      </c>
      <c r="R476" s="4">
        <v>182.5</v>
      </c>
      <c r="S476" s="4" t="s">
        <v>1211</v>
      </c>
      <c r="T476" s="4" t="s">
        <v>1212</v>
      </c>
      <c r="U476" s="4" t="s">
        <v>1147</v>
      </c>
      <c r="V476" s="11"/>
      <c r="W476" s="4"/>
      <c r="X476" s="11" t="s">
        <v>1212</v>
      </c>
      <c r="Y476" s="4"/>
      <c r="Z476" s="4"/>
      <c r="AA476" s="4"/>
      <c r="AB476" s="4"/>
      <c r="AC476" s="4"/>
      <c r="AD476" s="4" t="s">
        <v>1165</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1215</v>
      </c>
      <c r="E477" s="4" t="s">
        <v>746</v>
      </c>
      <c r="F477" s="4"/>
      <c r="G477" s="4" t="s">
        <v>1165</v>
      </c>
      <c r="H477" s="4"/>
      <c r="I477" s="4" t="s">
        <v>1213</v>
      </c>
      <c r="J477" s="4"/>
      <c r="K477" s="4"/>
      <c r="L477" s="4"/>
      <c r="M477" s="4" t="s">
        <v>1157</v>
      </c>
      <c r="N477" s="4"/>
      <c r="O477" s="4"/>
      <c r="P477" s="4">
        <v>2006</v>
      </c>
      <c r="Q477" s="4" t="s">
        <v>1210</v>
      </c>
      <c r="R477" s="4">
        <v>182.5</v>
      </c>
      <c r="S477" s="4" t="s">
        <v>1211</v>
      </c>
      <c r="T477" s="4" t="s">
        <v>1212</v>
      </c>
      <c r="U477" s="4" t="s">
        <v>1220</v>
      </c>
      <c r="V477" s="4"/>
      <c r="W477" s="4"/>
      <c r="X477" s="11" t="s">
        <v>1212</v>
      </c>
      <c r="Y477" s="4"/>
      <c r="Z477" s="4"/>
      <c r="AA477" s="4"/>
      <c r="AB477" s="4"/>
      <c r="AC477" s="4"/>
      <c r="AD477" s="4" t="s">
        <v>153</v>
      </c>
      <c r="AE477" s="4" t="s">
        <v>1214</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1215</v>
      </c>
      <c r="E478" s="4" t="s">
        <v>746</v>
      </c>
      <c r="F478" s="4"/>
      <c r="G478" s="4" t="s">
        <v>1165</v>
      </c>
      <c r="H478" s="4"/>
      <c r="I478" s="4" t="s">
        <v>1213</v>
      </c>
      <c r="J478" s="4"/>
      <c r="K478" s="4"/>
      <c r="L478" s="4"/>
      <c r="M478" s="4" t="s">
        <v>1157</v>
      </c>
      <c r="N478" s="4"/>
      <c r="O478" s="4"/>
      <c r="P478" s="4">
        <v>2006</v>
      </c>
      <c r="Q478" s="4" t="s">
        <v>1210</v>
      </c>
      <c r="R478" s="4">
        <v>182.5</v>
      </c>
      <c r="S478" s="4" t="s">
        <v>1211</v>
      </c>
      <c r="T478" s="4" t="s">
        <v>1212</v>
      </c>
      <c r="U478" s="4" t="s">
        <v>1218</v>
      </c>
      <c r="V478" s="11" t="s">
        <v>1217</v>
      </c>
      <c r="W478" s="4">
        <v>7</v>
      </c>
      <c r="X478" s="11" t="s">
        <v>1212</v>
      </c>
      <c r="Y478" s="4"/>
      <c r="Z478" s="4"/>
      <c r="AA478" s="4"/>
      <c r="AB478" s="4"/>
      <c r="AC478" s="4"/>
      <c r="AD478" s="4" t="s">
        <v>1165</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1215</v>
      </c>
      <c r="E479" s="4" t="s">
        <v>746</v>
      </c>
      <c r="F479" s="4"/>
      <c r="G479" s="4" t="s">
        <v>1165</v>
      </c>
      <c r="H479" s="4"/>
      <c r="I479" s="4" t="s">
        <v>1213</v>
      </c>
      <c r="J479" s="4"/>
      <c r="K479" s="4"/>
      <c r="L479" s="4"/>
      <c r="M479" s="4" t="s">
        <v>1157</v>
      </c>
      <c r="N479" s="4"/>
      <c r="O479" s="4"/>
      <c r="P479" s="4">
        <v>2006</v>
      </c>
      <c r="Q479" s="4" t="s">
        <v>1210</v>
      </c>
      <c r="R479" s="4">
        <v>182.5</v>
      </c>
      <c r="S479" s="4" t="s">
        <v>1211</v>
      </c>
      <c r="T479" s="4" t="s">
        <v>1212</v>
      </c>
      <c r="U479" s="4" t="s">
        <v>1219</v>
      </c>
      <c r="V479" s="11" t="s">
        <v>1217</v>
      </c>
      <c r="W479" s="4">
        <v>7</v>
      </c>
      <c r="X479" s="11" t="s">
        <v>1212</v>
      </c>
      <c r="Y479" s="4"/>
      <c r="Z479" s="4"/>
      <c r="AA479" s="4"/>
      <c r="AB479" s="4"/>
      <c r="AC479" s="4"/>
      <c r="AD479" s="4" t="s">
        <v>153</v>
      </c>
      <c r="AE479" s="4" t="s">
        <v>1214</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1226</v>
      </c>
      <c r="E480" s="4" t="s">
        <v>1225</v>
      </c>
      <c r="F480" s="4"/>
      <c r="G480" s="4" t="s">
        <v>1165</v>
      </c>
      <c r="H480" s="4"/>
      <c r="I480" s="4" t="s">
        <v>1213</v>
      </c>
      <c r="J480" s="4"/>
      <c r="K480" s="4"/>
      <c r="L480" s="4"/>
      <c r="M480" s="4" t="s">
        <v>1157</v>
      </c>
      <c r="N480" s="4"/>
      <c r="O480" s="4"/>
      <c r="P480" s="4">
        <v>2006</v>
      </c>
      <c r="Q480" s="4" t="s">
        <v>1210</v>
      </c>
      <c r="R480" s="4">
        <v>182.5</v>
      </c>
      <c r="S480" s="4" t="s">
        <v>1211</v>
      </c>
      <c r="T480" s="4" t="s">
        <v>1212</v>
      </c>
      <c r="U480" s="4" t="s">
        <v>1147</v>
      </c>
      <c r="V480" s="11"/>
      <c r="W480" s="4"/>
      <c r="X480" s="11" t="s">
        <v>1212</v>
      </c>
      <c r="Y480" s="4"/>
      <c r="Z480" s="4"/>
      <c r="AA480" s="4"/>
      <c r="AB480" s="4"/>
      <c r="AC480" s="4"/>
      <c r="AD480" s="4" t="s">
        <v>1165</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1226</v>
      </c>
      <c r="E481" s="4" t="s">
        <v>1225</v>
      </c>
      <c r="F481" s="4"/>
      <c r="G481" s="4" t="s">
        <v>1165</v>
      </c>
      <c r="H481" s="4"/>
      <c r="I481" s="4" t="s">
        <v>1213</v>
      </c>
      <c r="J481" s="4"/>
      <c r="K481" s="4"/>
      <c r="L481" s="4"/>
      <c r="M481" s="4" t="s">
        <v>1157</v>
      </c>
      <c r="N481" s="4"/>
      <c r="O481" s="4"/>
      <c r="P481" s="4">
        <v>2006</v>
      </c>
      <c r="Q481" s="4" t="s">
        <v>1210</v>
      </c>
      <c r="R481" s="4">
        <v>182.5</v>
      </c>
      <c r="S481" s="4" t="s">
        <v>1211</v>
      </c>
      <c r="T481" s="4" t="s">
        <v>1212</v>
      </c>
      <c r="U481" s="4" t="s">
        <v>1220</v>
      </c>
      <c r="V481" s="4"/>
      <c r="W481" s="4"/>
      <c r="X481" s="11" t="s">
        <v>1212</v>
      </c>
      <c r="Y481" s="4"/>
      <c r="Z481" s="4"/>
      <c r="AA481" s="4"/>
      <c r="AB481" s="4"/>
      <c r="AC481" s="4"/>
      <c r="AD481" s="4" t="s">
        <v>153</v>
      </c>
      <c r="AE481" s="4" t="s">
        <v>1214</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1226</v>
      </c>
      <c r="E482" s="4" t="s">
        <v>1225</v>
      </c>
      <c r="F482" s="4"/>
      <c r="G482" s="4" t="s">
        <v>1165</v>
      </c>
      <c r="H482" s="4"/>
      <c r="I482" s="4" t="s">
        <v>1213</v>
      </c>
      <c r="J482" s="4"/>
      <c r="K482" s="4"/>
      <c r="L482" s="4"/>
      <c r="M482" s="4" t="s">
        <v>1157</v>
      </c>
      <c r="N482" s="4"/>
      <c r="O482" s="4"/>
      <c r="P482" s="4">
        <v>2006</v>
      </c>
      <c r="Q482" s="4" t="s">
        <v>1210</v>
      </c>
      <c r="R482" s="4">
        <v>182.5</v>
      </c>
      <c r="S482" s="4" t="s">
        <v>1211</v>
      </c>
      <c r="T482" s="4" t="s">
        <v>1212</v>
      </c>
      <c r="U482" s="4" t="s">
        <v>1218</v>
      </c>
      <c r="V482" s="11" t="s">
        <v>1217</v>
      </c>
      <c r="W482" s="4">
        <v>7</v>
      </c>
      <c r="X482" s="11" t="s">
        <v>1212</v>
      </c>
      <c r="Y482" s="4"/>
      <c r="Z482" s="4"/>
      <c r="AA482" s="4"/>
      <c r="AB482" s="4"/>
      <c r="AC482" s="4"/>
      <c r="AD482" s="4" t="s">
        <v>1165</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1226</v>
      </c>
      <c r="E483" s="4" t="s">
        <v>1225</v>
      </c>
      <c r="F483" s="4"/>
      <c r="G483" s="4" t="s">
        <v>1165</v>
      </c>
      <c r="H483" s="4"/>
      <c r="I483" s="4" t="s">
        <v>1213</v>
      </c>
      <c r="J483" s="4"/>
      <c r="K483" s="4"/>
      <c r="L483" s="4"/>
      <c r="M483" s="4" t="s">
        <v>1157</v>
      </c>
      <c r="N483" s="4"/>
      <c r="O483" s="4"/>
      <c r="P483" s="4">
        <v>2006</v>
      </c>
      <c r="Q483" s="4" t="s">
        <v>1210</v>
      </c>
      <c r="R483" s="4">
        <v>182.5</v>
      </c>
      <c r="S483" s="4" t="s">
        <v>1211</v>
      </c>
      <c r="T483" s="4" t="s">
        <v>1212</v>
      </c>
      <c r="U483" s="4" t="s">
        <v>1219</v>
      </c>
      <c r="V483" s="11" t="s">
        <v>1217</v>
      </c>
      <c r="W483" s="4">
        <v>7</v>
      </c>
      <c r="X483" s="11" t="s">
        <v>1212</v>
      </c>
      <c r="Y483" s="4"/>
      <c r="Z483" s="4"/>
      <c r="AA483" s="4"/>
      <c r="AB483" s="4"/>
      <c r="AC483" s="4"/>
      <c r="AD483" s="4" t="s">
        <v>153</v>
      </c>
      <c r="AE483" s="4" t="s">
        <v>1214</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1226</v>
      </c>
      <c r="E484" s="4" t="s">
        <v>1227</v>
      </c>
      <c r="F484" s="4"/>
      <c r="G484" s="4" t="s">
        <v>1165</v>
      </c>
      <c r="H484" s="4"/>
      <c r="I484" s="4" t="s">
        <v>1213</v>
      </c>
      <c r="J484" s="4"/>
      <c r="K484" s="4"/>
      <c r="L484" s="4"/>
      <c r="M484" s="4" t="s">
        <v>1157</v>
      </c>
      <c r="N484" s="4"/>
      <c r="O484" s="4"/>
      <c r="P484" s="4">
        <v>2006</v>
      </c>
      <c r="Q484" s="4" t="s">
        <v>1210</v>
      </c>
      <c r="R484" s="4">
        <v>182.5</v>
      </c>
      <c r="S484" s="4" t="s">
        <v>1211</v>
      </c>
      <c r="T484" s="4" t="s">
        <v>1212</v>
      </c>
      <c r="U484" s="4" t="s">
        <v>1147</v>
      </c>
      <c r="V484" s="11"/>
      <c r="W484" s="4"/>
      <c r="X484" s="11" t="s">
        <v>1212</v>
      </c>
      <c r="Y484" s="4"/>
      <c r="Z484" s="4"/>
      <c r="AA484" s="4"/>
      <c r="AB484" s="4"/>
      <c r="AC484" s="4"/>
      <c r="AD484" s="4" t="s">
        <v>1165</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1226</v>
      </c>
      <c r="E485" s="4" t="s">
        <v>1227</v>
      </c>
      <c r="F485" s="4"/>
      <c r="G485" s="4" t="s">
        <v>1165</v>
      </c>
      <c r="H485" s="4"/>
      <c r="I485" s="4" t="s">
        <v>1213</v>
      </c>
      <c r="J485" s="4"/>
      <c r="K485" s="4"/>
      <c r="L485" s="4"/>
      <c r="M485" s="4" t="s">
        <v>1157</v>
      </c>
      <c r="N485" s="4"/>
      <c r="O485" s="4"/>
      <c r="P485" s="4">
        <v>2006</v>
      </c>
      <c r="Q485" s="4" t="s">
        <v>1210</v>
      </c>
      <c r="R485" s="4">
        <v>182.5</v>
      </c>
      <c r="S485" s="4" t="s">
        <v>1211</v>
      </c>
      <c r="T485" s="4" t="s">
        <v>1212</v>
      </c>
      <c r="U485" s="4" t="s">
        <v>1220</v>
      </c>
      <c r="V485" s="4"/>
      <c r="W485" s="4"/>
      <c r="X485" s="11" t="s">
        <v>1212</v>
      </c>
      <c r="Y485" s="4"/>
      <c r="Z485" s="4"/>
      <c r="AA485" s="4"/>
      <c r="AB485" s="4"/>
      <c r="AC485" s="4"/>
      <c r="AD485" s="4" t="s">
        <v>153</v>
      </c>
      <c r="AE485" s="4" t="s">
        <v>1214</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1226</v>
      </c>
      <c r="E486" s="4" t="s">
        <v>1227</v>
      </c>
      <c r="F486" s="4"/>
      <c r="G486" s="4" t="s">
        <v>1165</v>
      </c>
      <c r="H486" s="4"/>
      <c r="I486" s="4" t="s">
        <v>1213</v>
      </c>
      <c r="J486" s="4"/>
      <c r="K486" s="4"/>
      <c r="L486" s="4"/>
      <c r="M486" s="4" t="s">
        <v>1157</v>
      </c>
      <c r="N486" s="4"/>
      <c r="O486" s="4"/>
      <c r="P486" s="4">
        <v>2006</v>
      </c>
      <c r="Q486" s="4" t="s">
        <v>1210</v>
      </c>
      <c r="R486" s="4">
        <v>182.5</v>
      </c>
      <c r="S486" s="4" t="s">
        <v>1211</v>
      </c>
      <c r="T486" s="4" t="s">
        <v>1212</v>
      </c>
      <c r="U486" s="4" t="s">
        <v>1218</v>
      </c>
      <c r="V486" s="11" t="s">
        <v>1217</v>
      </c>
      <c r="W486" s="4">
        <v>7</v>
      </c>
      <c r="X486" s="11" t="s">
        <v>1212</v>
      </c>
      <c r="Y486" s="4"/>
      <c r="Z486" s="4"/>
      <c r="AA486" s="4"/>
      <c r="AB486" s="4"/>
      <c r="AC486" s="4"/>
      <c r="AD486" s="4" t="s">
        <v>1165</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1226</v>
      </c>
      <c r="E487" s="4" t="s">
        <v>1227</v>
      </c>
      <c r="F487" s="4"/>
      <c r="G487" s="4" t="s">
        <v>1165</v>
      </c>
      <c r="H487" s="4"/>
      <c r="I487" s="4" t="s">
        <v>1213</v>
      </c>
      <c r="J487" s="4"/>
      <c r="K487" s="4"/>
      <c r="L487" s="4"/>
      <c r="M487" s="4" t="s">
        <v>1157</v>
      </c>
      <c r="N487" s="4"/>
      <c r="O487" s="4"/>
      <c r="P487" s="4">
        <v>2006</v>
      </c>
      <c r="Q487" s="4" t="s">
        <v>1210</v>
      </c>
      <c r="R487" s="4">
        <v>182.5</v>
      </c>
      <c r="S487" s="4" t="s">
        <v>1211</v>
      </c>
      <c r="T487" s="4" t="s">
        <v>1212</v>
      </c>
      <c r="U487" s="4" t="s">
        <v>1219</v>
      </c>
      <c r="V487" s="11" t="s">
        <v>1217</v>
      </c>
      <c r="W487" s="4">
        <v>7</v>
      </c>
      <c r="X487" s="11" t="s">
        <v>1212</v>
      </c>
      <c r="Y487" s="4"/>
      <c r="Z487" s="4"/>
      <c r="AA487" s="4"/>
      <c r="AB487" s="4"/>
      <c r="AC487" s="4"/>
      <c r="AD487" s="4" t="s">
        <v>153</v>
      </c>
      <c r="AE487" s="4" t="s">
        <v>1214</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1226</v>
      </c>
      <c r="E488" s="4" t="s">
        <v>1228</v>
      </c>
      <c r="F488" s="4"/>
      <c r="G488" s="4" t="s">
        <v>1165</v>
      </c>
      <c r="H488" s="4"/>
      <c r="I488" s="4" t="s">
        <v>1213</v>
      </c>
      <c r="J488" s="4"/>
      <c r="K488" s="4"/>
      <c r="L488" s="4"/>
      <c r="M488" s="4" t="s">
        <v>1157</v>
      </c>
      <c r="N488" s="4"/>
      <c r="O488" s="4"/>
      <c r="P488" s="4">
        <v>2006</v>
      </c>
      <c r="Q488" s="4" t="s">
        <v>1210</v>
      </c>
      <c r="R488" s="4">
        <v>182.5</v>
      </c>
      <c r="S488" s="4" t="s">
        <v>1211</v>
      </c>
      <c r="T488" s="4" t="s">
        <v>1212</v>
      </c>
      <c r="U488" s="4" t="s">
        <v>1147</v>
      </c>
      <c r="V488" s="11"/>
      <c r="W488" s="4"/>
      <c r="X488" s="11" t="s">
        <v>1212</v>
      </c>
      <c r="Y488" s="4"/>
      <c r="Z488" s="4"/>
      <c r="AA488" s="4"/>
      <c r="AB488" s="4"/>
      <c r="AC488" s="4"/>
      <c r="AD488" s="4" t="s">
        <v>1165</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1226</v>
      </c>
      <c r="E489" s="4" t="s">
        <v>1228</v>
      </c>
      <c r="F489" s="4"/>
      <c r="G489" s="4" t="s">
        <v>1165</v>
      </c>
      <c r="H489" s="4"/>
      <c r="I489" s="4" t="s">
        <v>1213</v>
      </c>
      <c r="J489" s="4"/>
      <c r="K489" s="4"/>
      <c r="L489" s="4"/>
      <c r="M489" s="4" t="s">
        <v>1157</v>
      </c>
      <c r="N489" s="4"/>
      <c r="O489" s="4"/>
      <c r="P489" s="4">
        <v>2006</v>
      </c>
      <c r="Q489" s="4" t="s">
        <v>1210</v>
      </c>
      <c r="R489" s="4">
        <v>182.5</v>
      </c>
      <c r="S489" s="4" t="s">
        <v>1211</v>
      </c>
      <c r="T489" s="4" t="s">
        <v>1212</v>
      </c>
      <c r="U489" s="4" t="s">
        <v>1220</v>
      </c>
      <c r="V489" s="4"/>
      <c r="W489" s="4"/>
      <c r="X489" s="11" t="s">
        <v>1212</v>
      </c>
      <c r="Y489" s="4"/>
      <c r="Z489" s="4"/>
      <c r="AA489" s="4"/>
      <c r="AB489" s="4"/>
      <c r="AC489" s="4"/>
      <c r="AD489" s="4" t="s">
        <v>153</v>
      </c>
      <c r="AE489" s="4" t="s">
        <v>1214</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1226</v>
      </c>
      <c r="E490" s="4" t="s">
        <v>1228</v>
      </c>
      <c r="F490" s="4"/>
      <c r="G490" s="4" t="s">
        <v>1165</v>
      </c>
      <c r="H490" s="4"/>
      <c r="I490" s="4" t="s">
        <v>1213</v>
      </c>
      <c r="J490" s="4"/>
      <c r="K490" s="4"/>
      <c r="L490" s="4"/>
      <c r="M490" s="4" t="s">
        <v>1157</v>
      </c>
      <c r="N490" s="4"/>
      <c r="O490" s="4"/>
      <c r="P490" s="4">
        <v>2006</v>
      </c>
      <c r="Q490" s="4" t="s">
        <v>1210</v>
      </c>
      <c r="R490" s="4">
        <v>182.5</v>
      </c>
      <c r="S490" s="4" t="s">
        <v>1211</v>
      </c>
      <c r="T490" s="4" t="s">
        <v>1212</v>
      </c>
      <c r="U490" s="4" t="s">
        <v>1218</v>
      </c>
      <c r="V490" s="11" t="s">
        <v>1217</v>
      </c>
      <c r="W490" s="4">
        <v>7</v>
      </c>
      <c r="X490" s="11" t="s">
        <v>1212</v>
      </c>
      <c r="Y490" s="4"/>
      <c r="Z490" s="4"/>
      <c r="AA490" s="4"/>
      <c r="AB490" s="4"/>
      <c r="AC490" s="4"/>
      <c r="AD490" s="4" t="s">
        <v>1165</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1226</v>
      </c>
      <c r="E491" s="4" t="s">
        <v>1228</v>
      </c>
      <c r="F491" s="4"/>
      <c r="G491" s="4" t="s">
        <v>1165</v>
      </c>
      <c r="H491" s="4"/>
      <c r="I491" s="4" t="s">
        <v>1213</v>
      </c>
      <c r="J491" s="4"/>
      <c r="K491" s="4"/>
      <c r="L491" s="4"/>
      <c r="M491" s="4" t="s">
        <v>1157</v>
      </c>
      <c r="N491" s="4"/>
      <c r="O491" s="4"/>
      <c r="P491" s="4">
        <v>2006</v>
      </c>
      <c r="Q491" s="4" t="s">
        <v>1210</v>
      </c>
      <c r="R491" s="4">
        <v>182.5</v>
      </c>
      <c r="S491" s="4" t="s">
        <v>1211</v>
      </c>
      <c r="T491" s="4" t="s">
        <v>1212</v>
      </c>
      <c r="U491" s="4" t="s">
        <v>1219</v>
      </c>
      <c r="V491" s="11" t="s">
        <v>1217</v>
      </c>
      <c r="W491" s="4">
        <v>7</v>
      </c>
      <c r="X491" s="11" t="s">
        <v>1212</v>
      </c>
      <c r="Y491" s="4"/>
      <c r="Z491" s="4"/>
      <c r="AA491" s="4"/>
      <c r="AB491" s="4"/>
      <c r="AC491" s="4"/>
      <c r="AD491" s="4" t="s">
        <v>153</v>
      </c>
      <c r="AE491" s="4" t="s">
        <v>1214</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1231</v>
      </c>
      <c r="B492" s="15" t="s">
        <v>1146</v>
      </c>
      <c r="C492" s="15" t="s">
        <v>1149</v>
      </c>
      <c r="D492" s="14" t="s">
        <v>1232</v>
      </c>
      <c r="E492" s="14" t="s">
        <v>1233</v>
      </c>
      <c r="G492" s="15" t="s">
        <v>1165</v>
      </c>
      <c r="H492" s="15" t="s">
        <v>1165</v>
      </c>
      <c r="I492" s="18" t="s">
        <v>1234</v>
      </c>
      <c r="J492" s="14">
        <v>35.25</v>
      </c>
      <c r="K492" s="14">
        <v>51.75</v>
      </c>
      <c r="L492" s="14">
        <v>1690</v>
      </c>
      <c r="M492" s="15" t="s">
        <v>1145</v>
      </c>
      <c r="O492" s="14">
        <v>2007</v>
      </c>
      <c r="U492" s="15" t="s">
        <v>1310</v>
      </c>
      <c r="V492" s="12" t="s">
        <v>1235</v>
      </c>
      <c r="W492" s="15">
        <v>9</v>
      </c>
      <c r="X492" s="12" t="s">
        <v>1201</v>
      </c>
      <c r="Y492" s="14" t="s">
        <v>1305</v>
      </c>
      <c r="Z492" s="14">
        <v>12</v>
      </c>
      <c r="AD492" s="15" t="s">
        <v>1165</v>
      </c>
      <c r="AI492" s="14" t="s">
        <v>153</v>
      </c>
      <c r="AJ492" s="15" t="s">
        <v>1278</v>
      </c>
      <c r="AK492" s="14">
        <v>32.24</v>
      </c>
      <c r="AN492" s="15">
        <v>4</v>
      </c>
      <c r="AO492" s="15">
        <v>25</v>
      </c>
      <c r="AR492" s="14" t="s">
        <v>1249</v>
      </c>
      <c r="AS492" s="14" t="s">
        <v>1309</v>
      </c>
    </row>
    <row r="493" spans="1:45" s="14" customFormat="1" x14ac:dyDescent="0.2">
      <c r="A493" s="14" t="s">
        <v>1231</v>
      </c>
      <c r="B493" s="15" t="s">
        <v>1146</v>
      </c>
      <c r="C493" s="15" t="s">
        <v>1149</v>
      </c>
      <c r="D493" s="14" t="s">
        <v>1232</v>
      </c>
      <c r="E493" s="14" t="s">
        <v>1233</v>
      </c>
      <c r="G493" s="15" t="s">
        <v>1165</v>
      </c>
      <c r="H493" s="15" t="s">
        <v>1165</v>
      </c>
      <c r="I493" s="18" t="s">
        <v>1234</v>
      </c>
      <c r="J493" s="14">
        <v>35.25</v>
      </c>
      <c r="K493" s="14">
        <v>51.75</v>
      </c>
      <c r="L493" s="14">
        <v>1690</v>
      </c>
      <c r="M493" s="15" t="s">
        <v>1145</v>
      </c>
      <c r="O493" s="14">
        <v>2007</v>
      </c>
      <c r="U493" s="15" t="s">
        <v>1310</v>
      </c>
      <c r="V493" s="12" t="s">
        <v>1235</v>
      </c>
      <c r="W493" s="15">
        <v>9</v>
      </c>
      <c r="X493" s="12" t="s">
        <v>1201</v>
      </c>
      <c r="Y493" s="14" t="s">
        <v>1305</v>
      </c>
      <c r="AD493" s="15" t="s">
        <v>1165</v>
      </c>
      <c r="AI493" s="14" t="s">
        <v>153</v>
      </c>
      <c r="AJ493" s="15" t="s">
        <v>1278</v>
      </c>
      <c r="AK493" s="14">
        <v>27.23</v>
      </c>
      <c r="AN493" s="15">
        <v>4</v>
      </c>
      <c r="AO493" s="15">
        <v>25</v>
      </c>
      <c r="AR493" s="14" t="s">
        <v>1249</v>
      </c>
      <c r="AS493" s="14" t="s">
        <v>1309</v>
      </c>
    </row>
    <row r="494" spans="1:45" s="14" customFormat="1" x14ac:dyDescent="0.2">
      <c r="A494" s="14" t="s">
        <v>1231</v>
      </c>
      <c r="B494" s="15" t="s">
        <v>1146</v>
      </c>
      <c r="C494" s="15" t="s">
        <v>1149</v>
      </c>
      <c r="D494" s="14" t="s">
        <v>1232</v>
      </c>
      <c r="E494" s="14" t="s">
        <v>1233</v>
      </c>
      <c r="G494" s="15" t="s">
        <v>1165</v>
      </c>
      <c r="H494" s="15" t="s">
        <v>1165</v>
      </c>
      <c r="I494" s="18" t="s">
        <v>1234</v>
      </c>
      <c r="J494" s="14">
        <v>35.25</v>
      </c>
      <c r="K494" s="14">
        <v>51.75</v>
      </c>
      <c r="L494" s="14">
        <v>1690</v>
      </c>
      <c r="M494" s="15" t="s">
        <v>1145</v>
      </c>
      <c r="O494" s="14">
        <v>2007</v>
      </c>
      <c r="U494" s="15" t="s">
        <v>1310</v>
      </c>
      <c r="V494" s="12" t="s">
        <v>1235</v>
      </c>
      <c r="W494" s="15">
        <v>9</v>
      </c>
      <c r="X494" s="12" t="s">
        <v>1201</v>
      </c>
      <c r="Y494" s="14" t="s">
        <v>1306</v>
      </c>
      <c r="Z494" s="14">
        <v>12</v>
      </c>
      <c r="AD494" s="15" t="s">
        <v>1165</v>
      </c>
      <c r="AI494" s="14" t="s">
        <v>153</v>
      </c>
      <c r="AJ494" s="15" t="s">
        <v>1278</v>
      </c>
      <c r="AK494" s="14">
        <v>32</v>
      </c>
      <c r="AN494" s="15">
        <v>4</v>
      </c>
      <c r="AO494" s="15">
        <v>25</v>
      </c>
      <c r="AR494" s="14" t="s">
        <v>1249</v>
      </c>
      <c r="AS494" s="14" t="s">
        <v>1309</v>
      </c>
    </row>
    <row r="495" spans="1:45" s="14" customFormat="1" x14ac:dyDescent="0.2">
      <c r="A495" s="14" t="s">
        <v>1231</v>
      </c>
      <c r="B495" s="15" t="s">
        <v>1146</v>
      </c>
      <c r="C495" s="15" t="s">
        <v>1149</v>
      </c>
      <c r="D495" s="14" t="s">
        <v>1232</v>
      </c>
      <c r="E495" s="14" t="s">
        <v>1233</v>
      </c>
      <c r="G495" s="15" t="s">
        <v>1165</v>
      </c>
      <c r="H495" s="15" t="s">
        <v>1165</v>
      </c>
      <c r="I495" s="18" t="s">
        <v>1234</v>
      </c>
      <c r="J495" s="14">
        <v>35.25</v>
      </c>
      <c r="K495" s="14">
        <v>51.75</v>
      </c>
      <c r="L495" s="14">
        <v>1690</v>
      </c>
      <c r="M495" s="15" t="s">
        <v>1145</v>
      </c>
      <c r="O495" s="14">
        <v>2007</v>
      </c>
      <c r="U495" s="15" t="s">
        <v>1310</v>
      </c>
      <c r="V495" s="12" t="s">
        <v>1235</v>
      </c>
      <c r="W495" s="15">
        <v>9</v>
      </c>
      <c r="X495" s="12" t="s">
        <v>1201</v>
      </c>
      <c r="Y495" s="14" t="s">
        <v>1306</v>
      </c>
      <c r="AD495" s="15" t="s">
        <v>1165</v>
      </c>
      <c r="AI495" s="14" t="s">
        <v>153</v>
      </c>
      <c r="AJ495" s="15" t="s">
        <v>1278</v>
      </c>
      <c r="AK495" s="14">
        <v>47.73</v>
      </c>
      <c r="AN495" s="15">
        <v>4</v>
      </c>
      <c r="AO495" s="15">
        <v>25</v>
      </c>
      <c r="AR495" s="14" t="s">
        <v>1249</v>
      </c>
      <c r="AS495" s="14" t="s">
        <v>1309</v>
      </c>
    </row>
    <row r="496" spans="1:45" s="14" customFormat="1" x14ac:dyDescent="0.2">
      <c r="A496" s="14" t="s">
        <v>1231</v>
      </c>
      <c r="B496" s="15" t="s">
        <v>1146</v>
      </c>
      <c r="C496" s="15" t="s">
        <v>1149</v>
      </c>
      <c r="D496" s="14" t="s">
        <v>1232</v>
      </c>
      <c r="E496" s="14" t="s">
        <v>1233</v>
      </c>
      <c r="G496" s="15" t="s">
        <v>1165</v>
      </c>
      <c r="H496" s="15" t="s">
        <v>1165</v>
      </c>
      <c r="I496" s="18" t="s">
        <v>1234</v>
      </c>
      <c r="J496" s="14">
        <v>35.25</v>
      </c>
      <c r="K496" s="14">
        <v>51.75</v>
      </c>
      <c r="L496" s="14">
        <v>1690</v>
      </c>
      <c r="M496" s="15" t="s">
        <v>1145</v>
      </c>
      <c r="O496" s="14">
        <v>2007</v>
      </c>
      <c r="U496" s="15" t="s">
        <v>1310</v>
      </c>
      <c r="V496" s="12" t="s">
        <v>1235</v>
      </c>
      <c r="W496" s="15">
        <v>9</v>
      </c>
      <c r="X496" s="12" t="s">
        <v>1201</v>
      </c>
      <c r="Y496" s="14" t="s">
        <v>1307</v>
      </c>
      <c r="Z496" s="14">
        <v>12</v>
      </c>
      <c r="AD496" s="15" t="s">
        <v>1165</v>
      </c>
      <c r="AI496" s="14" t="s">
        <v>153</v>
      </c>
      <c r="AJ496" s="15" t="s">
        <v>1278</v>
      </c>
      <c r="AK496" s="14">
        <v>36.64</v>
      </c>
      <c r="AN496" s="15">
        <v>4</v>
      </c>
      <c r="AO496" s="15">
        <v>25</v>
      </c>
      <c r="AR496" s="14" t="s">
        <v>1249</v>
      </c>
      <c r="AS496" s="14" t="s">
        <v>1309</v>
      </c>
    </row>
    <row r="497" spans="1:45" s="14" customFormat="1" x14ac:dyDescent="0.2">
      <c r="A497" s="14" t="s">
        <v>1231</v>
      </c>
      <c r="B497" s="15" t="s">
        <v>1146</v>
      </c>
      <c r="C497" s="15" t="s">
        <v>1149</v>
      </c>
      <c r="D497" s="14" t="s">
        <v>1232</v>
      </c>
      <c r="E497" s="14" t="s">
        <v>1233</v>
      </c>
      <c r="G497" s="15" t="s">
        <v>1165</v>
      </c>
      <c r="H497" s="15" t="s">
        <v>1165</v>
      </c>
      <c r="I497" s="18" t="s">
        <v>1234</v>
      </c>
      <c r="J497" s="14">
        <v>35.25</v>
      </c>
      <c r="K497" s="14">
        <v>51.75</v>
      </c>
      <c r="L497" s="14">
        <v>1690</v>
      </c>
      <c r="M497" s="15" t="s">
        <v>1145</v>
      </c>
      <c r="O497" s="14">
        <v>2007</v>
      </c>
      <c r="U497" s="15" t="s">
        <v>1310</v>
      </c>
      <c r="V497" s="12" t="s">
        <v>1235</v>
      </c>
      <c r="W497" s="15">
        <v>9</v>
      </c>
      <c r="X497" s="12" t="s">
        <v>1201</v>
      </c>
      <c r="Y497" s="14" t="s">
        <v>1307</v>
      </c>
      <c r="AD497" s="15" t="s">
        <v>1165</v>
      </c>
      <c r="AI497" s="14" t="s">
        <v>153</v>
      </c>
      <c r="AJ497" s="15" t="s">
        <v>1278</v>
      </c>
      <c r="AK497" s="14">
        <v>31.51</v>
      </c>
      <c r="AN497" s="15">
        <v>4</v>
      </c>
      <c r="AO497" s="15">
        <v>25</v>
      </c>
      <c r="AR497" s="14" t="s">
        <v>1249</v>
      </c>
      <c r="AS497" s="14" t="s">
        <v>1309</v>
      </c>
    </row>
    <row r="498" spans="1:45" s="14" customFormat="1" x14ac:dyDescent="0.2">
      <c r="A498" s="14" t="s">
        <v>1231</v>
      </c>
      <c r="B498" s="15" t="s">
        <v>1146</v>
      </c>
      <c r="C498" s="15" t="s">
        <v>1149</v>
      </c>
      <c r="D498" s="14" t="s">
        <v>1232</v>
      </c>
      <c r="E498" s="14" t="s">
        <v>1233</v>
      </c>
      <c r="G498" s="15" t="s">
        <v>1165</v>
      </c>
      <c r="H498" s="15" t="s">
        <v>1165</v>
      </c>
      <c r="I498" s="18" t="s">
        <v>1234</v>
      </c>
      <c r="J498" s="14">
        <v>35.25</v>
      </c>
      <c r="K498" s="14">
        <v>51.75</v>
      </c>
      <c r="L498" s="14">
        <v>1690</v>
      </c>
      <c r="M498" s="15" t="s">
        <v>1145</v>
      </c>
      <c r="O498" s="14">
        <v>2007</v>
      </c>
      <c r="U498" s="15" t="s">
        <v>1310</v>
      </c>
      <c r="V498" s="12" t="s">
        <v>1235</v>
      </c>
      <c r="W498" s="15">
        <v>9</v>
      </c>
      <c r="X498" s="12" t="s">
        <v>1201</v>
      </c>
      <c r="Y498" s="14" t="s">
        <v>1308</v>
      </c>
      <c r="Z498" s="14">
        <v>12</v>
      </c>
      <c r="AD498" s="15" t="s">
        <v>1165</v>
      </c>
      <c r="AI498" s="14" t="s">
        <v>153</v>
      </c>
      <c r="AJ498" s="15" t="s">
        <v>1278</v>
      </c>
      <c r="AK498" s="14">
        <v>24.51</v>
      </c>
      <c r="AN498" s="15">
        <v>4</v>
      </c>
      <c r="AO498" s="15">
        <v>25</v>
      </c>
      <c r="AR498" s="14" t="s">
        <v>1249</v>
      </c>
      <c r="AS498" s="14" t="s">
        <v>1309</v>
      </c>
    </row>
    <row r="499" spans="1:45" s="14" customFormat="1" x14ac:dyDescent="0.2">
      <c r="A499" s="14" t="s">
        <v>1231</v>
      </c>
      <c r="B499" s="15" t="s">
        <v>1146</v>
      </c>
      <c r="C499" s="15" t="s">
        <v>1149</v>
      </c>
      <c r="D499" s="14" t="s">
        <v>1232</v>
      </c>
      <c r="E499" s="14" t="s">
        <v>1233</v>
      </c>
      <c r="G499" s="15" t="s">
        <v>1165</v>
      </c>
      <c r="H499" s="15" t="s">
        <v>1165</v>
      </c>
      <c r="I499" s="18" t="s">
        <v>1234</v>
      </c>
      <c r="J499" s="14">
        <v>35.25</v>
      </c>
      <c r="K499" s="14">
        <v>51.75</v>
      </c>
      <c r="L499" s="14">
        <v>1690</v>
      </c>
      <c r="M499" s="15" t="s">
        <v>1145</v>
      </c>
      <c r="O499" s="14">
        <v>2007</v>
      </c>
      <c r="U499" s="15" t="s">
        <v>1310</v>
      </c>
      <c r="V499" s="12" t="s">
        <v>1235</v>
      </c>
      <c r="W499" s="15">
        <v>9</v>
      </c>
      <c r="X499" s="12" t="s">
        <v>1201</v>
      </c>
      <c r="Y499" s="14" t="s">
        <v>1308</v>
      </c>
      <c r="AD499" s="15" t="s">
        <v>1165</v>
      </c>
      <c r="AI499" s="14" t="s">
        <v>153</v>
      </c>
      <c r="AJ499" s="15" t="s">
        <v>1278</v>
      </c>
      <c r="AK499" s="14">
        <v>18.07</v>
      </c>
      <c r="AN499" s="15">
        <v>4</v>
      </c>
      <c r="AO499" s="15">
        <v>25</v>
      </c>
      <c r="AR499" s="14" t="s">
        <v>1249</v>
      </c>
      <c r="AS499" s="14" t="s">
        <v>1309</v>
      </c>
    </row>
    <row r="500" spans="1:45" s="14" customFormat="1" x14ac:dyDescent="0.2">
      <c r="A500" s="14" t="s">
        <v>1231</v>
      </c>
      <c r="B500" s="15" t="s">
        <v>1146</v>
      </c>
      <c r="C500" s="15" t="s">
        <v>1149</v>
      </c>
      <c r="D500" s="14" t="s">
        <v>1232</v>
      </c>
      <c r="E500" s="14" t="s">
        <v>1233</v>
      </c>
      <c r="G500" s="15" t="s">
        <v>1165</v>
      </c>
      <c r="H500" s="15" t="s">
        <v>1165</v>
      </c>
      <c r="I500" s="18" t="s">
        <v>1234</v>
      </c>
      <c r="J500" s="14">
        <v>35.25</v>
      </c>
      <c r="K500" s="14">
        <v>51.75</v>
      </c>
      <c r="L500" s="14">
        <v>1690</v>
      </c>
      <c r="M500" s="15" t="s">
        <v>1145</v>
      </c>
      <c r="O500" s="14">
        <v>2007</v>
      </c>
      <c r="U500" s="15" t="s">
        <v>1310</v>
      </c>
      <c r="V500" s="12" t="s">
        <v>1235</v>
      </c>
      <c r="W500" s="15">
        <v>9</v>
      </c>
      <c r="X500" s="12" t="s">
        <v>1201</v>
      </c>
      <c r="Y500" s="14" t="s">
        <v>1305</v>
      </c>
      <c r="Z500" s="14">
        <v>12</v>
      </c>
      <c r="AD500" s="15" t="s">
        <v>1165</v>
      </c>
      <c r="AI500" s="14" t="s">
        <v>153</v>
      </c>
      <c r="AJ500" s="15" t="s">
        <v>1148</v>
      </c>
      <c r="AK500" s="14">
        <v>95</v>
      </c>
      <c r="AN500" s="15">
        <v>4</v>
      </c>
      <c r="AO500" s="15">
        <v>25</v>
      </c>
      <c r="AR500" s="14" t="s">
        <v>1249</v>
      </c>
      <c r="AS500" s="14" t="s">
        <v>1309</v>
      </c>
    </row>
    <row r="501" spans="1:45" s="14" customFormat="1" x14ac:dyDescent="0.2">
      <c r="A501" s="14" t="s">
        <v>1231</v>
      </c>
      <c r="B501" s="15" t="s">
        <v>1146</v>
      </c>
      <c r="C501" s="15" t="s">
        <v>1149</v>
      </c>
      <c r="D501" s="14" t="s">
        <v>1232</v>
      </c>
      <c r="E501" s="14" t="s">
        <v>1233</v>
      </c>
      <c r="G501" s="15" t="s">
        <v>1165</v>
      </c>
      <c r="H501" s="15" t="s">
        <v>1165</v>
      </c>
      <c r="I501" s="18" t="s">
        <v>1234</v>
      </c>
      <c r="J501" s="14">
        <v>35.25</v>
      </c>
      <c r="K501" s="14">
        <v>51.75</v>
      </c>
      <c r="L501" s="14">
        <v>1690</v>
      </c>
      <c r="M501" s="15" t="s">
        <v>1145</v>
      </c>
      <c r="O501" s="14">
        <v>2007</v>
      </c>
      <c r="U501" s="15" t="s">
        <v>1310</v>
      </c>
      <c r="V501" s="12" t="s">
        <v>1235</v>
      </c>
      <c r="W501" s="15">
        <v>9</v>
      </c>
      <c r="X501" s="12" t="s">
        <v>1201</v>
      </c>
      <c r="Y501" s="14" t="s">
        <v>1305</v>
      </c>
      <c r="AD501" s="15" t="s">
        <v>1165</v>
      </c>
      <c r="AI501" s="14" t="s">
        <v>153</v>
      </c>
      <c r="AJ501" s="15" t="s">
        <v>1148</v>
      </c>
      <c r="AK501" s="14">
        <v>58</v>
      </c>
      <c r="AN501" s="15">
        <v>4</v>
      </c>
      <c r="AO501" s="15">
        <v>25</v>
      </c>
      <c r="AR501" s="14" t="s">
        <v>1249</v>
      </c>
      <c r="AS501" s="14" t="s">
        <v>1309</v>
      </c>
    </row>
    <row r="502" spans="1:45" s="14" customFormat="1" x14ac:dyDescent="0.2">
      <c r="A502" s="14" t="s">
        <v>1231</v>
      </c>
      <c r="B502" s="15" t="s">
        <v>1146</v>
      </c>
      <c r="C502" s="15" t="s">
        <v>1149</v>
      </c>
      <c r="D502" s="14" t="s">
        <v>1232</v>
      </c>
      <c r="E502" s="14" t="s">
        <v>1233</v>
      </c>
      <c r="G502" s="15" t="s">
        <v>1165</v>
      </c>
      <c r="H502" s="15" t="s">
        <v>1165</v>
      </c>
      <c r="I502" s="18" t="s">
        <v>1234</v>
      </c>
      <c r="J502" s="14">
        <v>35.25</v>
      </c>
      <c r="K502" s="14">
        <v>51.75</v>
      </c>
      <c r="L502" s="14">
        <v>1690</v>
      </c>
      <c r="M502" s="15" t="s">
        <v>1145</v>
      </c>
      <c r="O502" s="14">
        <v>2007</v>
      </c>
      <c r="U502" s="15" t="s">
        <v>1310</v>
      </c>
      <c r="V502" s="12" t="s">
        <v>1235</v>
      </c>
      <c r="W502" s="15">
        <v>9</v>
      </c>
      <c r="X502" s="12" t="s">
        <v>1201</v>
      </c>
      <c r="Y502" s="14" t="s">
        <v>1306</v>
      </c>
      <c r="Z502" s="14">
        <v>12</v>
      </c>
      <c r="AD502" s="15" t="s">
        <v>1165</v>
      </c>
      <c r="AI502" s="14" t="s">
        <v>153</v>
      </c>
      <c r="AJ502" s="15" t="s">
        <v>1148</v>
      </c>
      <c r="AK502" s="14">
        <v>95</v>
      </c>
      <c r="AN502" s="15">
        <v>4</v>
      </c>
      <c r="AO502" s="15">
        <v>25</v>
      </c>
      <c r="AR502" s="14" t="s">
        <v>1249</v>
      </c>
      <c r="AS502" s="14" t="s">
        <v>1309</v>
      </c>
    </row>
    <row r="503" spans="1:45" s="14" customFormat="1" x14ac:dyDescent="0.2">
      <c r="A503" s="14" t="s">
        <v>1231</v>
      </c>
      <c r="B503" s="15" t="s">
        <v>1146</v>
      </c>
      <c r="C503" s="15" t="s">
        <v>1149</v>
      </c>
      <c r="D503" s="14" t="s">
        <v>1232</v>
      </c>
      <c r="E503" s="14" t="s">
        <v>1233</v>
      </c>
      <c r="G503" s="15" t="s">
        <v>1165</v>
      </c>
      <c r="H503" s="15" t="s">
        <v>1165</v>
      </c>
      <c r="I503" s="18" t="s">
        <v>1234</v>
      </c>
      <c r="J503" s="14">
        <v>35.25</v>
      </c>
      <c r="K503" s="14">
        <v>51.75</v>
      </c>
      <c r="L503" s="14">
        <v>1690</v>
      </c>
      <c r="M503" s="15" t="s">
        <v>1145</v>
      </c>
      <c r="O503" s="14">
        <v>2007</v>
      </c>
      <c r="U503" s="15" t="s">
        <v>1310</v>
      </c>
      <c r="V503" s="12" t="s">
        <v>1235</v>
      </c>
      <c r="W503" s="15">
        <v>9</v>
      </c>
      <c r="X503" s="12" t="s">
        <v>1201</v>
      </c>
      <c r="Y503" s="14" t="s">
        <v>1306</v>
      </c>
      <c r="AD503" s="15" t="s">
        <v>1165</v>
      </c>
      <c r="AI503" s="14" t="s">
        <v>153</v>
      </c>
      <c r="AJ503" s="15" t="s">
        <v>1148</v>
      </c>
      <c r="AK503" s="14">
        <v>83</v>
      </c>
      <c r="AN503" s="15">
        <v>4</v>
      </c>
      <c r="AO503" s="15">
        <v>25</v>
      </c>
      <c r="AR503" s="14" t="s">
        <v>1249</v>
      </c>
      <c r="AS503" s="14" t="s">
        <v>1309</v>
      </c>
    </row>
    <row r="504" spans="1:45" s="14" customFormat="1" x14ac:dyDescent="0.2">
      <c r="A504" s="14" t="s">
        <v>1231</v>
      </c>
      <c r="B504" s="15" t="s">
        <v>1146</v>
      </c>
      <c r="C504" s="15" t="s">
        <v>1149</v>
      </c>
      <c r="D504" s="14" t="s">
        <v>1232</v>
      </c>
      <c r="E504" s="14" t="s">
        <v>1233</v>
      </c>
      <c r="G504" s="15" t="s">
        <v>1165</v>
      </c>
      <c r="H504" s="15" t="s">
        <v>1165</v>
      </c>
      <c r="I504" s="18" t="s">
        <v>1234</v>
      </c>
      <c r="J504" s="14">
        <v>35.25</v>
      </c>
      <c r="K504" s="14">
        <v>51.75</v>
      </c>
      <c r="L504" s="14">
        <v>1690</v>
      </c>
      <c r="M504" s="15" t="s">
        <v>1145</v>
      </c>
      <c r="O504" s="14">
        <v>2007</v>
      </c>
      <c r="U504" s="15" t="s">
        <v>1310</v>
      </c>
      <c r="V504" s="12" t="s">
        <v>1235</v>
      </c>
      <c r="W504" s="15">
        <v>9</v>
      </c>
      <c r="X504" s="12" t="s">
        <v>1201</v>
      </c>
      <c r="Y504" s="14" t="s">
        <v>1307</v>
      </c>
      <c r="Z504" s="14">
        <v>12</v>
      </c>
      <c r="AD504" s="15" t="s">
        <v>1165</v>
      </c>
      <c r="AI504" s="14" t="s">
        <v>153</v>
      </c>
      <c r="AJ504" s="15" t="s">
        <v>1148</v>
      </c>
      <c r="AK504" s="14">
        <v>85</v>
      </c>
      <c r="AN504" s="15">
        <v>4</v>
      </c>
      <c r="AO504" s="15">
        <v>25</v>
      </c>
      <c r="AR504" s="14" t="s">
        <v>1249</v>
      </c>
      <c r="AS504" s="14" t="s">
        <v>1309</v>
      </c>
    </row>
    <row r="505" spans="1:45" s="14" customFormat="1" x14ac:dyDescent="0.2">
      <c r="A505" s="14" t="s">
        <v>1231</v>
      </c>
      <c r="B505" s="15" t="s">
        <v>1146</v>
      </c>
      <c r="C505" s="15" t="s">
        <v>1149</v>
      </c>
      <c r="D505" s="14" t="s">
        <v>1232</v>
      </c>
      <c r="E505" s="14" t="s">
        <v>1233</v>
      </c>
      <c r="G505" s="15" t="s">
        <v>1165</v>
      </c>
      <c r="H505" s="15" t="s">
        <v>1165</v>
      </c>
      <c r="I505" s="18" t="s">
        <v>1234</v>
      </c>
      <c r="J505" s="14">
        <v>35.25</v>
      </c>
      <c r="K505" s="14">
        <v>51.75</v>
      </c>
      <c r="L505" s="14">
        <v>1690</v>
      </c>
      <c r="M505" s="15" t="s">
        <v>1145</v>
      </c>
      <c r="O505" s="14">
        <v>2007</v>
      </c>
      <c r="U505" s="15" t="s">
        <v>1310</v>
      </c>
      <c r="V505" s="12" t="s">
        <v>1235</v>
      </c>
      <c r="W505" s="15">
        <v>9</v>
      </c>
      <c r="X505" s="12" t="s">
        <v>1201</v>
      </c>
      <c r="Y505" s="14" t="s">
        <v>1307</v>
      </c>
      <c r="AD505" s="15" t="s">
        <v>1165</v>
      </c>
      <c r="AI505" s="14" t="s">
        <v>153</v>
      </c>
      <c r="AJ505" s="15" t="s">
        <v>1148</v>
      </c>
      <c r="AK505" s="14">
        <v>72</v>
      </c>
      <c r="AN505" s="15">
        <v>4</v>
      </c>
      <c r="AO505" s="15">
        <v>25</v>
      </c>
      <c r="AR505" s="14" t="s">
        <v>1249</v>
      </c>
      <c r="AS505" s="14" t="s">
        <v>1309</v>
      </c>
    </row>
    <row r="506" spans="1:45" s="14" customFormat="1" x14ac:dyDescent="0.2">
      <c r="A506" s="14" t="s">
        <v>1231</v>
      </c>
      <c r="B506" s="15" t="s">
        <v>1146</v>
      </c>
      <c r="C506" s="15" t="s">
        <v>1149</v>
      </c>
      <c r="D506" s="14" t="s">
        <v>1232</v>
      </c>
      <c r="E506" s="14" t="s">
        <v>1233</v>
      </c>
      <c r="G506" s="15" t="s">
        <v>1165</v>
      </c>
      <c r="H506" s="15" t="s">
        <v>1165</v>
      </c>
      <c r="I506" s="18" t="s">
        <v>1234</v>
      </c>
      <c r="J506" s="14">
        <v>35.25</v>
      </c>
      <c r="K506" s="14">
        <v>51.75</v>
      </c>
      <c r="L506" s="14">
        <v>1690</v>
      </c>
      <c r="M506" s="15" t="s">
        <v>1145</v>
      </c>
      <c r="O506" s="14">
        <v>2007</v>
      </c>
      <c r="U506" s="15" t="s">
        <v>1310</v>
      </c>
      <c r="V506" s="12" t="s">
        <v>1235</v>
      </c>
      <c r="W506" s="15">
        <v>9</v>
      </c>
      <c r="X506" s="12" t="s">
        <v>1201</v>
      </c>
      <c r="Y506" s="14" t="s">
        <v>1308</v>
      </c>
      <c r="Z506" s="14">
        <v>12</v>
      </c>
      <c r="AD506" s="15" t="s">
        <v>1165</v>
      </c>
      <c r="AI506" s="14" t="s">
        <v>153</v>
      </c>
      <c r="AJ506" s="15" t="s">
        <v>1148</v>
      </c>
      <c r="AK506" s="14">
        <v>94</v>
      </c>
      <c r="AN506" s="15">
        <v>4</v>
      </c>
      <c r="AO506" s="15">
        <v>25</v>
      </c>
      <c r="AR506" s="14" t="s">
        <v>1249</v>
      </c>
      <c r="AS506" s="14" t="s">
        <v>1309</v>
      </c>
    </row>
    <row r="507" spans="1:45" s="14" customFormat="1" x14ac:dyDescent="0.2">
      <c r="A507" s="14" t="s">
        <v>1231</v>
      </c>
      <c r="B507" s="15" t="s">
        <v>1146</v>
      </c>
      <c r="C507" s="15" t="s">
        <v>1149</v>
      </c>
      <c r="D507" s="14" t="s">
        <v>1232</v>
      </c>
      <c r="E507" s="14" t="s">
        <v>1233</v>
      </c>
      <c r="G507" s="15" t="s">
        <v>1165</v>
      </c>
      <c r="H507" s="15" t="s">
        <v>1165</v>
      </c>
      <c r="I507" s="18" t="s">
        <v>1234</v>
      </c>
      <c r="J507" s="14">
        <v>35.25</v>
      </c>
      <c r="K507" s="14">
        <v>51.75</v>
      </c>
      <c r="L507" s="14">
        <v>1690</v>
      </c>
      <c r="M507" s="15" t="s">
        <v>1145</v>
      </c>
      <c r="O507" s="14">
        <v>2007</v>
      </c>
      <c r="U507" s="15" t="s">
        <v>1310</v>
      </c>
      <c r="V507" s="12" t="s">
        <v>1235</v>
      </c>
      <c r="W507" s="15">
        <v>9</v>
      </c>
      <c r="X507" s="12" t="s">
        <v>1201</v>
      </c>
      <c r="Y507" s="14" t="s">
        <v>1308</v>
      </c>
      <c r="AD507" s="15" t="s">
        <v>1165</v>
      </c>
      <c r="AI507" s="14" t="s">
        <v>153</v>
      </c>
      <c r="AJ507" s="15" t="s">
        <v>1148</v>
      </c>
      <c r="AK507" s="14">
        <v>33</v>
      </c>
      <c r="AN507" s="15">
        <v>4</v>
      </c>
      <c r="AO507" s="15">
        <v>25</v>
      </c>
      <c r="AR507" s="14" t="s">
        <v>1249</v>
      </c>
      <c r="AS507" s="14" t="s">
        <v>1309</v>
      </c>
    </row>
    <row r="508" spans="1:45" x14ac:dyDescent="0.2">
      <c r="A508" t="s">
        <v>1243</v>
      </c>
      <c r="B508" s="4" t="s">
        <v>1146</v>
      </c>
      <c r="C508" s="4" t="s">
        <v>1149</v>
      </c>
      <c r="D508" t="s">
        <v>1241</v>
      </c>
      <c r="E508" t="s">
        <v>1242</v>
      </c>
      <c r="G508" s="4" t="s">
        <v>153</v>
      </c>
      <c r="H508" t="s">
        <v>1165</v>
      </c>
      <c r="I508" s="4" t="s">
        <v>1245</v>
      </c>
      <c r="M508" s="4" t="s">
        <v>1157</v>
      </c>
      <c r="O508">
        <v>2017</v>
      </c>
      <c r="T508">
        <v>4</v>
      </c>
      <c r="U508" s="4" t="s">
        <v>1246</v>
      </c>
      <c r="V508" s="9" t="s">
        <v>1247</v>
      </c>
      <c r="W508" s="4" t="s">
        <v>1248</v>
      </c>
      <c r="X508" s="4" t="s">
        <v>1248</v>
      </c>
      <c r="AD508" s="4" t="s">
        <v>1165</v>
      </c>
      <c r="AF508" t="s">
        <v>1165</v>
      </c>
      <c r="AJ508" s="4" t="s">
        <v>1148</v>
      </c>
      <c r="AK508" s="4">
        <v>8.6999999999999993</v>
      </c>
      <c r="AN508" s="4">
        <v>3</v>
      </c>
      <c r="AO508" s="4">
        <v>30</v>
      </c>
      <c r="AP508" s="4">
        <v>365</v>
      </c>
      <c r="AQ508" t="s">
        <v>1244</v>
      </c>
      <c r="AR508" s="4" t="s">
        <v>1249</v>
      </c>
    </row>
    <row r="509" spans="1:45" x14ac:dyDescent="0.2">
      <c r="A509" t="s">
        <v>1243</v>
      </c>
      <c r="B509" s="4" t="s">
        <v>1146</v>
      </c>
      <c r="C509" s="4" t="s">
        <v>1149</v>
      </c>
      <c r="D509" t="s">
        <v>1241</v>
      </c>
      <c r="E509" t="s">
        <v>1242</v>
      </c>
      <c r="G509" s="4" t="s">
        <v>153</v>
      </c>
      <c r="H509" t="s">
        <v>1165</v>
      </c>
      <c r="I509" s="4" t="s">
        <v>1245</v>
      </c>
      <c r="M509" s="4" t="s">
        <v>1157</v>
      </c>
      <c r="O509">
        <v>2017</v>
      </c>
      <c r="T509">
        <v>4</v>
      </c>
      <c r="U509" s="4" t="s">
        <v>1250</v>
      </c>
      <c r="V509" s="9" t="s">
        <v>1247</v>
      </c>
      <c r="W509" s="4" t="s">
        <v>1248</v>
      </c>
      <c r="X509" s="4" t="s">
        <v>1248</v>
      </c>
      <c r="AA509" t="s">
        <v>1251</v>
      </c>
      <c r="AB509">
        <v>1765422</v>
      </c>
      <c r="AC509">
        <v>1.0416699999999999E-2</v>
      </c>
      <c r="AD509" s="4" t="s">
        <v>153</v>
      </c>
      <c r="AE509" t="s">
        <v>95</v>
      </c>
      <c r="AF509" t="s">
        <v>153</v>
      </c>
      <c r="AG509" t="s">
        <v>1251</v>
      </c>
      <c r="AH509">
        <v>15</v>
      </c>
      <c r="AJ509" s="4" t="s">
        <v>1148</v>
      </c>
      <c r="AK509" s="4">
        <v>1.1000000000000001</v>
      </c>
      <c r="AN509" s="4">
        <v>3</v>
      </c>
      <c r="AO509" s="4">
        <v>30</v>
      </c>
      <c r="AP509" s="4">
        <v>365</v>
      </c>
      <c r="AQ509" t="s">
        <v>1244</v>
      </c>
      <c r="AR509" s="4" t="s">
        <v>1249</v>
      </c>
    </row>
    <row r="510" spans="1:45" x14ac:dyDescent="0.2">
      <c r="A510" t="s">
        <v>1243</v>
      </c>
      <c r="B510" s="4" t="s">
        <v>1146</v>
      </c>
      <c r="C510" s="4" t="s">
        <v>1149</v>
      </c>
      <c r="D510" t="s">
        <v>1241</v>
      </c>
      <c r="E510" t="s">
        <v>1242</v>
      </c>
      <c r="G510" s="4" t="s">
        <v>153</v>
      </c>
      <c r="H510" t="s">
        <v>1165</v>
      </c>
      <c r="I510" s="4" t="s">
        <v>1252</v>
      </c>
      <c r="M510" s="4" t="s">
        <v>1157</v>
      </c>
      <c r="O510">
        <v>2017</v>
      </c>
      <c r="T510">
        <v>4</v>
      </c>
      <c r="U510" s="4" t="s">
        <v>1246</v>
      </c>
      <c r="V510" s="9" t="s">
        <v>1247</v>
      </c>
      <c r="W510" s="4" t="s">
        <v>1248</v>
      </c>
      <c r="X510" s="4" t="s">
        <v>1248</v>
      </c>
      <c r="AD510" s="4" t="s">
        <v>1165</v>
      </c>
      <c r="AF510" t="s">
        <v>1165</v>
      </c>
      <c r="AJ510" s="4" t="s">
        <v>1148</v>
      </c>
      <c r="AK510" s="4">
        <v>1.1000000000000001</v>
      </c>
      <c r="AN510" s="4">
        <v>3</v>
      </c>
      <c r="AO510" s="4">
        <v>30</v>
      </c>
      <c r="AP510" s="4">
        <v>365</v>
      </c>
      <c r="AQ510" t="s">
        <v>1244</v>
      </c>
      <c r="AR510" s="4" t="s">
        <v>1249</v>
      </c>
      <c r="AS510" t="s">
        <v>1253</v>
      </c>
    </row>
    <row r="511" spans="1:45" x14ac:dyDescent="0.2">
      <c r="A511" t="s">
        <v>1243</v>
      </c>
      <c r="B511" s="4" t="s">
        <v>1146</v>
      </c>
      <c r="C511" s="4" t="s">
        <v>1149</v>
      </c>
      <c r="D511" t="s">
        <v>1241</v>
      </c>
      <c r="E511" t="s">
        <v>1242</v>
      </c>
      <c r="G511" s="4" t="s">
        <v>153</v>
      </c>
      <c r="H511" t="s">
        <v>1165</v>
      </c>
      <c r="I511" s="4" t="s">
        <v>1252</v>
      </c>
      <c r="M511" s="4" t="s">
        <v>1157</v>
      </c>
      <c r="O511">
        <v>2017</v>
      </c>
      <c r="T511">
        <v>4</v>
      </c>
      <c r="U511" s="4" t="s">
        <v>1250</v>
      </c>
      <c r="V511" s="9" t="s">
        <v>1247</v>
      </c>
      <c r="W511" s="4" t="s">
        <v>1248</v>
      </c>
      <c r="X511" s="4" t="s">
        <v>1248</v>
      </c>
      <c r="AA511" t="s">
        <v>1251</v>
      </c>
      <c r="AB511">
        <v>1765422</v>
      </c>
      <c r="AC511">
        <v>1.0416699999999999E-2</v>
      </c>
      <c r="AD511" s="4" t="s">
        <v>153</v>
      </c>
      <c r="AE511" t="s">
        <v>95</v>
      </c>
      <c r="AF511" t="s">
        <v>153</v>
      </c>
      <c r="AG511" t="s">
        <v>1251</v>
      </c>
      <c r="AH511">
        <v>15</v>
      </c>
      <c r="AJ511" s="4" t="s">
        <v>1148</v>
      </c>
      <c r="AK511" s="4">
        <v>0.6</v>
      </c>
      <c r="AN511" s="4">
        <v>3</v>
      </c>
      <c r="AO511" s="4">
        <v>30</v>
      </c>
      <c r="AP511" s="4">
        <v>365</v>
      </c>
      <c r="AQ511" t="s">
        <v>1244</v>
      </c>
      <c r="AR511" s="4" t="s">
        <v>1249</v>
      </c>
      <c r="AS511" t="s">
        <v>1253</v>
      </c>
    </row>
    <row r="512" spans="1:45" x14ac:dyDescent="0.2">
      <c r="A512" t="s">
        <v>1243</v>
      </c>
      <c r="B512" s="4" t="s">
        <v>1146</v>
      </c>
      <c r="C512" s="4" t="s">
        <v>1149</v>
      </c>
      <c r="D512" t="s">
        <v>1241</v>
      </c>
      <c r="E512" t="s">
        <v>1242</v>
      </c>
      <c r="G512" s="4" t="s">
        <v>153</v>
      </c>
      <c r="H512" t="s">
        <v>1165</v>
      </c>
      <c r="I512" s="4" t="s">
        <v>1254</v>
      </c>
      <c r="M512" s="4" t="s">
        <v>1157</v>
      </c>
      <c r="O512">
        <v>2017</v>
      </c>
      <c r="T512">
        <v>4</v>
      </c>
      <c r="U512" s="4" t="s">
        <v>1246</v>
      </c>
      <c r="V512" s="9" t="s">
        <v>1247</v>
      </c>
      <c r="W512" s="4" t="s">
        <v>1248</v>
      </c>
      <c r="X512" s="4" t="s">
        <v>1248</v>
      </c>
      <c r="AD512" s="4" t="s">
        <v>1165</v>
      </c>
      <c r="AF512" t="s">
        <v>1165</v>
      </c>
      <c r="AJ512" s="4" t="s">
        <v>1148</v>
      </c>
      <c r="AK512" s="4">
        <v>2.4</v>
      </c>
      <c r="AN512" s="4">
        <v>3</v>
      </c>
      <c r="AO512" s="4">
        <v>30</v>
      </c>
      <c r="AP512" s="4">
        <v>365</v>
      </c>
      <c r="AQ512" t="s">
        <v>1244</v>
      </c>
      <c r="AR512" s="4" t="s">
        <v>1249</v>
      </c>
      <c r="AS512" t="s">
        <v>1255</v>
      </c>
    </row>
    <row r="513" spans="1:45" x14ac:dyDescent="0.2">
      <c r="A513" t="s">
        <v>1243</v>
      </c>
      <c r="B513" s="4" t="s">
        <v>1146</v>
      </c>
      <c r="C513" s="4" t="s">
        <v>1149</v>
      </c>
      <c r="D513" t="s">
        <v>1241</v>
      </c>
      <c r="E513" t="s">
        <v>1242</v>
      </c>
      <c r="G513" s="4" t="s">
        <v>153</v>
      </c>
      <c r="H513" t="s">
        <v>1165</v>
      </c>
      <c r="I513" s="4" t="s">
        <v>1254</v>
      </c>
      <c r="M513" s="4" t="s">
        <v>1157</v>
      </c>
      <c r="O513">
        <v>2017</v>
      </c>
      <c r="T513">
        <v>4</v>
      </c>
      <c r="U513" s="4" t="s">
        <v>1250</v>
      </c>
      <c r="V513" s="9" t="s">
        <v>1247</v>
      </c>
      <c r="W513" s="4" t="s">
        <v>1248</v>
      </c>
      <c r="X513" s="4" t="s">
        <v>1248</v>
      </c>
      <c r="AA513" t="s">
        <v>1251</v>
      </c>
      <c r="AB513">
        <v>1765422</v>
      </c>
      <c r="AC513">
        <v>1.0416699999999999E-2</v>
      </c>
      <c r="AD513" s="4" t="s">
        <v>153</v>
      </c>
      <c r="AE513" t="s">
        <v>95</v>
      </c>
      <c r="AF513" t="s">
        <v>153</v>
      </c>
      <c r="AG513" t="s">
        <v>1251</v>
      </c>
      <c r="AH513">
        <v>15</v>
      </c>
      <c r="AJ513" s="4" t="s">
        <v>1148</v>
      </c>
      <c r="AK513" s="4">
        <v>0</v>
      </c>
      <c r="AN513" s="4">
        <v>3</v>
      </c>
      <c r="AO513" s="4">
        <v>30</v>
      </c>
      <c r="AP513" s="4">
        <v>365</v>
      </c>
      <c r="AQ513" t="s">
        <v>1244</v>
      </c>
      <c r="AR513" s="4" t="s">
        <v>1249</v>
      </c>
      <c r="AS513" t="s">
        <v>1255</v>
      </c>
    </row>
    <row r="514" spans="1:45" x14ac:dyDescent="0.2">
      <c r="A514" s="4" t="s">
        <v>1243</v>
      </c>
      <c r="B514" s="4" t="s">
        <v>1146</v>
      </c>
      <c r="C514" s="4" t="s">
        <v>1149</v>
      </c>
      <c r="D514" s="4" t="s">
        <v>1241</v>
      </c>
      <c r="E514" s="4" t="s">
        <v>1242</v>
      </c>
      <c r="F514" s="4"/>
      <c r="G514" s="4" t="s">
        <v>153</v>
      </c>
      <c r="H514" s="4" t="s">
        <v>1165</v>
      </c>
      <c r="I514" s="4" t="s">
        <v>1256</v>
      </c>
      <c r="J514" s="4"/>
      <c r="K514" s="4"/>
      <c r="L514" s="4"/>
      <c r="M514" s="4" t="s">
        <v>1157</v>
      </c>
      <c r="N514" s="4"/>
      <c r="O514">
        <v>2017</v>
      </c>
      <c r="P514" s="4"/>
      <c r="Q514" s="4"/>
      <c r="R514" s="4"/>
      <c r="S514" s="4"/>
      <c r="T514" s="4">
        <v>4</v>
      </c>
      <c r="U514" s="4" t="s">
        <v>1246</v>
      </c>
      <c r="V514" s="11" t="s">
        <v>1247</v>
      </c>
      <c r="W514" s="4" t="s">
        <v>1248</v>
      </c>
      <c r="X514" s="4" t="s">
        <v>1248</v>
      </c>
      <c r="Y514" s="4"/>
      <c r="Z514" s="4"/>
      <c r="AA514" s="4"/>
      <c r="AB514" s="4"/>
      <c r="AC514" s="4"/>
      <c r="AD514" s="4" t="s">
        <v>1165</v>
      </c>
      <c r="AE514" s="4"/>
      <c r="AF514" s="4" t="s">
        <v>1165</v>
      </c>
      <c r="AG514" s="4"/>
      <c r="AH514" s="4"/>
      <c r="AI514" s="4"/>
      <c r="AJ514" s="4" t="s">
        <v>1148</v>
      </c>
      <c r="AK514" s="4">
        <v>0.2</v>
      </c>
      <c r="AL514" s="4"/>
      <c r="AM514" s="4"/>
      <c r="AN514" s="4">
        <v>3</v>
      </c>
      <c r="AO514" s="4">
        <v>30</v>
      </c>
      <c r="AP514" s="4">
        <v>365</v>
      </c>
      <c r="AQ514" s="4" t="s">
        <v>1244</v>
      </c>
      <c r="AR514" s="4" t="s">
        <v>1249</v>
      </c>
      <c r="AS514" s="4" t="s">
        <v>1257</v>
      </c>
    </row>
    <row r="515" spans="1:45" x14ac:dyDescent="0.2">
      <c r="A515" s="4" t="s">
        <v>1243</v>
      </c>
      <c r="B515" s="4" t="s">
        <v>1146</v>
      </c>
      <c r="C515" s="4" t="s">
        <v>1149</v>
      </c>
      <c r="D515" s="4" t="s">
        <v>1241</v>
      </c>
      <c r="E515" s="4" t="s">
        <v>1242</v>
      </c>
      <c r="F515" s="4"/>
      <c r="G515" s="4" t="s">
        <v>153</v>
      </c>
      <c r="H515" s="4" t="s">
        <v>1165</v>
      </c>
      <c r="I515" s="4" t="s">
        <v>1256</v>
      </c>
      <c r="J515" s="4"/>
      <c r="K515" s="4"/>
      <c r="L515" s="4"/>
      <c r="M515" s="4" t="s">
        <v>1157</v>
      </c>
      <c r="N515" s="4"/>
      <c r="O515">
        <v>2017</v>
      </c>
      <c r="P515" s="4"/>
      <c r="Q515" s="4"/>
      <c r="R515" s="4"/>
      <c r="S515" s="4"/>
      <c r="T515" s="4">
        <v>4</v>
      </c>
      <c r="U515" s="4" t="s">
        <v>1250</v>
      </c>
      <c r="V515" s="11" t="s">
        <v>1247</v>
      </c>
      <c r="W515" s="4" t="s">
        <v>1248</v>
      </c>
      <c r="X515" s="4" t="s">
        <v>1248</v>
      </c>
      <c r="Y515" s="4"/>
      <c r="Z515" s="4"/>
      <c r="AA515" s="4" t="s">
        <v>1251</v>
      </c>
      <c r="AB515" s="4">
        <v>1765422</v>
      </c>
      <c r="AC515" s="4">
        <v>1.0416699999999999E-2</v>
      </c>
      <c r="AD515" s="4" t="s">
        <v>153</v>
      </c>
      <c r="AE515" s="4" t="s">
        <v>95</v>
      </c>
      <c r="AF515" s="4" t="s">
        <v>153</v>
      </c>
      <c r="AG515" s="4" t="s">
        <v>1251</v>
      </c>
      <c r="AH515" s="4">
        <v>15</v>
      </c>
      <c r="AI515" s="4"/>
      <c r="AJ515" s="4" t="s">
        <v>1148</v>
      </c>
      <c r="AK515" s="4">
        <v>0.9</v>
      </c>
      <c r="AL515" s="4"/>
      <c r="AM515" s="4"/>
      <c r="AN515" s="4">
        <v>3</v>
      </c>
      <c r="AO515" s="4">
        <v>30</v>
      </c>
      <c r="AP515" s="4">
        <v>365</v>
      </c>
      <c r="AQ515" s="4" t="s">
        <v>1244</v>
      </c>
      <c r="AR515" s="4" t="s">
        <v>1249</v>
      </c>
      <c r="AS515" s="4" t="s">
        <v>1257</v>
      </c>
    </row>
    <row r="516" spans="1:45" x14ac:dyDescent="0.2">
      <c r="A516" t="s">
        <v>1064</v>
      </c>
      <c r="B516" s="4" t="s">
        <v>1146</v>
      </c>
      <c r="C516" s="4" t="s">
        <v>1149</v>
      </c>
      <c r="D516" t="s">
        <v>1062</v>
      </c>
      <c r="E516" t="s">
        <v>1063</v>
      </c>
      <c r="G516" s="4" t="s">
        <v>1165</v>
      </c>
      <c r="H516" t="s">
        <v>1165</v>
      </c>
      <c r="I516" s="4" t="s">
        <v>1258</v>
      </c>
      <c r="J516">
        <v>36.544444444444402</v>
      </c>
      <c r="K516">
        <v>128.800833333333</v>
      </c>
      <c r="M516" s="4" t="s">
        <v>1145</v>
      </c>
      <c r="O516">
        <v>2019</v>
      </c>
      <c r="P516">
        <v>2020</v>
      </c>
      <c r="Q516" t="s">
        <v>1259</v>
      </c>
      <c r="R516">
        <v>14</v>
      </c>
      <c r="T516">
        <v>0</v>
      </c>
      <c r="W516" s="4"/>
      <c r="X516" s="9" t="s">
        <v>1261</v>
      </c>
      <c r="Z516">
        <v>12</v>
      </c>
      <c r="AD516" t="s">
        <v>1165</v>
      </c>
      <c r="AF516" t="s">
        <v>153</v>
      </c>
      <c r="AG516" t="s">
        <v>1260</v>
      </c>
      <c r="AH516">
        <v>240</v>
      </c>
      <c r="AI516" t="s">
        <v>153</v>
      </c>
      <c r="AJ516" s="4" t="s">
        <v>1148</v>
      </c>
      <c r="AK516" s="4">
        <v>10.31</v>
      </c>
      <c r="AL516" t="s">
        <v>1270</v>
      </c>
      <c r="AM516">
        <v>2.399</v>
      </c>
      <c r="AN516" s="4">
        <v>4</v>
      </c>
      <c r="AO516" s="4">
        <v>20</v>
      </c>
      <c r="AP516" s="4">
        <v>28</v>
      </c>
      <c r="AQ516" t="s">
        <v>1266</v>
      </c>
      <c r="AR516" s="4" t="s">
        <v>1262</v>
      </c>
    </row>
    <row r="517" spans="1:45" x14ac:dyDescent="0.2">
      <c r="A517" t="s">
        <v>1064</v>
      </c>
      <c r="B517" s="4" t="s">
        <v>1146</v>
      </c>
      <c r="C517" s="4" t="s">
        <v>1149</v>
      </c>
      <c r="D517" t="s">
        <v>1062</v>
      </c>
      <c r="E517" t="s">
        <v>1063</v>
      </c>
      <c r="G517" s="4" t="s">
        <v>1165</v>
      </c>
      <c r="H517" t="s">
        <v>1165</v>
      </c>
      <c r="I517" s="4" t="s">
        <v>1258</v>
      </c>
      <c r="J517">
        <v>36.544444444444402</v>
      </c>
      <c r="K517">
        <v>128.800833333333</v>
      </c>
      <c r="M517" s="4" t="s">
        <v>1145</v>
      </c>
      <c r="O517">
        <v>2019</v>
      </c>
      <c r="P517">
        <v>2020</v>
      </c>
      <c r="Q517" t="s">
        <v>1259</v>
      </c>
      <c r="R517">
        <v>14</v>
      </c>
      <c r="T517">
        <v>0</v>
      </c>
      <c r="W517" s="4"/>
      <c r="X517" s="9" t="s">
        <v>1264</v>
      </c>
      <c r="Z517">
        <v>12</v>
      </c>
      <c r="AD517" t="s">
        <v>1165</v>
      </c>
      <c r="AF517" t="s">
        <v>153</v>
      </c>
      <c r="AG517" t="s">
        <v>1260</v>
      </c>
      <c r="AH517">
        <v>240</v>
      </c>
      <c r="AI517" t="s">
        <v>153</v>
      </c>
      <c r="AJ517" s="4" t="s">
        <v>1148</v>
      </c>
      <c r="AK517" s="4">
        <v>0</v>
      </c>
      <c r="AL517" t="s">
        <v>1270</v>
      </c>
      <c r="AM517">
        <v>0</v>
      </c>
      <c r="AN517" s="4">
        <v>4</v>
      </c>
      <c r="AO517" s="4">
        <v>20</v>
      </c>
      <c r="AP517" s="4">
        <v>28</v>
      </c>
      <c r="AQ517" t="s">
        <v>1266</v>
      </c>
      <c r="AR517" s="4" t="s">
        <v>1262</v>
      </c>
    </row>
    <row r="518" spans="1:45" x14ac:dyDescent="0.2">
      <c r="A518" t="s">
        <v>1064</v>
      </c>
      <c r="B518" s="4" t="s">
        <v>1146</v>
      </c>
      <c r="C518" s="4" t="s">
        <v>1149</v>
      </c>
      <c r="D518" t="s">
        <v>1062</v>
      </c>
      <c r="E518" t="s">
        <v>1063</v>
      </c>
      <c r="G518" s="4" t="s">
        <v>1165</v>
      </c>
      <c r="H518" t="s">
        <v>1165</v>
      </c>
      <c r="I518" s="4" t="s">
        <v>1258</v>
      </c>
      <c r="J518">
        <v>36.544444444444402</v>
      </c>
      <c r="K518">
        <v>128.800833333333</v>
      </c>
      <c r="M518" s="4" t="s">
        <v>1145</v>
      </c>
      <c r="O518">
        <v>2019</v>
      </c>
      <c r="P518">
        <v>2020</v>
      </c>
      <c r="Q518" t="s">
        <v>1259</v>
      </c>
      <c r="R518">
        <v>14</v>
      </c>
      <c r="T518">
        <v>0</v>
      </c>
      <c r="W518" s="4"/>
      <c r="X518" s="9" t="s">
        <v>1265</v>
      </c>
      <c r="Z518">
        <v>12</v>
      </c>
      <c r="AD518" t="s">
        <v>1165</v>
      </c>
      <c r="AF518" t="s">
        <v>153</v>
      </c>
      <c r="AG518" t="s">
        <v>1260</v>
      </c>
      <c r="AH518">
        <v>240</v>
      </c>
      <c r="AI518" t="s">
        <v>153</v>
      </c>
      <c r="AJ518" s="4" t="s">
        <v>1148</v>
      </c>
      <c r="AK518" s="4">
        <v>0</v>
      </c>
      <c r="AL518" t="s">
        <v>1270</v>
      </c>
      <c r="AM518">
        <v>0</v>
      </c>
      <c r="AN518" s="4">
        <v>4</v>
      </c>
      <c r="AO518" s="4">
        <v>20</v>
      </c>
      <c r="AP518" s="4">
        <v>28</v>
      </c>
      <c r="AQ518" t="s">
        <v>1266</v>
      </c>
      <c r="AR518" s="4" t="s">
        <v>1262</v>
      </c>
    </row>
    <row r="519" spans="1:45" x14ac:dyDescent="0.2">
      <c r="A519" t="s">
        <v>1064</v>
      </c>
      <c r="B519" s="4" t="s">
        <v>1146</v>
      </c>
      <c r="C519" s="4" t="s">
        <v>1149</v>
      </c>
      <c r="D519" t="s">
        <v>1062</v>
      </c>
      <c r="E519" t="s">
        <v>1063</v>
      </c>
      <c r="G519" s="4" t="s">
        <v>1165</v>
      </c>
      <c r="H519" t="s">
        <v>1165</v>
      </c>
      <c r="I519" s="4" t="s">
        <v>1258</v>
      </c>
      <c r="J519">
        <v>36.544444444444402</v>
      </c>
      <c r="K519">
        <v>128.800833333333</v>
      </c>
      <c r="M519" s="4" t="s">
        <v>1145</v>
      </c>
      <c r="O519">
        <v>2019</v>
      </c>
      <c r="P519">
        <v>2020</v>
      </c>
      <c r="Q519" t="s">
        <v>1259</v>
      </c>
      <c r="R519">
        <v>14</v>
      </c>
      <c r="T519">
        <v>0</v>
      </c>
      <c r="W519" s="4"/>
      <c r="X519" s="9" t="s">
        <v>1247</v>
      </c>
      <c r="Z519">
        <v>12</v>
      </c>
      <c r="AD519" t="s">
        <v>1165</v>
      </c>
      <c r="AF519" t="s">
        <v>153</v>
      </c>
      <c r="AG519" t="s">
        <v>1260</v>
      </c>
      <c r="AH519">
        <v>240</v>
      </c>
      <c r="AI519" t="s">
        <v>153</v>
      </c>
      <c r="AJ519" s="4" t="s">
        <v>1148</v>
      </c>
      <c r="AK519" s="4">
        <v>0</v>
      </c>
      <c r="AL519" t="s">
        <v>1270</v>
      </c>
      <c r="AM519">
        <v>0</v>
      </c>
      <c r="AN519" s="4">
        <v>4</v>
      </c>
      <c r="AO519" s="4">
        <v>20</v>
      </c>
      <c r="AP519" s="4">
        <v>28</v>
      </c>
      <c r="AQ519" t="s">
        <v>1266</v>
      </c>
      <c r="AR519" s="4" t="s">
        <v>1262</v>
      </c>
    </row>
    <row r="520" spans="1:45" x14ac:dyDescent="0.2">
      <c r="A520" t="s">
        <v>1064</v>
      </c>
      <c r="B520" s="4" t="s">
        <v>1146</v>
      </c>
      <c r="C520" s="4" t="s">
        <v>1149</v>
      </c>
      <c r="D520" t="s">
        <v>1062</v>
      </c>
      <c r="E520" t="s">
        <v>1063</v>
      </c>
      <c r="G520" s="4" t="s">
        <v>1165</v>
      </c>
      <c r="H520" t="s">
        <v>1165</v>
      </c>
      <c r="I520" s="4" t="s">
        <v>1258</v>
      </c>
      <c r="J520">
        <v>36.544444444444402</v>
      </c>
      <c r="K520">
        <v>128.800833333333</v>
      </c>
      <c r="M520" s="4" t="s">
        <v>1145</v>
      </c>
      <c r="O520">
        <v>2019</v>
      </c>
      <c r="P520">
        <v>2020</v>
      </c>
      <c r="Q520" t="s">
        <v>1259</v>
      </c>
      <c r="R520">
        <v>14</v>
      </c>
      <c r="T520">
        <v>0</v>
      </c>
      <c r="U520" t="s">
        <v>1246</v>
      </c>
      <c r="V520" s="9" t="s">
        <v>1247</v>
      </c>
      <c r="W520" s="4">
        <v>0</v>
      </c>
      <c r="X520" s="9" t="s">
        <v>1264</v>
      </c>
      <c r="AD520" t="s">
        <v>1165</v>
      </c>
      <c r="AF520" t="s">
        <v>1165</v>
      </c>
      <c r="AI520" t="s">
        <v>153</v>
      </c>
      <c r="AJ520" s="4" t="s">
        <v>1148</v>
      </c>
      <c r="AK520" s="4">
        <v>0</v>
      </c>
      <c r="AL520" t="s">
        <v>1270</v>
      </c>
      <c r="AM520">
        <v>0</v>
      </c>
      <c r="AN520" s="4">
        <v>4</v>
      </c>
      <c r="AO520" s="4">
        <v>20</v>
      </c>
      <c r="AP520" s="4">
        <v>7</v>
      </c>
      <c r="AQ520" t="s">
        <v>1266</v>
      </c>
      <c r="AR520" s="4" t="s">
        <v>1267</v>
      </c>
    </row>
    <row r="521" spans="1:45" x14ac:dyDescent="0.2">
      <c r="A521" t="s">
        <v>1064</v>
      </c>
      <c r="B521" s="4" t="s">
        <v>1146</v>
      </c>
      <c r="C521" s="4" t="s">
        <v>1149</v>
      </c>
      <c r="D521" t="s">
        <v>1062</v>
      </c>
      <c r="E521" t="s">
        <v>1063</v>
      </c>
      <c r="G521" s="4" t="s">
        <v>1165</v>
      </c>
      <c r="H521" t="s">
        <v>1165</v>
      </c>
      <c r="I521" s="4" t="s">
        <v>1258</v>
      </c>
      <c r="J521">
        <v>36.544444444444402</v>
      </c>
      <c r="K521">
        <v>128.800833333333</v>
      </c>
      <c r="M521" s="4" t="s">
        <v>1145</v>
      </c>
      <c r="O521">
        <v>2019</v>
      </c>
      <c r="P521">
        <v>2020</v>
      </c>
      <c r="Q521" t="s">
        <v>1259</v>
      </c>
      <c r="R521">
        <v>14</v>
      </c>
      <c r="T521">
        <v>0</v>
      </c>
      <c r="U521" t="s">
        <v>1246</v>
      </c>
      <c r="V521" s="9" t="s">
        <v>1247</v>
      </c>
      <c r="W521" s="4">
        <v>14</v>
      </c>
      <c r="X521" s="9" t="s">
        <v>1264</v>
      </c>
      <c r="AD521" t="s">
        <v>1165</v>
      </c>
      <c r="AF521" t="s">
        <v>1165</v>
      </c>
      <c r="AI521" t="s">
        <v>153</v>
      </c>
      <c r="AJ521" s="4" t="s">
        <v>1148</v>
      </c>
      <c r="AK521" s="4">
        <v>56.005000000000003</v>
      </c>
      <c r="AL521" s="4" t="s">
        <v>1270</v>
      </c>
      <c r="AM521" t="s">
        <v>3003</v>
      </c>
      <c r="AN521" s="4">
        <v>4</v>
      </c>
      <c r="AO521" s="4">
        <v>20</v>
      </c>
      <c r="AP521" s="4">
        <v>7</v>
      </c>
      <c r="AQ521" t="s">
        <v>1266</v>
      </c>
      <c r="AR521" s="4" t="s">
        <v>1267</v>
      </c>
    </row>
    <row r="522" spans="1:45" x14ac:dyDescent="0.2">
      <c r="A522" t="s">
        <v>1064</v>
      </c>
      <c r="B522" s="4" t="s">
        <v>1146</v>
      </c>
      <c r="C522" s="4" t="s">
        <v>1149</v>
      </c>
      <c r="D522" t="s">
        <v>1062</v>
      </c>
      <c r="E522" t="s">
        <v>1063</v>
      </c>
      <c r="G522" s="4" t="s">
        <v>1165</v>
      </c>
      <c r="H522" t="s">
        <v>1165</v>
      </c>
      <c r="I522" s="4" t="s">
        <v>1258</v>
      </c>
      <c r="J522">
        <v>36.544444444444402</v>
      </c>
      <c r="K522">
        <v>128.800833333333</v>
      </c>
      <c r="M522" s="4" t="s">
        <v>1145</v>
      </c>
      <c r="O522">
        <v>2019</v>
      </c>
      <c r="P522">
        <v>2020</v>
      </c>
      <c r="Q522" t="s">
        <v>1259</v>
      </c>
      <c r="R522">
        <v>14</v>
      </c>
      <c r="T522">
        <v>0</v>
      </c>
      <c r="U522" t="s">
        <v>1246</v>
      </c>
      <c r="V522" s="9" t="s">
        <v>1247</v>
      </c>
      <c r="W522" s="4">
        <v>28</v>
      </c>
      <c r="X522" s="9" t="s">
        <v>1264</v>
      </c>
      <c r="AD522" t="s">
        <v>1165</v>
      </c>
      <c r="AF522" t="s">
        <v>1165</v>
      </c>
      <c r="AI522" t="s">
        <v>153</v>
      </c>
      <c r="AJ522" s="4" t="s">
        <v>1148</v>
      </c>
      <c r="AK522" s="4">
        <v>48.75</v>
      </c>
      <c r="AL522" s="4" t="s">
        <v>1270</v>
      </c>
      <c r="AM522" t="s">
        <v>3003</v>
      </c>
      <c r="AN522" s="4">
        <v>4</v>
      </c>
      <c r="AO522" s="4">
        <v>20</v>
      </c>
      <c r="AP522" s="4">
        <v>7</v>
      </c>
      <c r="AQ522" t="s">
        <v>1266</v>
      </c>
      <c r="AR522" s="4" t="s">
        <v>1267</v>
      </c>
    </row>
    <row r="523" spans="1:45" x14ac:dyDescent="0.2">
      <c r="A523" t="s">
        <v>1064</v>
      </c>
      <c r="B523" s="4" t="s">
        <v>1146</v>
      </c>
      <c r="C523" s="4" t="s">
        <v>1149</v>
      </c>
      <c r="D523" t="s">
        <v>1062</v>
      </c>
      <c r="E523" t="s">
        <v>1063</v>
      </c>
      <c r="G523" s="4" t="s">
        <v>1165</v>
      </c>
      <c r="H523" t="s">
        <v>1165</v>
      </c>
      <c r="I523" s="4" t="s">
        <v>1258</v>
      </c>
      <c r="J523">
        <v>36.544444444444402</v>
      </c>
      <c r="K523">
        <v>128.800833333333</v>
      </c>
      <c r="M523" s="4" t="s">
        <v>1145</v>
      </c>
      <c r="O523">
        <v>2019</v>
      </c>
      <c r="P523">
        <v>2020</v>
      </c>
      <c r="Q523" t="s">
        <v>1259</v>
      </c>
      <c r="R523">
        <v>14</v>
      </c>
      <c r="T523">
        <v>0</v>
      </c>
      <c r="U523" t="s">
        <v>1246</v>
      </c>
      <c r="V523" s="9" t="s">
        <v>1247</v>
      </c>
      <c r="W523" s="4">
        <v>56</v>
      </c>
      <c r="X523" s="9" t="s">
        <v>1264</v>
      </c>
      <c r="AD523" t="s">
        <v>1165</v>
      </c>
      <c r="AF523" t="s">
        <v>1165</v>
      </c>
      <c r="AI523" t="s">
        <v>153</v>
      </c>
      <c r="AJ523" s="4" t="s">
        <v>1148</v>
      </c>
      <c r="AK523" s="4">
        <v>61.691000000000003</v>
      </c>
      <c r="AL523" s="4" t="s">
        <v>1270</v>
      </c>
      <c r="AM523" t="s">
        <v>3003</v>
      </c>
      <c r="AN523" s="4">
        <v>4</v>
      </c>
      <c r="AO523" s="4">
        <v>20</v>
      </c>
      <c r="AP523" s="4">
        <v>7</v>
      </c>
      <c r="AQ523" t="s">
        <v>1266</v>
      </c>
      <c r="AR523" s="4" t="s">
        <v>1267</v>
      </c>
    </row>
    <row r="524" spans="1:45" x14ac:dyDescent="0.2">
      <c r="A524" t="s">
        <v>1064</v>
      </c>
      <c r="B524" s="4" t="s">
        <v>1146</v>
      </c>
      <c r="C524" s="4" t="s">
        <v>1149</v>
      </c>
      <c r="D524" t="s">
        <v>1062</v>
      </c>
      <c r="E524" t="s">
        <v>1063</v>
      </c>
      <c r="G524" s="4" t="s">
        <v>1165</v>
      </c>
      <c r="H524" t="s">
        <v>1165</v>
      </c>
      <c r="I524" s="4" t="s">
        <v>1258</v>
      </c>
      <c r="J524">
        <v>36.544444444444402</v>
      </c>
      <c r="K524">
        <v>128.800833333333</v>
      </c>
      <c r="M524" s="4" t="s">
        <v>1145</v>
      </c>
      <c r="O524">
        <v>2019</v>
      </c>
      <c r="P524">
        <v>2020</v>
      </c>
      <c r="Q524" t="s">
        <v>1259</v>
      </c>
      <c r="R524">
        <v>14</v>
      </c>
      <c r="T524">
        <v>0</v>
      </c>
      <c r="U524" t="s">
        <v>1246</v>
      </c>
      <c r="V524" s="9" t="s">
        <v>1247</v>
      </c>
      <c r="W524" s="4">
        <v>84</v>
      </c>
      <c r="X524" s="9" t="s">
        <v>1264</v>
      </c>
      <c r="AD524" t="s">
        <v>1165</v>
      </c>
      <c r="AF524" t="s">
        <v>1165</v>
      </c>
      <c r="AI524" t="s">
        <v>153</v>
      </c>
      <c r="AJ524" s="4" t="s">
        <v>1148</v>
      </c>
      <c r="AK524" s="4">
        <v>54.631999999999998</v>
      </c>
      <c r="AL524" s="4" t="s">
        <v>1270</v>
      </c>
      <c r="AM524" t="s">
        <v>3003</v>
      </c>
      <c r="AN524" s="4">
        <v>4</v>
      </c>
      <c r="AO524" s="4">
        <v>20</v>
      </c>
      <c r="AP524" s="4">
        <v>7</v>
      </c>
      <c r="AQ524" t="s">
        <v>1266</v>
      </c>
      <c r="AR524" s="4" t="s">
        <v>1267</v>
      </c>
    </row>
    <row r="525" spans="1:45" x14ac:dyDescent="0.2">
      <c r="A525" t="s">
        <v>1064</v>
      </c>
      <c r="B525" s="4" t="s">
        <v>1146</v>
      </c>
      <c r="C525" s="4" t="s">
        <v>1149</v>
      </c>
      <c r="D525" t="s">
        <v>1062</v>
      </c>
      <c r="E525" t="s">
        <v>1063</v>
      </c>
      <c r="G525" s="4" t="s">
        <v>1165</v>
      </c>
      <c r="H525" t="s">
        <v>1165</v>
      </c>
      <c r="I525" s="4" t="s">
        <v>1258</v>
      </c>
      <c r="J525">
        <v>36.544444444444402</v>
      </c>
      <c r="K525">
        <v>128.800833333333</v>
      </c>
      <c r="M525" s="4" t="s">
        <v>1145</v>
      </c>
      <c r="O525">
        <v>2019</v>
      </c>
      <c r="P525">
        <v>2020</v>
      </c>
      <c r="Q525" t="s">
        <v>1259</v>
      </c>
      <c r="R525">
        <v>14</v>
      </c>
      <c r="T525">
        <v>0</v>
      </c>
      <c r="U525" t="s">
        <v>1246</v>
      </c>
      <c r="V525" s="9" t="s">
        <v>1247</v>
      </c>
      <c r="W525" s="4">
        <v>0</v>
      </c>
      <c r="X525" s="9" t="s">
        <v>1264</v>
      </c>
      <c r="AD525" t="s">
        <v>1165</v>
      </c>
      <c r="AF525" t="s">
        <v>1165</v>
      </c>
      <c r="AI525" t="s">
        <v>153</v>
      </c>
      <c r="AJ525" s="4" t="s">
        <v>1148</v>
      </c>
      <c r="AK525" s="4">
        <v>0</v>
      </c>
      <c r="AL525" s="4" t="s">
        <v>1270</v>
      </c>
      <c r="AM525">
        <v>0</v>
      </c>
      <c r="AN525" s="4">
        <v>4</v>
      </c>
      <c r="AO525" s="4">
        <v>20</v>
      </c>
      <c r="AP525" s="4">
        <v>14</v>
      </c>
      <c r="AQ525" t="s">
        <v>1266</v>
      </c>
      <c r="AR525" s="4" t="s">
        <v>1267</v>
      </c>
    </row>
    <row r="526" spans="1:45" x14ac:dyDescent="0.2">
      <c r="A526" t="s">
        <v>1064</v>
      </c>
      <c r="B526" s="4" t="s">
        <v>1146</v>
      </c>
      <c r="C526" s="4" t="s">
        <v>1149</v>
      </c>
      <c r="D526" t="s">
        <v>1062</v>
      </c>
      <c r="E526" t="s">
        <v>1063</v>
      </c>
      <c r="G526" s="4" t="s">
        <v>1165</v>
      </c>
      <c r="H526" t="s">
        <v>1165</v>
      </c>
      <c r="I526" s="4" t="s">
        <v>1258</v>
      </c>
      <c r="J526">
        <v>36.544444444444402</v>
      </c>
      <c r="K526">
        <v>128.800833333333</v>
      </c>
      <c r="M526" s="4" t="s">
        <v>1145</v>
      </c>
      <c r="O526">
        <v>2019</v>
      </c>
      <c r="P526">
        <v>2020</v>
      </c>
      <c r="Q526" t="s">
        <v>1259</v>
      </c>
      <c r="R526">
        <v>14</v>
      </c>
      <c r="T526">
        <v>0</v>
      </c>
      <c r="U526" t="s">
        <v>1246</v>
      </c>
      <c r="V526" s="9" t="s">
        <v>1247</v>
      </c>
      <c r="W526" s="4">
        <v>14</v>
      </c>
      <c r="X526" s="9" t="s">
        <v>1264</v>
      </c>
      <c r="AD526" t="s">
        <v>1165</v>
      </c>
      <c r="AF526" t="s">
        <v>1165</v>
      </c>
      <c r="AI526" t="s">
        <v>153</v>
      </c>
      <c r="AJ526" s="4" t="s">
        <v>1148</v>
      </c>
      <c r="AK526" s="4">
        <v>77.77</v>
      </c>
      <c r="AL526" s="4" t="s">
        <v>1270</v>
      </c>
      <c r="AM526" t="s">
        <v>3003</v>
      </c>
      <c r="AN526" s="4">
        <v>4</v>
      </c>
      <c r="AO526" s="4">
        <v>20</v>
      </c>
      <c r="AP526" s="4">
        <v>14</v>
      </c>
      <c r="AQ526" t="s">
        <v>1266</v>
      </c>
      <c r="AR526" s="4" t="s">
        <v>1267</v>
      </c>
    </row>
    <row r="527" spans="1:45" x14ac:dyDescent="0.2">
      <c r="A527" t="s">
        <v>1064</v>
      </c>
      <c r="B527" s="4" t="s">
        <v>1146</v>
      </c>
      <c r="C527" s="4" t="s">
        <v>1149</v>
      </c>
      <c r="D527" t="s">
        <v>1062</v>
      </c>
      <c r="E527" t="s">
        <v>1063</v>
      </c>
      <c r="G527" s="4" t="s">
        <v>1165</v>
      </c>
      <c r="H527" t="s">
        <v>1165</v>
      </c>
      <c r="I527" s="4" t="s">
        <v>1258</v>
      </c>
      <c r="J527">
        <v>36.544444444444402</v>
      </c>
      <c r="K527">
        <v>128.800833333333</v>
      </c>
      <c r="M527" s="4" t="s">
        <v>1145</v>
      </c>
      <c r="O527">
        <v>2019</v>
      </c>
      <c r="P527">
        <v>2020</v>
      </c>
      <c r="Q527" t="s">
        <v>1259</v>
      </c>
      <c r="R527">
        <v>14</v>
      </c>
      <c r="T527">
        <v>0</v>
      </c>
      <c r="U527" t="s">
        <v>1246</v>
      </c>
      <c r="V527" s="9" t="s">
        <v>1247</v>
      </c>
      <c r="W527" s="4">
        <v>28</v>
      </c>
      <c r="X527" s="9" t="s">
        <v>1264</v>
      </c>
      <c r="AD527" t="s">
        <v>1165</v>
      </c>
      <c r="AF527" t="s">
        <v>1165</v>
      </c>
      <c r="AI527" t="s">
        <v>153</v>
      </c>
      <c r="AJ527" s="4" t="s">
        <v>1148</v>
      </c>
      <c r="AK527" s="4">
        <v>62.868000000000002</v>
      </c>
      <c r="AL527" s="4" t="s">
        <v>1270</v>
      </c>
      <c r="AM527" t="s">
        <v>3003</v>
      </c>
      <c r="AN527" s="4">
        <v>4</v>
      </c>
      <c r="AO527" s="4">
        <v>20</v>
      </c>
      <c r="AP527" s="4">
        <v>14</v>
      </c>
      <c r="AQ527" t="s">
        <v>1266</v>
      </c>
      <c r="AR527" s="4" t="s">
        <v>1267</v>
      </c>
    </row>
    <row r="528" spans="1:45" x14ac:dyDescent="0.2">
      <c r="A528" t="s">
        <v>1064</v>
      </c>
      <c r="B528" s="4" t="s">
        <v>1146</v>
      </c>
      <c r="C528" s="4" t="s">
        <v>1149</v>
      </c>
      <c r="D528" t="s">
        <v>1062</v>
      </c>
      <c r="E528" t="s">
        <v>1063</v>
      </c>
      <c r="G528" s="4" t="s">
        <v>1165</v>
      </c>
      <c r="H528" t="s">
        <v>1165</v>
      </c>
      <c r="I528" s="4" t="s">
        <v>1258</v>
      </c>
      <c r="J528">
        <v>36.544444444444402</v>
      </c>
      <c r="K528">
        <v>128.800833333333</v>
      </c>
      <c r="M528" s="4" t="s">
        <v>1145</v>
      </c>
      <c r="O528">
        <v>2019</v>
      </c>
      <c r="P528">
        <v>2020</v>
      </c>
      <c r="Q528" t="s">
        <v>1259</v>
      </c>
      <c r="R528">
        <v>14</v>
      </c>
      <c r="T528">
        <v>0</v>
      </c>
      <c r="U528" t="s">
        <v>1246</v>
      </c>
      <c r="V528" s="9" t="s">
        <v>1247</v>
      </c>
      <c r="W528" s="4">
        <v>56</v>
      </c>
      <c r="X528" s="9" t="s">
        <v>1264</v>
      </c>
      <c r="AD528" t="s">
        <v>1165</v>
      </c>
      <c r="AF528" t="s">
        <v>1165</v>
      </c>
      <c r="AI528" t="s">
        <v>153</v>
      </c>
      <c r="AJ528" s="4" t="s">
        <v>1148</v>
      </c>
      <c r="AK528" s="4">
        <v>66.593000000000004</v>
      </c>
      <c r="AL528" s="4" t="s">
        <v>1270</v>
      </c>
      <c r="AM528" t="s">
        <v>3003</v>
      </c>
      <c r="AN528" s="4">
        <v>4</v>
      </c>
      <c r="AO528" s="4">
        <v>20</v>
      </c>
      <c r="AP528" s="4">
        <v>14</v>
      </c>
      <c r="AQ528" t="s">
        <v>1266</v>
      </c>
      <c r="AR528" s="4" t="s">
        <v>1267</v>
      </c>
    </row>
    <row r="529" spans="1:44" x14ac:dyDescent="0.2">
      <c r="A529" t="s">
        <v>1064</v>
      </c>
      <c r="B529" s="4" t="s">
        <v>1146</v>
      </c>
      <c r="C529" s="4" t="s">
        <v>1149</v>
      </c>
      <c r="D529" t="s">
        <v>1062</v>
      </c>
      <c r="E529" t="s">
        <v>1063</v>
      </c>
      <c r="G529" s="4" t="s">
        <v>1165</v>
      </c>
      <c r="H529" t="s">
        <v>1165</v>
      </c>
      <c r="I529" s="4" t="s">
        <v>1258</v>
      </c>
      <c r="J529">
        <v>36.544444444444402</v>
      </c>
      <c r="K529">
        <v>128.800833333333</v>
      </c>
      <c r="M529" s="4" t="s">
        <v>1145</v>
      </c>
      <c r="O529">
        <v>2019</v>
      </c>
      <c r="P529">
        <v>2020</v>
      </c>
      <c r="Q529" t="s">
        <v>1259</v>
      </c>
      <c r="R529">
        <v>14</v>
      </c>
      <c r="T529">
        <v>0</v>
      </c>
      <c r="U529" t="s">
        <v>1246</v>
      </c>
      <c r="V529" s="9" t="s">
        <v>1247</v>
      </c>
      <c r="W529" s="4">
        <v>84</v>
      </c>
      <c r="X529" s="9" t="s">
        <v>1264</v>
      </c>
      <c r="AD529" t="s">
        <v>1165</v>
      </c>
      <c r="AF529" t="s">
        <v>1165</v>
      </c>
      <c r="AI529" t="s">
        <v>153</v>
      </c>
      <c r="AJ529" s="4" t="s">
        <v>1148</v>
      </c>
      <c r="AK529" s="4">
        <v>59.533999999999999</v>
      </c>
      <c r="AL529" s="4" t="s">
        <v>1270</v>
      </c>
      <c r="AM529" t="s">
        <v>3003</v>
      </c>
      <c r="AN529" s="4">
        <v>4</v>
      </c>
      <c r="AO529" s="4">
        <v>20</v>
      </c>
      <c r="AP529" s="4">
        <v>14</v>
      </c>
      <c r="AQ529" t="s">
        <v>1266</v>
      </c>
      <c r="AR529" s="4" t="s">
        <v>1267</v>
      </c>
    </row>
    <row r="530" spans="1:44" x14ac:dyDescent="0.2">
      <c r="A530" t="s">
        <v>1064</v>
      </c>
      <c r="B530" s="4" t="s">
        <v>1146</v>
      </c>
      <c r="C530" s="4" t="s">
        <v>1149</v>
      </c>
      <c r="D530" t="s">
        <v>1062</v>
      </c>
      <c r="E530" t="s">
        <v>1063</v>
      </c>
      <c r="G530" s="4" t="s">
        <v>1165</v>
      </c>
      <c r="H530" t="s">
        <v>1165</v>
      </c>
      <c r="I530" s="4" t="s">
        <v>1258</v>
      </c>
      <c r="J530">
        <v>36.544444444444402</v>
      </c>
      <c r="K530">
        <v>128.800833333333</v>
      </c>
      <c r="M530" s="4" t="s">
        <v>1145</v>
      </c>
      <c r="O530">
        <v>2019</v>
      </c>
      <c r="P530">
        <v>2020</v>
      </c>
      <c r="Q530" t="s">
        <v>1259</v>
      </c>
      <c r="R530">
        <v>14</v>
      </c>
      <c r="T530">
        <v>0</v>
      </c>
      <c r="U530" t="s">
        <v>1246</v>
      </c>
      <c r="V530" s="9" t="s">
        <v>1247</v>
      </c>
      <c r="W530" s="4">
        <v>0</v>
      </c>
      <c r="X530" s="9" t="s">
        <v>1264</v>
      </c>
      <c r="AD530" t="s">
        <v>1165</v>
      </c>
      <c r="AF530" t="s">
        <v>1165</v>
      </c>
      <c r="AI530" t="s">
        <v>153</v>
      </c>
      <c r="AJ530" s="4" t="s">
        <v>1148</v>
      </c>
      <c r="AK530" s="4">
        <v>0</v>
      </c>
      <c r="AL530" s="4" t="s">
        <v>1270</v>
      </c>
      <c r="AM530">
        <v>0</v>
      </c>
      <c r="AN530" s="4">
        <v>4</v>
      </c>
      <c r="AO530" s="4">
        <v>20</v>
      </c>
      <c r="AP530" s="4">
        <v>21</v>
      </c>
      <c r="AQ530" t="s">
        <v>1266</v>
      </c>
      <c r="AR530" s="4" t="s">
        <v>1267</v>
      </c>
    </row>
    <row r="531" spans="1:44" x14ac:dyDescent="0.2">
      <c r="A531" t="s">
        <v>1064</v>
      </c>
      <c r="B531" s="4" t="s">
        <v>1146</v>
      </c>
      <c r="C531" s="4" t="s">
        <v>1149</v>
      </c>
      <c r="D531" t="s">
        <v>1062</v>
      </c>
      <c r="E531" t="s">
        <v>1063</v>
      </c>
      <c r="G531" s="4" t="s">
        <v>1165</v>
      </c>
      <c r="H531" t="s">
        <v>1165</v>
      </c>
      <c r="I531" s="4" t="s">
        <v>1258</v>
      </c>
      <c r="J531">
        <v>36.544444444444402</v>
      </c>
      <c r="K531">
        <v>128.800833333333</v>
      </c>
      <c r="M531" s="4" t="s">
        <v>1145</v>
      </c>
      <c r="O531">
        <v>2019</v>
      </c>
      <c r="P531">
        <v>2020</v>
      </c>
      <c r="Q531" t="s">
        <v>1259</v>
      </c>
      <c r="R531">
        <v>14</v>
      </c>
      <c r="T531">
        <v>0</v>
      </c>
      <c r="U531" t="s">
        <v>1246</v>
      </c>
      <c r="V531" s="9" t="s">
        <v>1247</v>
      </c>
      <c r="W531" s="4">
        <v>14</v>
      </c>
      <c r="X531" s="9" t="s">
        <v>1264</v>
      </c>
      <c r="AD531" t="s">
        <v>1165</v>
      </c>
      <c r="AF531" t="s">
        <v>1165</v>
      </c>
      <c r="AI531" t="s">
        <v>153</v>
      </c>
      <c r="AJ531" s="4" t="s">
        <v>1148</v>
      </c>
      <c r="AK531" s="4">
        <v>79.534000000000006</v>
      </c>
      <c r="AL531" s="4" t="s">
        <v>1270</v>
      </c>
      <c r="AM531" t="s">
        <v>3003</v>
      </c>
      <c r="AN531" s="4">
        <v>4</v>
      </c>
      <c r="AO531" s="4">
        <v>20</v>
      </c>
      <c r="AP531" s="4">
        <v>21</v>
      </c>
      <c r="AQ531" t="s">
        <v>1266</v>
      </c>
      <c r="AR531" s="4" t="s">
        <v>1267</v>
      </c>
    </row>
    <row r="532" spans="1:44" x14ac:dyDescent="0.2">
      <c r="A532" t="s">
        <v>1064</v>
      </c>
      <c r="B532" s="4" t="s">
        <v>1146</v>
      </c>
      <c r="C532" s="4" t="s">
        <v>1149</v>
      </c>
      <c r="D532" t="s">
        <v>1062</v>
      </c>
      <c r="E532" t="s">
        <v>1063</v>
      </c>
      <c r="G532" s="4" t="s">
        <v>1165</v>
      </c>
      <c r="H532" t="s">
        <v>1165</v>
      </c>
      <c r="I532" s="4" t="s">
        <v>1258</v>
      </c>
      <c r="J532">
        <v>36.544444444444402</v>
      </c>
      <c r="K532">
        <v>128.800833333333</v>
      </c>
      <c r="M532" s="4" t="s">
        <v>1145</v>
      </c>
      <c r="O532">
        <v>2019</v>
      </c>
      <c r="P532">
        <v>2020</v>
      </c>
      <c r="Q532" t="s">
        <v>1259</v>
      </c>
      <c r="R532">
        <v>14</v>
      </c>
      <c r="T532">
        <v>0</v>
      </c>
      <c r="U532" t="s">
        <v>1246</v>
      </c>
      <c r="V532" s="9" t="s">
        <v>1247</v>
      </c>
      <c r="W532" s="4">
        <v>28</v>
      </c>
      <c r="X532" s="9" t="s">
        <v>1264</v>
      </c>
      <c r="AD532" t="s">
        <v>1165</v>
      </c>
      <c r="AF532" t="s">
        <v>1165</v>
      </c>
      <c r="AI532" t="s">
        <v>153</v>
      </c>
      <c r="AJ532" s="4" t="s">
        <v>1148</v>
      </c>
      <c r="AK532" s="4">
        <v>71.495000000000005</v>
      </c>
      <c r="AL532" s="4" t="s">
        <v>1270</v>
      </c>
      <c r="AM532" t="s">
        <v>3003</v>
      </c>
      <c r="AN532" s="4">
        <v>4</v>
      </c>
      <c r="AO532" s="4">
        <v>20</v>
      </c>
      <c r="AP532" s="4">
        <v>21</v>
      </c>
      <c r="AQ532" t="s">
        <v>1266</v>
      </c>
      <c r="AR532" s="4" t="s">
        <v>1267</v>
      </c>
    </row>
    <row r="533" spans="1:44" x14ac:dyDescent="0.2">
      <c r="A533" t="s">
        <v>1064</v>
      </c>
      <c r="B533" s="4" t="s">
        <v>1146</v>
      </c>
      <c r="C533" s="4" t="s">
        <v>1149</v>
      </c>
      <c r="D533" t="s">
        <v>1062</v>
      </c>
      <c r="E533" t="s">
        <v>1063</v>
      </c>
      <c r="G533" s="4" t="s">
        <v>1165</v>
      </c>
      <c r="H533" t="s">
        <v>1165</v>
      </c>
      <c r="I533" s="4" t="s">
        <v>1258</v>
      </c>
      <c r="J533">
        <v>36.544444444444402</v>
      </c>
      <c r="K533">
        <v>128.800833333333</v>
      </c>
      <c r="M533" s="4" t="s">
        <v>1145</v>
      </c>
      <c r="O533">
        <v>2019</v>
      </c>
      <c r="P533">
        <v>2020</v>
      </c>
      <c r="Q533" t="s">
        <v>1259</v>
      </c>
      <c r="R533">
        <v>14</v>
      </c>
      <c r="T533">
        <v>0</v>
      </c>
      <c r="U533" t="s">
        <v>1246</v>
      </c>
      <c r="V533" s="9" t="s">
        <v>1247</v>
      </c>
      <c r="W533" s="4">
        <v>56</v>
      </c>
      <c r="X533" s="9" t="s">
        <v>1264</v>
      </c>
      <c r="AD533" t="s">
        <v>1165</v>
      </c>
      <c r="AF533" t="s">
        <v>1165</v>
      </c>
      <c r="AI533" t="s">
        <v>153</v>
      </c>
      <c r="AJ533" s="4" t="s">
        <v>1148</v>
      </c>
      <c r="AK533" s="4">
        <v>70.123000000000005</v>
      </c>
      <c r="AL533" s="4" t="s">
        <v>1270</v>
      </c>
      <c r="AM533" t="s">
        <v>3003</v>
      </c>
      <c r="AN533" s="4">
        <v>4</v>
      </c>
      <c r="AO533" s="4">
        <v>20</v>
      </c>
      <c r="AP533" s="4">
        <v>21</v>
      </c>
      <c r="AQ533" t="s">
        <v>1266</v>
      </c>
      <c r="AR533" s="4" t="s">
        <v>1267</v>
      </c>
    </row>
    <row r="534" spans="1:44" x14ac:dyDescent="0.2">
      <c r="A534" t="s">
        <v>1064</v>
      </c>
      <c r="B534" s="4" t="s">
        <v>1146</v>
      </c>
      <c r="C534" s="4" t="s">
        <v>1149</v>
      </c>
      <c r="D534" t="s">
        <v>1062</v>
      </c>
      <c r="E534" t="s">
        <v>1063</v>
      </c>
      <c r="G534" s="4" t="s">
        <v>1165</v>
      </c>
      <c r="H534" t="s">
        <v>1165</v>
      </c>
      <c r="I534" s="4" t="s">
        <v>1258</v>
      </c>
      <c r="J534">
        <v>36.544444444444402</v>
      </c>
      <c r="K534">
        <v>128.800833333333</v>
      </c>
      <c r="M534" s="4" t="s">
        <v>1145</v>
      </c>
      <c r="O534">
        <v>2019</v>
      </c>
      <c r="P534">
        <v>2020</v>
      </c>
      <c r="Q534" t="s">
        <v>1259</v>
      </c>
      <c r="R534">
        <v>14</v>
      </c>
      <c r="T534">
        <v>0</v>
      </c>
      <c r="U534" t="s">
        <v>1246</v>
      </c>
      <c r="V534" s="9" t="s">
        <v>1247</v>
      </c>
      <c r="W534" s="4">
        <v>84</v>
      </c>
      <c r="X534" s="9" t="s">
        <v>1264</v>
      </c>
      <c r="AD534" t="s">
        <v>1165</v>
      </c>
      <c r="AF534" t="s">
        <v>1165</v>
      </c>
      <c r="AI534" t="s">
        <v>153</v>
      </c>
      <c r="AJ534" s="4" t="s">
        <v>1148</v>
      </c>
      <c r="AK534" s="4">
        <v>66.397000000000006</v>
      </c>
      <c r="AL534" s="4" t="s">
        <v>1270</v>
      </c>
      <c r="AM534" t="s">
        <v>3003</v>
      </c>
      <c r="AN534" s="4">
        <v>4</v>
      </c>
      <c r="AO534" s="4">
        <v>20</v>
      </c>
      <c r="AP534" s="4">
        <v>21</v>
      </c>
      <c r="AQ534" t="s">
        <v>1266</v>
      </c>
      <c r="AR534" s="4" t="s">
        <v>1267</v>
      </c>
    </row>
    <row r="535" spans="1:44" x14ac:dyDescent="0.2">
      <c r="A535" t="s">
        <v>1064</v>
      </c>
      <c r="B535" s="4" t="s">
        <v>1146</v>
      </c>
      <c r="C535" s="4" t="s">
        <v>1149</v>
      </c>
      <c r="D535" t="s">
        <v>1062</v>
      </c>
      <c r="E535" t="s">
        <v>1063</v>
      </c>
      <c r="G535" s="4" t="s">
        <v>1165</v>
      </c>
      <c r="H535" t="s">
        <v>1165</v>
      </c>
      <c r="I535" s="4" t="s">
        <v>1258</v>
      </c>
      <c r="J535">
        <v>36.544444444444402</v>
      </c>
      <c r="K535">
        <v>128.800833333333</v>
      </c>
      <c r="M535" s="4" t="s">
        <v>1145</v>
      </c>
      <c r="O535">
        <v>2019</v>
      </c>
      <c r="P535">
        <v>2020</v>
      </c>
      <c r="Q535" t="s">
        <v>1259</v>
      </c>
      <c r="R535">
        <v>14</v>
      </c>
      <c r="T535">
        <v>0</v>
      </c>
      <c r="U535" t="s">
        <v>1246</v>
      </c>
      <c r="V535" s="9" t="s">
        <v>1247</v>
      </c>
      <c r="W535" s="4">
        <v>0</v>
      </c>
      <c r="X535" s="9" t="s">
        <v>1264</v>
      </c>
      <c r="AD535" t="s">
        <v>1165</v>
      </c>
      <c r="AF535" t="s">
        <v>1165</v>
      </c>
      <c r="AI535" t="s">
        <v>153</v>
      </c>
      <c r="AJ535" s="4" t="s">
        <v>1148</v>
      </c>
      <c r="AK535" s="4">
        <v>0</v>
      </c>
      <c r="AL535" s="4" t="s">
        <v>1270</v>
      </c>
      <c r="AM535">
        <v>0</v>
      </c>
      <c r="AN535" s="4">
        <v>4</v>
      </c>
      <c r="AO535" s="4">
        <v>20</v>
      </c>
      <c r="AP535" s="4">
        <v>28</v>
      </c>
      <c r="AQ535" t="s">
        <v>1266</v>
      </c>
      <c r="AR535" s="4" t="s">
        <v>1267</v>
      </c>
    </row>
    <row r="536" spans="1:44" x14ac:dyDescent="0.2">
      <c r="A536" t="s">
        <v>1064</v>
      </c>
      <c r="B536" s="4" t="s">
        <v>1146</v>
      </c>
      <c r="C536" s="4" t="s">
        <v>1149</v>
      </c>
      <c r="D536" t="s">
        <v>1062</v>
      </c>
      <c r="E536" t="s">
        <v>1063</v>
      </c>
      <c r="G536" s="4" t="s">
        <v>1165</v>
      </c>
      <c r="H536" t="s">
        <v>1165</v>
      </c>
      <c r="I536" s="4" t="s">
        <v>1258</v>
      </c>
      <c r="J536">
        <v>36.544444444444402</v>
      </c>
      <c r="K536">
        <v>128.800833333333</v>
      </c>
      <c r="M536" s="4" t="s">
        <v>1145</v>
      </c>
      <c r="O536">
        <v>2019</v>
      </c>
      <c r="P536">
        <v>2020</v>
      </c>
      <c r="Q536" t="s">
        <v>1259</v>
      </c>
      <c r="R536">
        <v>14</v>
      </c>
      <c r="T536">
        <v>0</v>
      </c>
      <c r="U536" t="s">
        <v>1246</v>
      </c>
      <c r="V536" s="9" t="s">
        <v>1247</v>
      </c>
      <c r="W536" s="4">
        <v>14</v>
      </c>
      <c r="X536" s="9" t="s">
        <v>1264</v>
      </c>
      <c r="AD536" t="s">
        <v>1165</v>
      </c>
      <c r="AF536" t="s">
        <v>1165</v>
      </c>
      <c r="AI536" t="s">
        <v>153</v>
      </c>
      <c r="AJ536" s="4" t="s">
        <v>1148</v>
      </c>
      <c r="AK536" s="4">
        <v>79.534000000000006</v>
      </c>
      <c r="AL536" s="4" t="s">
        <v>1270</v>
      </c>
      <c r="AM536" t="s">
        <v>3003</v>
      </c>
      <c r="AN536" s="4">
        <v>4</v>
      </c>
      <c r="AO536" s="4">
        <v>20</v>
      </c>
      <c r="AP536" s="4">
        <v>28</v>
      </c>
      <c r="AQ536" t="s">
        <v>1266</v>
      </c>
      <c r="AR536" s="4" t="s">
        <v>1267</v>
      </c>
    </row>
    <row r="537" spans="1:44" x14ac:dyDescent="0.2">
      <c r="A537" t="s">
        <v>1064</v>
      </c>
      <c r="B537" s="4" t="s">
        <v>1146</v>
      </c>
      <c r="C537" s="4" t="s">
        <v>1149</v>
      </c>
      <c r="D537" t="s">
        <v>1062</v>
      </c>
      <c r="E537" t="s">
        <v>1063</v>
      </c>
      <c r="G537" s="4" t="s">
        <v>1165</v>
      </c>
      <c r="H537" t="s">
        <v>1165</v>
      </c>
      <c r="I537" s="4" t="s">
        <v>1258</v>
      </c>
      <c r="J537">
        <v>36.544444444444402</v>
      </c>
      <c r="K537">
        <v>128.800833333333</v>
      </c>
      <c r="M537" s="4" t="s">
        <v>1145</v>
      </c>
      <c r="O537">
        <v>2019</v>
      </c>
      <c r="P537">
        <v>2020</v>
      </c>
      <c r="Q537" t="s">
        <v>1259</v>
      </c>
      <c r="R537">
        <v>14</v>
      </c>
      <c r="T537">
        <v>0</v>
      </c>
      <c r="U537" t="s">
        <v>1246</v>
      </c>
      <c r="V537" s="9" t="s">
        <v>1247</v>
      </c>
      <c r="W537" s="4">
        <v>28</v>
      </c>
      <c r="X537" s="9" t="s">
        <v>1264</v>
      </c>
      <c r="AD537" t="s">
        <v>1165</v>
      </c>
      <c r="AF537" t="s">
        <v>1165</v>
      </c>
      <c r="AI537" t="s">
        <v>153</v>
      </c>
      <c r="AJ537" s="4" t="s">
        <v>1148</v>
      </c>
      <c r="AK537" s="4">
        <v>75.025000000000006</v>
      </c>
      <c r="AL537" s="4" t="s">
        <v>1270</v>
      </c>
      <c r="AM537" t="s">
        <v>3003</v>
      </c>
      <c r="AN537" s="4">
        <v>4</v>
      </c>
      <c r="AO537" s="4">
        <v>20</v>
      </c>
      <c r="AP537" s="4">
        <v>28</v>
      </c>
      <c r="AQ537" t="s">
        <v>1266</v>
      </c>
      <c r="AR537" s="4" t="s">
        <v>1267</v>
      </c>
    </row>
    <row r="538" spans="1:44" x14ac:dyDescent="0.2">
      <c r="A538" t="s">
        <v>1064</v>
      </c>
      <c r="B538" s="4" t="s">
        <v>1146</v>
      </c>
      <c r="C538" s="4" t="s">
        <v>1149</v>
      </c>
      <c r="D538" t="s">
        <v>1062</v>
      </c>
      <c r="E538" t="s">
        <v>1063</v>
      </c>
      <c r="G538" s="4" t="s">
        <v>1165</v>
      </c>
      <c r="H538" t="s">
        <v>1165</v>
      </c>
      <c r="I538" s="4" t="s">
        <v>1258</v>
      </c>
      <c r="J538">
        <v>36.544444444444402</v>
      </c>
      <c r="K538">
        <v>128.800833333333</v>
      </c>
      <c r="M538" s="4" t="s">
        <v>1145</v>
      </c>
      <c r="O538">
        <v>2019</v>
      </c>
      <c r="P538">
        <v>2020</v>
      </c>
      <c r="Q538" t="s">
        <v>1259</v>
      </c>
      <c r="R538">
        <v>14</v>
      </c>
      <c r="T538">
        <v>0</v>
      </c>
      <c r="U538" t="s">
        <v>1246</v>
      </c>
      <c r="V538" s="9" t="s">
        <v>1247</v>
      </c>
      <c r="W538" s="4">
        <v>56</v>
      </c>
      <c r="X538" s="9" t="s">
        <v>1264</v>
      </c>
      <c r="AD538" t="s">
        <v>1165</v>
      </c>
      <c r="AF538" t="s">
        <v>1165</v>
      </c>
      <c r="AI538" t="s">
        <v>153</v>
      </c>
      <c r="AJ538" s="4" t="s">
        <v>1148</v>
      </c>
      <c r="AK538" s="4">
        <v>71.691000000000003</v>
      </c>
      <c r="AL538" s="4" t="s">
        <v>1270</v>
      </c>
      <c r="AM538" t="s">
        <v>3003</v>
      </c>
      <c r="AN538" s="4">
        <v>4</v>
      </c>
      <c r="AO538" s="4">
        <v>20</v>
      </c>
      <c r="AP538" s="4">
        <v>28</v>
      </c>
      <c r="AQ538" t="s">
        <v>1266</v>
      </c>
      <c r="AR538" s="4" t="s">
        <v>1267</v>
      </c>
    </row>
    <row r="539" spans="1:44" x14ac:dyDescent="0.2">
      <c r="A539" t="s">
        <v>1064</v>
      </c>
      <c r="B539" s="4" t="s">
        <v>1146</v>
      </c>
      <c r="C539" s="4" t="s">
        <v>1149</v>
      </c>
      <c r="D539" t="s">
        <v>1062</v>
      </c>
      <c r="E539" t="s">
        <v>1063</v>
      </c>
      <c r="G539" s="4" t="s">
        <v>1165</v>
      </c>
      <c r="H539" t="s">
        <v>1165</v>
      </c>
      <c r="I539" s="4" t="s">
        <v>1258</v>
      </c>
      <c r="J539">
        <v>36.544444444444402</v>
      </c>
      <c r="K539">
        <v>128.800833333333</v>
      </c>
      <c r="M539" s="4" t="s">
        <v>1145</v>
      </c>
      <c r="O539">
        <v>2019</v>
      </c>
      <c r="P539">
        <v>2020</v>
      </c>
      <c r="Q539" t="s">
        <v>1259</v>
      </c>
      <c r="R539">
        <v>14</v>
      </c>
      <c r="T539">
        <v>0</v>
      </c>
      <c r="U539" t="s">
        <v>1246</v>
      </c>
      <c r="V539" s="9" t="s">
        <v>1247</v>
      </c>
      <c r="W539" s="4">
        <v>84</v>
      </c>
      <c r="X539" s="9" t="s">
        <v>1264</v>
      </c>
      <c r="AD539" t="s">
        <v>1165</v>
      </c>
      <c r="AF539" t="s">
        <v>1165</v>
      </c>
      <c r="AI539" t="s">
        <v>153</v>
      </c>
      <c r="AJ539" s="4" t="s">
        <v>1148</v>
      </c>
      <c r="AK539" s="4">
        <v>66.397000000000006</v>
      </c>
      <c r="AL539" s="4" t="s">
        <v>1270</v>
      </c>
      <c r="AM539" t="s">
        <v>3003</v>
      </c>
      <c r="AN539" s="4">
        <v>4</v>
      </c>
      <c r="AO539" s="4">
        <v>20</v>
      </c>
      <c r="AP539" s="4">
        <v>28</v>
      </c>
      <c r="AQ539" t="s">
        <v>1266</v>
      </c>
      <c r="AR539" s="4" t="s">
        <v>1267</v>
      </c>
    </row>
    <row r="540" spans="1:44" x14ac:dyDescent="0.2">
      <c r="A540" t="s">
        <v>1064</v>
      </c>
      <c r="B540" s="4" t="s">
        <v>1146</v>
      </c>
      <c r="C540" s="4" t="s">
        <v>1149</v>
      </c>
      <c r="D540" t="s">
        <v>1062</v>
      </c>
      <c r="E540" t="s">
        <v>1063</v>
      </c>
      <c r="G540" s="4" t="s">
        <v>1165</v>
      </c>
      <c r="H540" t="s">
        <v>1165</v>
      </c>
      <c r="I540" s="4" t="s">
        <v>1258</v>
      </c>
      <c r="J540">
        <v>36.544444444444402</v>
      </c>
      <c r="K540">
        <v>128.800833333333</v>
      </c>
      <c r="M540" s="4" t="s">
        <v>1145</v>
      </c>
      <c r="O540">
        <v>2019</v>
      </c>
      <c r="P540">
        <v>2020</v>
      </c>
      <c r="Q540" t="s">
        <v>1259</v>
      </c>
      <c r="R540">
        <v>14</v>
      </c>
      <c r="T540">
        <v>0</v>
      </c>
      <c r="U540" t="s">
        <v>1268</v>
      </c>
      <c r="W540" s="4"/>
      <c r="X540" s="9" t="s">
        <v>1264</v>
      </c>
      <c r="Z540">
        <v>12</v>
      </c>
      <c r="AA540" t="s">
        <v>1159</v>
      </c>
      <c r="AB540">
        <v>0</v>
      </c>
      <c r="AC540">
        <v>1</v>
      </c>
      <c r="AD540" t="s">
        <v>1165</v>
      </c>
      <c r="AF540" t="s">
        <v>153</v>
      </c>
      <c r="AG540" t="s">
        <v>1159</v>
      </c>
      <c r="AH540">
        <v>1440</v>
      </c>
      <c r="AI540" t="s">
        <v>153</v>
      </c>
      <c r="AJ540" s="4" t="s">
        <v>1148</v>
      </c>
      <c r="AK540" s="4">
        <v>0</v>
      </c>
      <c r="AL540" t="s">
        <v>1270</v>
      </c>
      <c r="AM540">
        <v>0</v>
      </c>
      <c r="AN540" s="4">
        <v>4</v>
      </c>
      <c r="AO540" s="4">
        <v>20</v>
      </c>
      <c r="AP540" s="4">
        <v>7</v>
      </c>
      <c r="AQ540" t="s">
        <v>1266</v>
      </c>
      <c r="AR540" s="4" t="s">
        <v>1269</v>
      </c>
    </row>
    <row r="541" spans="1:44" x14ac:dyDescent="0.2">
      <c r="A541" t="s">
        <v>1064</v>
      </c>
      <c r="B541" s="4" t="s">
        <v>1146</v>
      </c>
      <c r="C541" s="4" t="s">
        <v>1149</v>
      </c>
      <c r="D541" t="s">
        <v>1062</v>
      </c>
      <c r="E541" t="s">
        <v>1063</v>
      </c>
      <c r="G541" s="4" t="s">
        <v>1165</v>
      </c>
      <c r="H541" t="s">
        <v>1165</v>
      </c>
      <c r="I541" s="4" t="s">
        <v>1258</v>
      </c>
      <c r="J541">
        <v>36.544444444444402</v>
      </c>
      <c r="K541">
        <v>128.800833333333</v>
      </c>
      <c r="M541" s="4" t="s">
        <v>1145</v>
      </c>
      <c r="O541">
        <v>2019</v>
      </c>
      <c r="P541">
        <v>2020</v>
      </c>
      <c r="Q541" t="s">
        <v>1259</v>
      </c>
      <c r="R541">
        <v>14</v>
      </c>
      <c r="T541">
        <v>0</v>
      </c>
      <c r="U541" t="s">
        <v>1268</v>
      </c>
      <c r="W541" s="4"/>
      <c r="X541" s="9" t="s">
        <v>1264</v>
      </c>
      <c r="Z541">
        <v>12</v>
      </c>
      <c r="AA541" t="s">
        <v>1159</v>
      </c>
      <c r="AB541">
        <v>10.045</v>
      </c>
      <c r="AC541">
        <v>1</v>
      </c>
      <c r="AD541" t="s">
        <v>1165</v>
      </c>
      <c r="AF541" t="s">
        <v>153</v>
      </c>
      <c r="AG541" t="s">
        <v>1159</v>
      </c>
      <c r="AH541">
        <v>1440</v>
      </c>
      <c r="AI541" t="s">
        <v>153</v>
      </c>
      <c r="AJ541" s="4" t="s">
        <v>1148</v>
      </c>
      <c r="AK541" s="4">
        <v>5.7050000000000001</v>
      </c>
      <c r="AL541" t="s">
        <v>1270</v>
      </c>
      <c r="AM541">
        <v>7.0030000000000001</v>
      </c>
      <c r="AN541" s="4">
        <v>4</v>
      </c>
      <c r="AO541" s="4">
        <v>20</v>
      </c>
      <c r="AP541" s="4">
        <v>7</v>
      </c>
      <c r="AQ541" t="s">
        <v>1266</v>
      </c>
      <c r="AR541" s="4" t="s">
        <v>1269</v>
      </c>
    </row>
    <row r="542" spans="1:44" x14ac:dyDescent="0.2">
      <c r="A542" t="s">
        <v>1064</v>
      </c>
      <c r="B542" s="4" t="s">
        <v>1146</v>
      </c>
      <c r="C542" s="4" t="s">
        <v>1149</v>
      </c>
      <c r="D542" t="s">
        <v>1062</v>
      </c>
      <c r="E542" t="s">
        <v>1063</v>
      </c>
      <c r="G542" s="4" t="s">
        <v>1165</v>
      </c>
      <c r="H542" t="s">
        <v>1165</v>
      </c>
      <c r="I542" s="4" t="s">
        <v>1258</v>
      </c>
      <c r="J542">
        <v>36.544444444444402</v>
      </c>
      <c r="K542">
        <v>128.800833333333</v>
      </c>
      <c r="M542" s="4" t="s">
        <v>1145</v>
      </c>
      <c r="O542">
        <v>2019</v>
      </c>
      <c r="P542">
        <v>2020</v>
      </c>
      <c r="Q542" t="s">
        <v>1259</v>
      </c>
      <c r="R542">
        <v>14</v>
      </c>
      <c r="T542">
        <v>0</v>
      </c>
      <c r="U542" t="s">
        <v>1268</v>
      </c>
      <c r="W542" s="4"/>
      <c r="X542" s="9" t="s">
        <v>1264</v>
      </c>
      <c r="Z542">
        <v>12</v>
      </c>
      <c r="AA542" t="s">
        <v>1159</v>
      </c>
      <c r="AB542">
        <v>100.1</v>
      </c>
      <c r="AC542">
        <v>1</v>
      </c>
      <c r="AD542" t="s">
        <v>1165</v>
      </c>
      <c r="AF542" t="s">
        <v>153</v>
      </c>
      <c r="AG542" t="s">
        <v>1159</v>
      </c>
      <c r="AH542">
        <v>1440</v>
      </c>
      <c r="AI542" t="s">
        <v>153</v>
      </c>
      <c r="AJ542" s="4" t="s">
        <v>1148</v>
      </c>
      <c r="AK542" s="4">
        <v>24.228000000000002</v>
      </c>
      <c r="AL542" t="s">
        <v>1270</v>
      </c>
      <c r="AM542">
        <v>14.698</v>
      </c>
      <c r="AN542" s="4">
        <v>4</v>
      </c>
      <c r="AO542" s="4">
        <v>20</v>
      </c>
      <c r="AP542" s="4">
        <v>7</v>
      </c>
      <c r="AQ542" t="s">
        <v>1266</v>
      </c>
      <c r="AR542" s="4" t="s">
        <v>1269</v>
      </c>
    </row>
    <row r="543" spans="1:44" x14ac:dyDescent="0.2">
      <c r="A543" t="s">
        <v>1064</v>
      </c>
      <c r="B543" s="4" t="s">
        <v>1146</v>
      </c>
      <c r="C543" s="4" t="s">
        <v>1149</v>
      </c>
      <c r="D543" t="s">
        <v>1062</v>
      </c>
      <c r="E543" t="s">
        <v>1063</v>
      </c>
      <c r="G543" s="4" t="s">
        <v>1165</v>
      </c>
      <c r="H543" t="s">
        <v>1165</v>
      </c>
      <c r="I543" s="4" t="s">
        <v>1258</v>
      </c>
      <c r="J543">
        <v>36.544444444444402</v>
      </c>
      <c r="K543">
        <v>128.800833333333</v>
      </c>
      <c r="M543" s="4" t="s">
        <v>1145</v>
      </c>
      <c r="O543">
        <v>2019</v>
      </c>
      <c r="P543">
        <v>2020</v>
      </c>
      <c r="Q543" t="s">
        <v>1259</v>
      </c>
      <c r="R543">
        <v>14</v>
      </c>
      <c r="T543">
        <v>0</v>
      </c>
      <c r="U543" t="s">
        <v>1268</v>
      </c>
      <c r="W543" s="4"/>
      <c r="X543" s="9" t="s">
        <v>1264</v>
      </c>
      <c r="Z543">
        <v>12</v>
      </c>
      <c r="AA543" t="s">
        <v>1159</v>
      </c>
      <c r="AB543">
        <v>1000</v>
      </c>
      <c r="AC543">
        <v>1</v>
      </c>
      <c r="AD543" t="s">
        <v>1165</v>
      </c>
      <c r="AF543" t="s">
        <v>153</v>
      </c>
      <c r="AG543" t="s">
        <v>1159</v>
      </c>
      <c r="AH543">
        <v>1440</v>
      </c>
      <c r="AI543" t="s">
        <v>153</v>
      </c>
      <c r="AJ543" s="4" t="s">
        <v>1148</v>
      </c>
      <c r="AK543" s="4">
        <v>76.846000000000004</v>
      </c>
      <c r="AL543" t="s">
        <v>1270</v>
      </c>
      <c r="AM543">
        <v>7.5160000000000053</v>
      </c>
      <c r="AN543" s="4">
        <v>4</v>
      </c>
      <c r="AO543" s="4">
        <v>20</v>
      </c>
      <c r="AP543" s="4">
        <v>7</v>
      </c>
      <c r="AQ543" t="s">
        <v>1266</v>
      </c>
      <c r="AR543" s="4" t="s">
        <v>1269</v>
      </c>
    </row>
    <row r="544" spans="1:44" x14ac:dyDescent="0.2">
      <c r="A544" t="s">
        <v>1064</v>
      </c>
      <c r="B544" s="4" t="s">
        <v>1146</v>
      </c>
      <c r="C544" s="4" t="s">
        <v>1149</v>
      </c>
      <c r="D544" t="s">
        <v>1062</v>
      </c>
      <c r="E544" t="s">
        <v>1063</v>
      </c>
      <c r="G544" s="4" t="s">
        <v>1165</v>
      </c>
      <c r="H544" t="s">
        <v>1165</v>
      </c>
      <c r="I544" s="4" t="s">
        <v>1258</v>
      </c>
      <c r="J544">
        <v>36.544444444444402</v>
      </c>
      <c r="K544">
        <v>128.800833333333</v>
      </c>
      <c r="M544" s="4" t="s">
        <v>1145</v>
      </c>
      <c r="O544">
        <v>2019</v>
      </c>
      <c r="P544">
        <v>2020</v>
      </c>
      <c r="Q544" t="s">
        <v>1259</v>
      </c>
      <c r="R544">
        <v>14</v>
      </c>
      <c r="T544">
        <v>0</v>
      </c>
      <c r="U544" t="s">
        <v>1268</v>
      </c>
      <c r="W544" s="4"/>
      <c r="X544" s="9" t="s">
        <v>1264</v>
      </c>
      <c r="Z544">
        <v>12</v>
      </c>
      <c r="AA544" t="s">
        <v>1159</v>
      </c>
      <c r="AB544">
        <v>0</v>
      </c>
      <c r="AC544">
        <v>1</v>
      </c>
      <c r="AD544" t="s">
        <v>1165</v>
      </c>
      <c r="AF544" t="s">
        <v>153</v>
      </c>
      <c r="AG544" t="s">
        <v>1159</v>
      </c>
      <c r="AH544">
        <v>1440</v>
      </c>
      <c r="AI544" t="s">
        <v>153</v>
      </c>
      <c r="AJ544" s="4" t="s">
        <v>1148</v>
      </c>
      <c r="AK544" s="4">
        <v>0</v>
      </c>
      <c r="AL544" t="s">
        <v>1270</v>
      </c>
      <c r="AM544">
        <v>1.946</v>
      </c>
      <c r="AN544" s="4">
        <v>4</v>
      </c>
      <c r="AO544" s="4">
        <v>20</v>
      </c>
      <c r="AP544" s="4">
        <v>14</v>
      </c>
      <c r="AQ544" t="s">
        <v>1266</v>
      </c>
      <c r="AR544" s="4" t="s">
        <v>1269</v>
      </c>
    </row>
    <row r="545" spans="1:44" x14ac:dyDescent="0.2">
      <c r="A545" t="s">
        <v>1064</v>
      </c>
      <c r="B545" s="4" t="s">
        <v>1146</v>
      </c>
      <c r="C545" s="4" t="s">
        <v>1149</v>
      </c>
      <c r="D545" t="s">
        <v>1062</v>
      </c>
      <c r="E545" t="s">
        <v>1063</v>
      </c>
      <c r="G545" s="4" t="s">
        <v>1165</v>
      </c>
      <c r="H545" t="s">
        <v>1165</v>
      </c>
      <c r="I545" s="4" t="s">
        <v>1258</v>
      </c>
      <c r="J545">
        <v>36.544444444444402</v>
      </c>
      <c r="K545">
        <v>128.800833333333</v>
      </c>
      <c r="M545" s="4" t="s">
        <v>1145</v>
      </c>
      <c r="O545">
        <v>2019</v>
      </c>
      <c r="P545">
        <v>2020</v>
      </c>
      <c r="Q545" t="s">
        <v>1259</v>
      </c>
      <c r="R545">
        <v>14</v>
      </c>
      <c r="T545">
        <v>0</v>
      </c>
      <c r="U545" t="s">
        <v>1268</v>
      </c>
      <c r="W545" s="4"/>
      <c r="X545" s="9" t="s">
        <v>1264</v>
      </c>
      <c r="Z545">
        <v>12</v>
      </c>
      <c r="AA545" t="s">
        <v>1159</v>
      </c>
      <c r="AB545">
        <v>10.045</v>
      </c>
      <c r="AC545">
        <v>1</v>
      </c>
      <c r="AD545" t="s">
        <v>1165</v>
      </c>
      <c r="AF545" t="s">
        <v>153</v>
      </c>
      <c r="AG545" t="s">
        <v>1159</v>
      </c>
      <c r="AH545">
        <v>1440</v>
      </c>
      <c r="AI545" t="s">
        <v>153</v>
      </c>
      <c r="AJ545" s="4" t="s">
        <v>1148</v>
      </c>
      <c r="AK545" s="4">
        <v>15.638</v>
      </c>
      <c r="AL545" t="s">
        <v>1270</v>
      </c>
      <c r="AM545" s="4">
        <v>18.254999999999999</v>
      </c>
      <c r="AN545" s="4">
        <v>4</v>
      </c>
      <c r="AO545" s="4">
        <v>20</v>
      </c>
      <c r="AP545" s="4">
        <v>14</v>
      </c>
      <c r="AQ545" t="s">
        <v>1266</v>
      </c>
      <c r="AR545" s="4" t="s">
        <v>1269</v>
      </c>
    </row>
    <row r="546" spans="1:44" x14ac:dyDescent="0.2">
      <c r="A546" t="s">
        <v>1064</v>
      </c>
      <c r="B546" s="4" t="s">
        <v>1146</v>
      </c>
      <c r="C546" s="4" t="s">
        <v>1149</v>
      </c>
      <c r="D546" t="s">
        <v>1062</v>
      </c>
      <c r="E546" t="s">
        <v>1063</v>
      </c>
      <c r="G546" s="4" t="s">
        <v>1165</v>
      </c>
      <c r="H546" t="s">
        <v>1165</v>
      </c>
      <c r="I546" s="4" t="s">
        <v>1258</v>
      </c>
      <c r="J546">
        <v>36.544444444444402</v>
      </c>
      <c r="K546">
        <v>128.800833333333</v>
      </c>
      <c r="M546" s="4" t="s">
        <v>1145</v>
      </c>
      <c r="O546">
        <v>2019</v>
      </c>
      <c r="P546">
        <v>2020</v>
      </c>
      <c r="Q546" t="s">
        <v>1259</v>
      </c>
      <c r="R546">
        <v>14</v>
      </c>
      <c r="T546">
        <v>0</v>
      </c>
      <c r="U546" t="s">
        <v>1268</v>
      </c>
      <c r="W546" s="4"/>
      <c r="X546" s="9" t="s">
        <v>1264</v>
      </c>
      <c r="Z546">
        <v>12</v>
      </c>
      <c r="AA546" t="s">
        <v>1159</v>
      </c>
      <c r="AB546">
        <v>100.1</v>
      </c>
      <c r="AC546">
        <v>1</v>
      </c>
      <c r="AD546" t="s">
        <v>1165</v>
      </c>
      <c r="AF546" t="s">
        <v>153</v>
      </c>
      <c r="AG546" t="s">
        <v>1159</v>
      </c>
      <c r="AH546">
        <v>1440</v>
      </c>
      <c r="AI546" t="s">
        <v>153</v>
      </c>
      <c r="AJ546" s="4" t="s">
        <v>1148</v>
      </c>
      <c r="AK546" s="4">
        <v>45.436</v>
      </c>
      <c r="AL546" t="s">
        <v>1270</v>
      </c>
      <c r="AM546" s="4">
        <v>12.819000000000001</v>
      </c>
      <c r="AN546" s="4">
        <v>4</v>
      </c>
      <c r="AO546" s="4">
        <v>20</v>
      </c>
      <c r="AP546" s="4">
        <v>14</v>
      </c>
      <c r="AQ546" t="s">
        <v>1266</v>
      </c>
      <c r="AR546" s="4" t="s">
        <v>1269</v>
      </c>
    </row>
    <row r="547" spans="1:44" x14ac:dyDescent="0.2">
      <c r="A547" t="s">
        <v>1064</v>
      </c>
      <c r="B547" s="4" t="s">
        <v>1146</v>
      </c>
      <c r="C547" s="4" t="s">
        <v>1149</v>
      </c>
      <c r="D547" t="s">
        <v>1062</v>
      </c>
      <c r="E547" t="s">
        <v>1063</v>
      </c>
      <c r="G547" s="4" t="s">
        <v>1165</v>
      </c>
      <c r="H547" t="s">
        <v>1165</v>
      </c>
      <c r="I547" s="4" t="s">
        <v>1258</v>
      </c>
      <c r="J547">
        <v>36.544444444444402</v>
      </c>
      <c r="K547">
        <v>128.800833333333</v>
      </c>
      <c r="M547" s="4" t="s">
        <v>1145</v>
      </c>
      <c r="O547">
        <v>2019</v>
      </c>
      <c r="P547">
        <v>2020</v>
      </c>
      <c r="Q547" t="s">
        <v>1259</v>
      </c>
      <c r="R547">
        <v>14</v>
      </c>
      <c r="T547">
        <v>0</v>
      </c>
      <c r="U547" t="s">
        <v>1268</v>
      </c>
      <c r="W547" s="4"/>
      <c r="X547" s="9" t="s">
        <v>1264</v>
      </c>
      <c r="Z547">
        <v>12</v>
      </c>
      <c r="AA547" t="s">
        <v>1159</v>
      </c>
      <c r="AB547">
        <v>1000</v>
      </c>
      <c r="AC547">
        <v>1</v>
      </c>
      <c r="AD547" t="s">
        <v>1165</v>
      </c>
      <c r="AF547" t="s">
        <v>153</v>
      </c>
      <c r="AG547" t="s">
        <v>1159</v>
      </c>
      <c r="AH547">
        <v>1440</v>
      </c>
      <c r="AI547" t="s">
        <v>153</v>
      </c>
      <c r="AJ547" s="4" t="s">
        <v>1148</v>
      </c>
      <c r="AK547" s="4">
        <v>92.147999999999996</v>
      </c>
      <c r="AL547" t="s">
        <v>1270</v>
      </c>
      <c r="AM547" s="4">
        <v>0.80500000000000005</v>
      </c>
      <c r="AN547" s="4">
        <v>4</v>
      </c>
      <c r="AO547" s="4">
        <v>20</v>
      </c>
      <c r="AP547" s="4">
        <v>14</v>
      </c>
      <c r="AQ547" t="s">
        <v>1266</v>
      </c>
      <c r="AR547" s="4" t="s">
        <v>1269</v>
      </c>
    </row>
    <row r="548" spans="1:44" x14ac:dyDescent="0.2">
      <c r="A548" t="s">
        <v>1064</v>
      </c>
      <c r="B548" s="4" t="s">
        <v>1146</v>
      </c>
      <c r="C548" s="4" t="s">
        <v>1149</v>
      </c>
      <c r="D548" t="s">
        <v>1062</v>
      </c>
      <c r="E548" t="s">
        <v>1063</v>
      </c>
      <c r="G548" s="4" t="s">
        <v>1165</v>
      </c>
      <c r="H548" t="s">
        <v>1165</v>
      </c>
      <c r="I548" s="4" t="s">
        <v>1258</v>
      </c>
      <c r="J548">
        <v>36.544444444444402</v>
      </c>
      <c r="K548">
        <v>128.800833333333</v>
      </c>
      <c r="M548" s="4" t="s">
        <v>1145</v>
      </c>
      <c r="O548">
        <v>2019</v>
      </c>
      <c r="P548">
        <v>2020</v>
      </c>
      <c r="Q548" t="s">
        <v>1259</v>
      </c>
      <c r="R548">
        <v>14</v>
      </c>
      <c r="T548">
        <v>0</v>
      </c>
      <c r="U548" t="s">
        <v>1268</v>
      </c>
      <c r="W548" s="4"/>
      <c r="X548" s="9" t="s">
        <v>1264</v>
      </c>
      <c r="Z548">
        <v>12</v>
      </c>
      <c r="AA548" t="s">
        <v>1159</v>
      </c>
      <c r="AB548">
        <v>0</v>
      </c>
      <c r="AC548">
        <v>1</v>
      </c>
      <c r="AD548" t="s">
        <v>1165</v>
      </c>
      <c r="AF548" t="s">
        <v>153</v>
      </c>
      <c r="AG548" t="s">
        <v>1159</v>
      </c>
      <c r="AH548">
        <v>1440</v>
      </c>
      <c r="AI548" t="s">
        <v>153</v>
      </c>
      <c r="AJ548" s="4" t="s">
        <v>1148</v>
      </c>
      <c r="AK548" s="4">
        <v>3.2890000000000001</v>
      </c>
      <c r="AL548" t="s">
        <v>1270</v>
      </c>
      <c r="AM548">
        <v>3.6920000000000002</v>
      </c>
      <c r="AN548" s="4">
        <v>4</v>
      </c>
      <c r="AO548" s="4">
        <v>20</v>
      </c>
      <c r="AP548" s="4">
        <v>21</v>
      </c>
      <c r="AQ548" t="s">
        <v>1266</v>
      </c>
      <c r="AR548" s="4" t="s">
        <v>1269</v>
      </c>
    </row>
    <row r="549" spans="1:44" x14ac:dyDescent="0.2">
      <c r="A549" t="s">
        <v>1064</v>
      </c>
      <c r="B549" s="4" t="s">
        <v>1146</v>
      </c>
      <c r="C549" s="4" t="s">
        <v>1149</v>
      </c>
      <c r="D549" t="s">
        <v>1062</v>
      </c>
      <c r="E549" t="s">
        <v>1063</v>
      </c>
      <c r="G549" s="4" t="s">
        <v>1165</v>
      </c>
      <c r="H549" t="s">
        <v>1165</v>
      </c>
      <c r="I549" s="4" t="s">
        <v>1258</v>
      </c>
      <c r="J549">
        <v>36.544444444444402</v>
      </c>
      <c r="K549">
        <v>128.800833333333</v>
      </c>
      <c r="M549" s="4" t="s">
        <v>1145</v>
      </c>
      <c r="O549">
        <v>2019</v>
      </c>
      <c r="P549">
        <v>2020</v>
      </c>
      <c r="Q549" t="s">
        <v>1259</v>
      </c>
      <c r="R549">
        <v>14</v>
      </c>
      <c r="T549">
        <v>0</v>
      </c>
      <c r="U549" t="s">
        <v>1268</v>
      </c>
      <c r="W549" s="4"/>
      <c r="X549" s="9" t="s">
        <v>1264</v>
      </c>
      <c r="Z549">
        <v>12</v>
      </c>
      <c r="AA549" t="s">
        <v>1159</v>
      </c>
      <c r="AB549">
        <v>10.045</v>
      </c>
      <c r="AC549">
        <v>1</v>
      </c>
      <c r="AD549" t="s">
        <v>1165</v>
      </c>
      <c r="AF549" t="s">
        <v>153</v>
      </c>
      <c r="AG549" t="s">
        <v>1159</v>
      </c>
      <c r="AH549">
        <v>1440</v>
      </c>
      <c r="AI549" t="s">
        <v>153</v>
      </c>
      <c r="AJ549" s="4" t="s">
        <v>1148</v>
      </c>
      <c r="AK549" s="4">
        <v>15.638</v>
      </c>
      <c r="AL549" t="s">
        <v>1270</v>
      </c>
      <c r="AM549">
        <v>17.920000000000002</v>
      </c>
      <c r="AN549" s="4">
        <v>4</v>
      </c>
      <c r="AO549" s="4">
        <v>20</v>
      </c>
      <c r="AP549" s="4">
        <v>21</v>
      </c>
      <c r="AQ549" t="s">
        <v>1266</v>
      </c>
      <c r="AR549" s="4" t="s">
        <v>1269</v>
      </c>
    </row>
    <row r="550" spans="1:44" x14ac:dyDescent="0.2">
      <c r="A550" t="s">
        <v>1064</v>
      </c>
      <c r="B550" s="4" t="s">
        <v>1146</v>
      </c>
      <c r="C550" s="4" t="s">
        <v>1149</v>
      </c>
      <c r="D550" t="s">
        <v>1062</v>
      </c>
      <c r="E550" t="s">
        <v>1063</v>
      </c>
      <c r="G550" s="4" t="s">
        <v>1165</v>
      </c>
      <c r="H550" t="s">
        <v>1165</v>
      </c>
      <c r="I550" s="4" t="s">
        <v>1258</v>
      </c>
      <c r="J550">
        <v>36.544444444444402</v>
      </c>
      <c r="K550">
        <v>128.800833333333</v>
      </c>
      <c r="M550" s="4" t="s">
        <v>1145</v>
      </c>
      <c r="O550">
        <v>2019</v>
      </c>
      <c r="P550">
        <v>2020</v>
      </c>
      <c r="Q550" t="s">
        <v>1259</v>
      </c>
      <c r="R550">
        <v>14</v>
      </c>
      <c r="T550">
        <v>0</v>
      </c>
      <c r="U550" t="s">
        <v>1268</v>
      </c>
      <c r="W550" s="4"/>
      <c r="X550" s="9" t="s">
        <v>1264</v>
      </c>
      <c r="Z550">
        <v>12</v>
      </c>
      <c r="AA550" t="s">
        <v>1159</v>
      </c>
      <c r="AB550">
        <v>100.1</v>
      </c>
      <c r="AC550">
        <v>1</v>
      </c>
      <c r="AD550" t="s">
        <v>1165</v>
      </c>
      <c r="AF550" t="s">
        <v>153</v>
      </c>
      <c r="AG550" t="s">
        <v>1159</v>
      </c>
      <c r="AH550">
        <v>1440</v>
      </c>
      <c r="AI550" t="s">
        <v>153</v>
      </c>
      <c r="AJ550" s="4" t="s">
        <v>1148</v>
      </c>
      <c r="AK550" s="4">
        <v>45.436</v>
      </c>
      <c r="AL550" t="s">
        <v>1270</v>
      </c>
      <c r="AM550">
        <v>12.616999999999997</v>
      </c>
      <c r="AN550" s="4">
        <v>4</v>
      </c>
      <c r="AO550" s="4">
        <v>20</v>
      </c>
      <c r="AP550" s="4">
        <v>21</v>
      </c>
      <c r="AQ550" t="s">
        <v>1266</v>
      </c>
      <c r="AR550" s="4" t="s">
        <v>1269</v>
      </c>
    </row>
    <row r="551" spans="1:44" x14ac:dyDescent="0.2">
      <c r="A551" t="s">
        <v>1064</v>
      </c>
      <c r="B551" s="4" t="s">
        <v>1146</v>
      </c>
      <c r="C551" s="4" t="s">
        <v>1149</v>
      </c>
      <c r="D551" t="s">
        <v>1062</v>
      </c>
      <c r="E551" t="s">
        <v>1063</v>
      </c>
      <c r="G551" s="4" t="s">
        <v>1165</v>
      </c>
      <c r="H551" t="s">
        <v>1165</v>
      </c>
      <c r="I551" s="4" t="s">
        <v>1258</v>
      </c>
      <c r="J551">
        <v>36.544444444444402</v>
      </c>
      <c r="K551">
        <v>128.800833333333</v>
      </c>
      <c r="M551" s="4" t="s">
        <v>1145</v>
      </c>
      <c r="O551">
        <v>2019</v>
      </c>
      <c r="P551">
        <v>2020</v>
      </c>
      <c r="Q551" t="s">
        <v>1259</v>
      </c>
      <c r="R551">
        <v>14</v>
      </c>
      <c r="T551">
        <v>0</v>
      </c>
      <c r="U551" t="s">
        <v>1268</v>
      </c>
      <c r="W551" s="4"/>
      <c r="X551" s="9" t="s">
        <v>1264</v>
      </c>
      <c r="Z551">
        <v>12</v>
      </c>
      <c r="AA551" t="s">
        <v>1159</v>
      </c>
      <c r="AB551">
        <v>1000</v>
      </c>
      <c r="AC551">
        <v>1</v>
      </c>
      <c r="AD551" t="s">
        <v>1165</v>
      </c>
      <c r="AF551" t="s">
        <v>153</v>
      </c>
      <c r="AG551" t="s">
        <v>1159</v>
      </c>
      <c r="AH551">
        <v>1440</v>
      </c>
      <c r="AI551" t="s">
        <v>153</v>
      </c>
      <c r="AJ551" s="4" t="s">
        <v>1148</v>
      </c>
      <c r="AK551" s="4">
        <v>92.147999999999996</v>
      </c>
      <c r="AL551" t="s">
        <v>1270</v>
      </c>
      <c r="AM551">
        <v>0.80500000000000682</v>
      </c>
      <c r="AN551" s="4">
        <v>4</v>
      </c>
      <c r="AO551" s="4">
        <v>20</v>
      </c>
      <c r="AP551" s="4">
        <v>21</v>
      </c>
      <c r="AQ551" t="s">
        <v>1266</v>
      </c>
      <c r="AR551" s="4" t="s">
        <v>1269</v>
      </c>
    </row>
    <row r="552" spans="1:44" x14ac:dyDescent="0.2">
      <c r="A552" t="s">
        <v>1064</v>
      </c>
      <c r="B552" s="4" t="s">
        <v>1146</v>
      </c>
      <c r="C552" s="4" t="s">
        <v>1149</v>
      </c>
      <c r="D552" t="s">
        <v>1062</v>
      </c>
      <c r="E552" t="s">
        <v>1063</v>
      </c>
      <c r="G552" s="4" t="s">
        <v>1165</v>
      </c>
      <c r="H552" t="s">
        <v>1165</v>
      </c>
      <c r="I552" s="4" t="s">
        <v>1258</v>
      </c>
      <c r="J552">
        <v>36.544444444444402</v>
      </c>
      <c r="K552">
        <v>128.800833333333</v>
      </c>
      <c r="M552" s="4" t="s">
        <v>1145</v>
      </c>
      <c r="O552">
        <v>2019</v>
      </c>
      <c r="P552">
        <v>2020</v>
      </c>
      <c r="Q552" t="s">
        <v>1259</v>
      </c>
      <c r="R552">
        <v>14</v>
      </c>
      <c r="T552">
        <v>0</v>
      </c>
      <c r="U552" t="s">
        <v>1268</v>
      </c>
      <c r="W552" s="4"/>
      <c r="X552" s="9" t="s">
        <v>1264</v>
      </c>
      <c r="Z552">
        <v>12</v>
      </c>
      <c r="AA552" t="s">
        <v>1159</v>
      </c>
      <c r="AB552">
        <v>0</v>
      </c>
      <c r="AC552">
        <v>1</v>
      </c>
      <c r="AD552" t="s">
        <v>1165</v>
      </c>
      <c r="AF552" t="s">
        <v>153</v>
      </c>
      <c r="AG552" t="s">
        <v>1159</v>
      </c>
      <c r="AH552">
        <v>1440</v>
      </c>
      <c r="AI552" t="s">
        <v>153</v>
      </c>
      <c r="AJ552" s="4" t="s">
        <v>1148</v>
      </c>
      <c r="AK552" s="4">
        <v>3.2210000000000001</v>
      </c>
      <c r="AL552" t="s">
        <v>1270</v>
      </c>
      <c r="AM552">
        <v>3.7590000000000003</v>
      </c>
      <c r="AN552" s="4">
        <v>4</v>
      </c>
      <c r="AO552" s="4">
        <v>20</v>
      </c>
      <c r="AP552" s="4">
        <v>28</v>
      </c>
      <c r="AQ552" t="s">
        <v>1266</v>
      </c>
      <c r="AR552" s="4" t="s">
        <v>1269</v>
      </c>
    </row>
    <row r="553" spans="1:44" x14ac:dyDescent="0.2">
      <c r="A553" t="s">
        <v>1064</v>
      </c>
      <c r="B553" s="4" t="s">
        <v>1146</v>
      </c>
      <c r="C553" s="4" t="s">
        <v>1149</v>
      </c>
      <c r="D553" t="s">
        <v>1062</v>
      </c>
      <c r="E553" t="s">
        <v>1063</v>
      </c>
      <c r="G553" s="4" t="s">
        <v>1165</v>
      </c>
      <c r="H553" t="s">
        <v>1165</v>
      </c>
      <c r="I553" s="4" t="s">
        <v>1258</v>
      </c>
      <c r="J553">
        <v>36.544444444444402</v>
      </c>
      <c r="K553">
        <v>128.800833333333</v>
      </c>
      <c r="M553" s="4" t="s">
        <v>1145</v>
      </c>
      <c r="O553">
        <v>2019</v>
      </c>
      <c r="P553">
        <v>2020</v>
      </c>
      <c r="Q553" t="s">
        <v>1259</v>
      </c>
      <c r="R553">
        <v>14</v>
      </c>
      <c r="T553">
        <v>0</v>
      </c>
      <c r="U553" t="s">
        <v>1268</v>
      </c>
      <c r="W553" s="4"/>
      <c r="X553" s="9" t="s">
        <v>1264</v>
      </c>
      <c r="Z553">
        <v>12</v>
      </c>
      <c r="AA553" t="s">
        <v>1159</v>
      </c>
      <c r="AB553">
        <v>10.045</v>
      </c>
      <c r="AC553">
        <v>1</v>
      </c>
      <c r="AD553" t="s">
        <v>1165</v>
      </c>
      <c r="AF553" t="s">
        <v>153</v>
      </c>
      <c r="AG553" t="s">
        <v>1159</v>
      </c>
      <c r="AH553">
        <v>1440</v>
      </c>
      <c r="AI553" t="s">
        <v>153</v>
      </c>
      <c r="AJ553" s="4" t="s">
        <v>1148</v>
      </c>
      <c r="AK553" s="4">
        <v>15.638</v>
      </c>
      <c r="AL553" t="s">
        <v>1270</v>
      </c>
      <c r="AM553">
        <v>18.255000000000003</v>
      </c>
      <c r="AN553" s="4">
        <v>4</v>
      </c>
      <c r="AO553" s="4">
        <v>20</v>
      </c>
      <c r="AP553" s="4">
        <v>28</v>
      </c>
      <c r="AQ553" t="s">
        <v>1266</v>
      </c>
      <c r="AR553" s="4" t="s">
        <v>1269</v>
      </c>
    </row>
    <row r="554" spans="1:44" x14ac:dyDescent="0.2">
      <c r="A554" t="s">
        <v>1064</v>
      </c>
      <c r="B554" s="4" t="s">
        <v>1146</v>
      </c>
      <c r="C554" s="4" t="s">
        <v>1149</v>
      </c>
      <c r="D554" t="s">
        <v>1062</v>
      </c>
      <c r="E554" t="s">
        <v>1063</v>
      </c>
      <c r="G554" s="4" t="s">
        <v>1165</v>
      </c>
      <c r="H554" t="s">
        <v>1165</v>
      </c>
      <c r="I554" s="4" t="s">
        <v>1258</v>
      </c>
      <c r="J554">
        <v>36.544444444444402</v>
      </c>
      <c r="K554">
        <v>128.800833333333</v>
      </c>
      <c r="M554" s="4" t="s">
        <v>1145</v>
      </c>
      <c r="O554">
        <v>2019</v>
      </c>
      <c r="P554">
        <v>2020</v>
      </c>
      <c r="Q554" t="s">
        <v>1259</v>
      </c>
      <c r="R554">
        <v>14</v>
      </c>
      <c r="T554">
        <v>0</v>
      </c>
      <c r="U554" t="s">
        <v>1268</v>
      </c>
      <c r="W554" s="4"/>
      <c r="X554" s="9" t="s">
        <v>1264</v>
      </c>
      <c r="Z554">
        <v>12</v>
      </c>
      <c r="AA554" t="s">
        <v>1159</v>
      </c>
      <c r="AB554">
        <v>100.1</v>
      </c>
      <c r="AC554">
        <v>1</v>
      </c>
      <c r="AD554" t="s">
        <v>1165</v>
      </c>
      <c r="AF554" t="s">
        <v>153</v>
      </c>
      <c r="AG554" t="s">
        <v>1159</v>
      </c>
      <c r="AH554">
        <v>1440</v>
      </c>
      <c r="AI554" t="s">
        <v>153</v>
      </c>
      <c r="AJ554" s="4" t="s">
        <v>1148</v>
      </c>
      <c r="AK554" s="4">
        <v>45.436</v>
      </c>
      <c r="AL554" t="s">
        <v>1270</v>
      </c>
      <c r="AM554">
        <v>12.549999999999997</v>
      </c>
      <c r="AN554" s="4">
        <v>4</v>
      </c>
      <c r="AO554" s="4">
        <v>20</v>
      </c>
      <c r="AP554" s="4">
        <v>28</v>
      </c>
      <c r="AQ554" t="s">
        <v>1266</v>
      </c>
      <c r="AR554" s="4" t="s">
        <v>1269</v>
      </c>
    </row>
    <row r="555" spans="1:44" x14ac:dyDescent="0.2">
      <c r="A555" t="s">
        <v>1064</v>
      </c>
      <c r="B555" s="4" t="s">
        <v>1146</v>
      </c>
      <c r="C555" s="4" t="s">
        <v>1149</v>
      </c>
      <c r="D555" t="s">
        <v>1062</v>
      </c>
      <c r="E555" t="s">
        <v>1063</v>
      </c>
      <c r="G555" s="4" t="s">
        <v>1165</v>
      </c>
      <c r="H555" t="s">
        <v>1165</v>
      </c>
      <c r="I555" s="4" t="s">
        <v>1258</v>
      </c>
      <c r="J555">
        <v>36.544444444444402</v>
      </c>
      <c r="K555">
        <v>128.800833333333</v>
      </c>
      <c r="M555" s="4" t="s">
        <v>1145</v>
      </c>
      <c r="O555">
        <v>2019</v>
      </c>
      <c r="P555">
        <v>2020</v>
      </c>
      <c r="Q555" t="s">
        <v>1259</v>
      </c>
      <c r="R555">
        <v>14</v>
      </c>
      <c r="T555">
        <v>0</v>
      </c>
      <c r="U555" t="s">
        <v>1268</v>
      </c>
      <c r="W555" s="4"/>
      <c r="X555" s="9" t="s">
        <v>1264</v>
      </c>
      <c r="Z555">
        <v>12</v>
      </c>
      <c r="AA555" t="s">
        <v>1159</v>
      </c>
      <c r="AB555">
        <v>1000</v>
      </c>
      <c r="AC555">
        <v>1</v>
      </c>
      <c r="AD555" t="s">
        <v>1165</v>
      </c>
      <c r="AF555" t="s">
        <v>153</v>
      </c>
      <c r="AG555" t="s">
        <v>1159</v>
      </c>
      <c r="AH555">
        <v>1440</v>
      </c>
      <c r="AI555" t="s">
        <v>153</v>
      </c>
      <c r="AJ555" s="4" t="s">
        <v>1148</v>
      </c>
      <c r="AK555" s="4">
        <v>92.147999999999996</v>
      </c>
      <c r="AL555" t="s">
        <v>1270</v>
      </c>
      <c r="AM555">
        <v>0.80500000000000682</v>
      </c>
      <c r="AN555" s="4">
        <v>4</v>
      </c>
      <c r="AO555" s="4">
        <v>20</v>
      </c>
      <c r="AP555" s="4">
        <v>28</v>
      </c>
      <c r="AQ555" t="s">
        <v>1266</v>
      </c>
      <c r="AR555" s="4" t="s">
        <v>1269</v>
      </c>
    </row>
    <row r="556" spans="1:44" s="14" customFormat="1" x14ac:dyDescent="0.2">
      <c r="A556" s="14" t="s">
        <v>1064</v>
      </c>
      <c r="B556" s="15" t="s">
        <v>1146</v>
      </c>
      <c r="C556" s="15" t="s">
        <v>1149</v>
      </c>
      <c r="D556" s="14" t="s">
        <v>1062</v>
      </c>
      <c r="E556" s="14" t="s">
        <v>1063</v>
      </c>
      <c r="G556" s="15" t="s">
        <v>1165</v>
      </c>
      <c r="H556" s="14" t="s">
        <v>1165</v>
      </c>
      <c r="I556" s="15" t="s">
        <v>1258</v>
      </c>
      <c r="J556" s="14">
        <v>36.544444444444402</v>
      </c>
      <c r="K556" s="14">
        <v>128.800833333333</v>
      </c>
      <c r="M556" s="15" t="s">
        <v>1145</v>
      </c>
      <c r="O556" s="14">
        <v>2019</v>
      </c>
      <c r="P556" s="14">
        <v>2020</v>
      </c>
      <c r="Q556" s="14" t="s">
        <v>1259</v>
      </c>
      <c r="R556" s="14">
        <v>14</v>
      </c>
      <c r="T556" s="14">
        <v>0</v>
      </c>
      <c r="U556" s="14" t="s">
        <v>1272</v>
      </c>
      <c r="V556" s="12" t="s">
        <v>1247</v>
      </c>
      <c r="W556" s="15">
        <v>14</v>
      </c>
      <c r="X556" s="12" t="s">
        <v>1264</v>
      </c>
      <c r="Y556" s="14" t="s">
        <v>1303</v>
      </c>
      <c r="Z556" s="14">
        <v>12</v>
      </c>
      <c r="AD556" s="14" t="s">
        <v>1165</v>
      </c>
      <c r="AF556" s="14" t="s">
        <v>1165</v>
      </c>
      <c r="AI556" s="14" t="s">
        <v>153</v>
      </c>
      <c r="AJ556" s="15" t="s">
        <v>1148</v>
      </c>
      <c r="AK556" s="15">
        <v>64.444000000000003</v>
      </c>
      <c r="AL556" t="s">
        <v>1270</v>
      </c>
      <c r="AM556" t="s">
        <v>3003</v>
      </c>
      <c r="AN556" s="15">
        <v>4</v>
      </c>
      <c r="AO556" s="15">
        <v>20</v>
      </c>
      <c r="AP556" s="15">
        <v>7</v>
      </c>
      <c r="AQ556" s="14" t="s">
        <v>1266</v>
      </c>
      <c r="AR556" s="15" t="s">
        <v>1271</v>
      </c>
    </row>
    <row r="557" spans="1:44" s="14" customFormat="1" x14ac:dyDescent="0.2">
      <c r="A557" s="14" t="s">
        <v>1064</v>
      </c>
      <c r="B557" s="15" t="s">
        <v>1146</v>
      </c>
      <c r="C557" s="15" t="s">
        <v>1149</v>
      </c>
      <c r="D557" s="14" t="s">
        <v>1062</v>
      </c>
      <c r="E557" s="14" t="s">
        <v>1063</v>
      </c>
      <c r="G557" s="15" t="s">
        <v>1165</v>
      </c>
      <c r="H557" s="14" t="s">
        <v>1165</v>
      </c>
      <c r="I557" s="15" t="s">
        <v>1258</v>
      </c>
      <c r="J557" s="14">
        <v>36.544444444444402</v>
      </c>
      <c r="K557" s="14">
        <v>128.800833333333</v>
      </c>
      <c r="M557" s="15" t="s">
        <v>1145</v>
      </c>
      <c r="O557" s="14">
        <v>2019</v>
      </c>
      <c r="P557" s="14">
        <v>2020</v>
      </c>
      <c r="Q557" s="14" t="s">
        <v>1259</v>
      </c>
      <c r="R557" s="14">
        <v>14</v>
      </c>
      <c r="T557" s="14">
        <v>0</v>
      </c>
      <c r="U557" s="14" t="s">
        <v>1272</v>
      </c>
      <c r="V557" s="12" t="s">
        <v>1247</v>
      </c>
      <c r="W557" s="15">
        <v>14</v>
      </c>
      <c r="X557" s="12" t="s">
        <v>1264</v>
      </c>
      <c r="Y557" s="14" t="s">
        <v>1304</v>
      </c>
      <c r="Z557" s="14">
        <v>12</v>
      </c>
      <c r="AD557" s="14" t="s">
        <v>1165</v>
      </c>
      <c r="AF557" s="14" t="s">
        <v>1165</v>
      </c>
      <c r="AI557" s="14" t="s">
        <v>153</v>
      </c>
      <c r="AJ557" s="15" t="s">
        <v>1148</v>
      </c>
      <c r="AK557" s="15">
        <v>60.722000000000001</v>
      </c>
      <c r="AL557" t="s">
        <v>1270</v>
      </c>
      <c r="AM557" t="s">
        <v>3003</v>
      </c>
      <c r="AN557" s="15">
        <v>4</v>
      </c>
      <c r="AO557" s="15">
        <v>20</v>
      </c>
      <c r="AP557" s="15">
        <v>7</v>
      </c>
      <c r="AQ557" s="14" t="s">
        <v>1266</v>
      </c>
      <c r="AR557" s="15" t="s">
        <v>1271</v>
      </c>
    </row>
    <row r="558" spans="1:44" s="14" customFormat="1" x14ac:dyDescent="0.2">
      <c r="A558" s="14" t="s">
        <v>1064</v>
      </c>
      <c r="B558" s="15" t="s">
        <v>1146</v>
      </c>
      <c r="C558" s="15" t="s">
        <v>1149</v>
      </c>
      <c r="D558" s="14" t="s">
        <v>1062</v>
      </c>
      <c r="E558" s="14" t="s">
        <v>1063</v>
      </c>
      <c r="G558" s="15" t="s">
        <v>1165</v>
      </c>
      <c r="H558" s="14" t="s">
        <v>1165</v>
      </c>
      <c r="I558" s="15" t="s">
        <v>1258</v>
      </c>
      <c r="J558" s="14">
        <v>36.544444444444402</v>
      </c>
      <c r="K558" s="14">
        <v>128.800833333333</v>
      </c>
      <c r="M558" s="15" t="s">
        <v>1145</v>
      </c>
      <c r="O558" s="14">
        <v>2019</v>
      </c>
      <c r="P558" s="14">
        <v>2020</v>
      </c>
      <c r="Q558" s="14" t="s">
        <v>1259</v>
      </c>
      <c r="R558" s="14">
        <v>14</v>
      </c>
      <c r="T558" s="14">
        <v>0</v>
      </c>
      <c r="U558" s="14" t="s">
        <v>1272</v>
      </c>
      <c r="V558" s="12" t="s">
        <v>1247</v>
      </c>
      <c r="W558" s="15">
        <v>14</v>
      </c>
      <c r="X558" s="12" t="s">
        <v>1264</v>
      </c>
      <c r="Y558" s="14" t="s">
        <v>1303</v>
      </c>
      <c r="Z558" s="14">
        <v>12</v>
      </c>
      <c r="AD558" s="14" t="s">
        <v>1165</v>
      </c>
      <c r="AF558" s="14" t="s">
        <v>1165</v>
      </c>
      <c r="AI558" s="14" t="s">
        <v>153</v>
      </c>
      <c r="AJ558" s="15" t="s">
        <v>1148</v>
      </c>
      <c r="AK558" s="15">
        <v>80.721999999999994</v>
      </c>
      <c r="AL558" t="s">
        <v>1270</v>
      </c>
      <c r="AM558" t="s">
        <v>3003</v>
      </c>
      <c r="AN558" s="15">
        <v>4</v>
      </c>
      <c r="AO558" s="15">
        <v>20</v>
      </c>
      <c r="AP558" s="15">
        <v>14</v>
      </c>
      <c r="AQ558" s="14" t="s">
        <v>1266</v>
      </c>
      <c r="AR558" s="15" t="s">
        <v>1271</v>
      </c>
    </row>
    <row r="559" spans="1:44" s="14" customFormat="1" x14ac:dyDescent="0.2">
      <c r="A559" s="14" t="s">
        <v>1064</v>
      </c>
      <c r="B559" s="15" t="s">
        <v>1146</v>
      </c>
      <c r="C559" s="15" t="s">
        <v>1149</v>
      </c>
      <c r="D559" s="14" t="s">
        <v>1062</v>
      </c>
      <c r="E559" s="14" t="s">
        <v>1063</v>
      </c>
      <c r="G559" s="15" t="s">
        <v>1165</v>
      </c>
      <c r="H559" s="14" t="s">
        <v>1165</v>
      </c>
      <c r="I559" s="15" t="s">
        <v>1258</v>
      </c>
      <c r="J559" s="14">
        <v>36.544444444444402</v>
      </c>
      <c r="K559" s="14">
        <v>128.800833333333</v>
      </c>
      <c r="M559" s="15" t="s">
        <v>1145</v>
      </c>
      <c r="O559" s="14">
        <v>2019</v>
      </c>
      <c r="P559" s="14">
        <v>2020</v>
      </c>
      <c r="Q559" s="14" t="s">
        <v>1259</v>
      </c>
      <c r="R559" s="14">
        <v>14</v>
      </c>
      <c r="T559" s="14">
        <v>0</v>
      </c>
      <c r="U559" s="14" t="s">
        <v>1272</v>
      </c>
      <c r="V559" s="12" t="s">
        <v>1247</v>
      </c>
      <c r="W559" s="15">
        <v>14</v>
      </c>
      <c r="X559" s="12" t="s">
        <v>1264</v>
      </c>
      <c r="Y559" s="14" t="s">
        <v>1304</v>
      </c>
      <c r="Z559" s="14">
        <v>12</v>
      </c>
      <c r="AD559" s="14" t="s">
        <v>1165</v>
      </c>
      <c r="AF559" s="14" t="s">
        <v>1165</v>
      </c>
      <c r="AI559" s="14" t="s">
        <v>153</v>
      </c>
      <c r="AJ559" s="15" t="s">
        <v>1148</v>
      </c>
      <c r="AK559" s="15">
        <v>76.055999999999997</v>
      </c>
      <c r="AL559" t="s">
        <v>1270</v>
      </c>
      <c r="AM559" t="s">
        <v>3003</v>
      </c>
      <c r="AN559" s="15">
        <v>4</v>
      </c>
      <c r="AO559" s="15">
        <v>20</v>
      </c>
      <c r="AP559" s="15">
        <v>14</v>
      </c>
      <c r="AQ559" s="14" t="s">
        <v>1266</v>
      </c>
      <c r="AR559" s="15" t="s">
        <v>1271</v>
      </c>
    </row>
    <row r="560" spans="1:44" s="14" customFormat="1" x14ac:dyDescent="0.2">
      <c r="A560" s="14" t="s">
        <v>1064</v>
      </c>
      <c r="B560" s="15" t="s">
        <v>1146</v>
      </c>
      <c r="C560" s="15" t="s">
        <v>1149</v>
      </c>
      <c r="D560" s="14" t="s">
        <v>1062</v>
      </c>
      <c r="E560" s="14" t="s">
        <v>1063</v>
      </c>
      <c r="G560" s="15" t="s">
        <v>1165</v>
      </c>
      <c r="H560" s="14" t="s">
        <v>1165</v>
      </c>
      <c r="I560" s="15" t="s">
        <v>1258</v>
      </c>
      <c r="J560" s="14">
        <v>36.544444444444402</v>
      </c>
      <c r="K560" s="14">
        <v>128.800833333333</v>
      </c>
      <c r="M560" s="15" t="s">
        <v>1145</v>
      </c>
      <c r="O560" s="14">
        <v>2019</v>
      </c>
      <c r="P560" s="14">
        <v>2020</v>
      </c>
      <c r="Q560" s="14" t="s">
        <v>1259</v>
      </c>
      <c r="R560" s="14">
        <v>14</v>
      </c>
      <c r="T560" s="14">
        <v>0</v>
      </c>
      <c r="U560" s="14" t="s">
        <v>1272</v>
      </c>
      <c r="V560" s="12" t="s">
        <v>1247</v>
      </c>
      <c r="W560" s="15">
        <v>14</v>
      </c>
      <c r="X560" s="12" t="s">
        <v>1264</v>
      </c>
      <c r="Y560" s="14" t="s">
        <v>1303</v>
      </c>
      <c r="Z560" s="14">
        <v>12</v>
      </c>
      <c r="AD560" s="14" t="s">
        <v>1165</v>
      </c>
      <c r="AF560" s="14" t="s">
        <v>1165</v>
      </c>
      <c r="AI560" s="14" t="s">
        <v>153</v>
      </c>
      <c r="AJ560" s="15" t="s">
        <v>1148</v>
      </c>
      <c r="AK560" s="15">
        <v>80.5</v>
      </c>
      <c r="AL560" t="s">
        <v>1270</v>
      </c>
      <c r="AM560" t="s">
        <v>3003</v>
      </c>
      <c r="AN560" s="15">
        <v>4</v>
      </c>
      <c r="AO560" s="15">
        <v>20</v>
      </c>
      <c r="AP560" s="15">
        <v>21</v>
      </c>
      <c r="AQ560" s="14" t="s">
        <v>1266</v>
      </c>
      <c r="AR560" s="15" t="s">
        <v>1271</v>
      </c>
    </row>
    <row r="561" spans="1:44" s="14" customFormat="1" x14ac:dyDescent="0.2">
      <c r="A561" s="14" t="s">
        <v>1064</v>
      </c>
      <c r="B561" s="15" t="s">
        <v>1146</v>
      </c>
      <c r="C561" s="15" t="s">
        <v>1149</v>
      </c>
      <c r="D561" s="14" t="s">
        <v>1062</v>
      </c>
      <c r="E561" s="14" t="s">
        <v>1063</v>
      </c>
      <c r="G561" s="15" t="s">
        <v>1165</v>
      </c>
      <c r="H561" s="14" t="s">
        <v>1165</v>
      </c>
      <c r="I561" s="15" t="s">
        <v>1258</v>
      </c>
      <c r="J561" s="14">
        <v>36.544444444444402</v>
      </c>
      <c r="K561" s="14">
        <v>128.800833333333</v>
      </c>
      <c r="M561" s="15" t="s">
        <v>1145</v>
      </c>
      <c r="O561" s="14">
        <v>2019</v>
      </c>
      <c r="P561" s="14">
        <v>2020</v>
      </c>
      <c r="Q561" s="14" t="s">
        <v>1259</v>
      </c>
      <c r="R561" s="14">
        <v>14</v>
      </c>
      <c r="T561" s="14">
        <v>0</v>
      </c>
      <c r="U561" s="14" t="s">
        <v>1272</v>
      </c>
      <c r="V561" s="12" t="s">
        <v>1247</v>
      </c>
      <c r="W561" s="15">
        <v>14</v>
      </c>
      <c r="X561" s="12" t="s">
        <v>1264</v>
      </c>
      <c r="Y561" s="14" t="s">
        <v>1304</v>
      </c>
      <c r="Z561" s="14">
        <v>12</v>
      </c>
      <c r="AD561" s="14" t="s">
        <v>1165</v>
      </c>
      <c r="AF561" s="14" t="s">
        <v>1165</v>
      </c>
      <c r="AI561" s="14" t="s">
        <v>153</v>
      </c>
      <c r="AJ561" s="15" t="s">
        <v>1148</v>
      </c>
      <c r="AK561" s="15">
        <v>75.832999999999998</v>
      </c>
      <c r="AL561" t="s">
        <v>1270</v>
      </c>
      <c r="AM561" t="s">
        <v>3003</v>
      </c>
      <c r="AN561" s="15">
        <v>4</v>
      </c>
      <c r="AO561" s="15">
        <v>20</v>
      </c>
      <c r="AP561" s="15">
        <v>21</v>
      </c>
      <c r="AQ561" s="14" t="s">
        <v>1266</v>
      </c>
      <c r="AR561" s="15" t="s">
        <v>1271</v>
      </c>
    </row>
    <row r="562" spans="1:44" s="14" customFormat="1" x14ac:dyDescent="0.2">
      <c r="A562" s="14" t="s">
        <v>1064</v>
      </c>
      <c r="B562" s="15" t="s">
        <v>1146</v>
      </c>
      <c r="C562" s="15" t="s">
        <v>1149</v>
      </c>
      <c r="D562" s="14" t="s">
        <v>1062</v>
      </c>
      <c r="E562" s="14" t="s">
        <v>1063</v>
      </c>
      <c r="G562" s="15" t="s">
        <v>1165</v>
      </c>
      <c r="H562" s="14" t="s">
        <v>1165</v>
      </c>
      <c r="I562" s="15" t="s">
        <v>1258</v>
      </c>
      <c r="J562" s="14">
        <v>36.544444444444402</v>
      </c>
      <c r="K562" s="14">
        <v>128.800833333333</v>
      </c>
      <c r="M562" s="15" t="s">
        <v>1145</v>
      </c>
      <c r="O562" s="14">
        <v>2019</v>
      </c>
      <c r="P562" s="14">
        <v>2020</v>
      </c>
      <c r="Q562" s="14" t="s">
        <v>1259</v>
      </c>
      <c r="R562" s="14">
        <v>14</v>
      </c>
      <c r="T562" s="14">
        <v>0</v>
      </c>
      <c r="U562" s="14" t="s">
        <v>1272</v>
      </c>
      <c r="V562" s="12" t="s">
        <v>1247</v>
      </c>
      <c r="W562" s="15">
        <v>14</v>
      </c>
      <c r="X562" s="12" t="s">
        <v>1264</v>
      </c>
      <c r="Y562" s="14" t="s">
        <v>1303</v>
      </c>
      <c r="Z562" s="14">
        <v>12</v>
      </c>
      <c r="AD562" s="14" t="s">
        <v>1165</v>
      </c>
      <c r="AF562" s="14" t="s">
        <v>1165</v>
      </c>
      <c r="AI562" s="14" t="s">
        <v>153</v>
      </c>
      <c r="AJ562" s="15" t="s">
        <v>1148</v>
      </c>
      <c r="AK562" s="15">
        <v>80.721999999999994</v>
      </c>
      <c r="AL562" t="s">
        <v>1270</v>
      </c>
      <c r="AM562" t="s">
        <v>3003</v>
      </c>
      <c r="AN562" s="15">
        <v>4</v>
      </c>
      <c r="AO562" s="15">
        <v>20</v>
      </c>
      <c r="AP562" s="15">
        <v>28</v>
      </c>
      <c r="AQ562" s="14" t="s">
        <v>1266</v>
      </c>
      <c r="AR562" s="15" t="s">
        <v>1271</v>
      </c>
    </row>
    <row r="563" spans="1:44" s="14" customFormat="1" x14ac:dyDescent="0.2">
      <c r="A563" s="14" t="s">
        <v>1064</v>
      </c>
      <c r="B563" s="15" t="s">
        <v>1146</v>
      </c>
      <c r="C563" s="15" t="s">
        <v>1149</v>
      </c>
      <c r="D563" s="14" t="s">
        <v>1062</v>
      </c>
      <c r="E563" s="14" t="s">
        <v>1063</v>
      </c>
      <c r="G563" s="15" t="s">
        <v>1165</v>
      </c>
      <c r="H563" s="14" t="s">
        <v>1165</v>
      </c>
      <c r="I563" s="15" t="s">
        <v>1258</v>
      </c>
      <c r="J563" s="14">
        <v>36.544444444444402</v>
      </c>
      <c r="K563" s="14">
        <v>128.800833333333</v>
      </c>
      <c r="M563" s="15" t="s">
        <v>1145</v>
      </c>
      <c r="O563" s="14">
        <v>2019</v>
      </c>
      <c r="P563" s="14">
        <v>2020</v>
      </c>
      <c r="Q563" s="14" t="s">
        <v>1259</v>
      </c>
      <c r="R563" s="14">
        <v>14</v>
      </c>
      <c r="T563" s="14">
        <v>0</v>
      </c>
      <c r="U563" s="14" t="s">
        <v>1272</v>
      </c>
      <c r="V563" s="12" t="s">
        <v>1247</v>
      </c>
      <c r="W563" s="15">
        <v>14</v>
      </c>
      <c r="X563" s="12" t="s">
        <v>1264</v>
      </c>
      <c r="Y563" s="14" t="s">
        <v>1304</v>
      </c>
      <c r="Z563" s="14">
        <v>12</v>
      </c>
      <c r="AD563" s="14" t="s">
        <v>1165</v>
      </c>
      <c r="AF563" s="14" t="s">
        <v>1165</v>
      </c>
      <c r="AI563" s="14" t="s">
        <v>153</v>
      </c>
      <c r="AJ563" s="15" t="s">
        <v>1148</v>
      </c>
      <c r="AK563" s="15">
        <v>77.611000000000004</v>
      </c>
      <c r="AL563" t="s">
        <v>1270</v>
      </c>
      <c r="AM563" t="s">
        <v>3003</v>
      </c>
      <c r="AN563" s="15">
        <v>4</v>
      </c>
      <c r="AO563" s="15">
        <v>20</v>
      </c>
      <c r="AP563" s="15">
        <v>28</v>
      </c>
      <c r="AQ563" s="14" t="s">
        <v>1266</v>
      </c>
      <c r="AR563" s="15" t="s">
        <v>1271</v>
      </c>
    </row>
    <row r="564" spans="1:44" s="14" customFormat="1" x14ac:dyDescent="0.2">
      <c r="A564" s="14" t="s">
        <v>1068</v>
      </c>
      <c r="B564" s="15" t="s">
        <v>1146</v>
      </c>
      <c r="C564" s="15" t="s">
        <v>1149</v>
      </c>
      <c r="D564" s="14" t="s">
        <v>224</v>
      </c>
      <c r="E564" s="14" t="s">
        <v>505</v>
      </c>
      <c r="G564" s="15" t="s">
        <v>153</v>
      </c>
      <c r="H564" s="14" t="s">
        <v>1165</v>
      </c>
      <c r="I564" s="15"/>
      <c r="M564" s="15"/>
      <c r="N564" s="14">
        <v>1920</v>
      </c>
      <c r="O564" s="17">
        <v>2011</v>
      </c>
      <c r="P564" s="14">
        <v>2011</v>
      </c>
      <c r="V564" s="12" t="s">
        <v>1276</v>
      </c>
      <c r="W564" s="15">
        <v>28</v>
      </c>
      <c r="X564" s="12" t="s">
        <v>1274</v>
      </c>
      <c r="AA564" s="14" t="s">
        <v>1159</v>
      </c>
      <c r="AB564" s="14">
        <v>0</v>
      </c>
      <c r="AC564" s="14">
        <v>0.5</v>
      </c>
      <c r="AD564" s="14" t="s">
        <v>153</v>
      </c>
      <c r="AE564" s="14" t="s">
        <v>1214</v>
      </c>
      <c r="AF564" s="14" t="s">
        <v>153</v>
      </c>
      <c r="AG564" s="14" t="s">
        <v>1273</v>
      </c>
      <c r="AH564" s="14">
        <v>20</v>
      </c>
      <c r="AJ564" s="15" t="s">
        <v>1148</v>
      </c>
      <c r="AK564" s="15">
        <v>0.25</v>
      </c>
      <c r="AL564" s="14" t="s">
        <v>3004</v>
      </c>
      <c r="AM564" s="14">
        <v>0</v>
      </c>
      <c r="AN564" s="15">
        <v>4</v>
      </c>
      <c r="AO564" s="15">
        <v>20</v>
      </c>
      <c r="AP564" s="15">
        <v>21</v>
      </c>
      <c r="AQ564" s="14" t="s">
        <v>1275</v>
      </c>
      <c r="AR564" s="15" t="s">
        <v>1279</v>
      </c>
    </row>
    <row r="565" spans="1:44" s="14" customFormat="1" x14ac:dyDescent="0.2">
      <c r="A565" s="14" t="s">
        <v>1068</v>
      </c>
      <c r="B565" s="15" t="s">
        <v>1146</v>
      </c>
      <c r="C565" s="15" t="s">
        <v>1149</v>
      </c>
      <c r="D565" s="14" t="s">
        <v>224</v>
      </c>
      <c r="E565" s="14" t="s">
        <v>505</v>
      </c>
      <c r="G565" s="15" t="s">
        <v>153</v>
      </c>
      <c r="H565" s="14" t="s">
        <v>1165</v>
      </c>
      <c r="I565" s="15"/>
      <c r="M565" s="15"/>
      <c r="N565" s="14">
        <v>1920</v>
      </c>
      <c r="O565" s="17">
        <v>2011</v>
      </c>
      <c r="P565" s="14">
        <v>2011</v>
      </c>
      <c r="V565" s="12" t="s">
        <v>1276</v>
      </c>
      <c r="W565" s="15">
        <v>42</v>
      </c>
      <c r="X565" s="12" t="s">
        <v>1274</v>
      </c>
      <c r="AA565" s="14" t="s">
        <v>1159</v>
      </c>
      <c r="AB565" s="14">
        <v>0</v>
      </c>
      <c r="AC565" s="14">
        <v>0.5</v>
      </c>
      <c r="AD565" s="14" t="s">
        <v>153</v>
      </c>
      <c r="AE565" s="14" t="s">
        <v>1214</v>
      </c>
      <c r="AF565" s="14" t="s">
        <v>153</v>
      </c>
      <c r="AG565" s="14" t="s">
        <v>1273</v>
      </c>
      <c r="AH565" s="14">
        <v>20</v>
      </c>
      <c r="AJ565" s="15" t="s">
        <v>1148</v>
      </c>
      <c r="AK565" s="15">
        <v>3.0619999999999998</v>
      </c>
      <c r="AL565" s="14" t="s">
        <v>3004</v>
      </c>
      <c r="AM565" s="14">
        <v>0</v>
      </c>
      <c r="AN565" s="15">
        <v>4</v>
      </c>
      <c r="AO565" s="15">
        <v>20</v>
      </c>
      <c r="AP565" s="15">
        <v>21</v>
      </c>
      <c r="AQ565" s="14" t="s">
        <v>1275</v>
      </c>
      <c r="AR565" s="15" t="s">
        <v>1279</v>
      </c>
    </row>
    <row r="566" spans="1:44" s="14" customFormat="1" x14ac:dyDescent="0.2">
      <c r="A566" s="14" t="s">
        <v>1068</v>
      </c>
      <c r="B566" s="15" t="s">
        <v>1146</v>
      </c>
      <c r="C566" s="15" t="s">
        <v>1149</v>
      </c>
      <c r="D566" s="14" t="s">
        <v>224</v>
      </c>
      <c r="E566" s="14" t="s">
        <v>505</v>
      </c>
      <c r="G566" s="15" t="s">
        <v>153</v>
      </c>
      <c r="H566" s="14" t="s">
        <v>1165</v>
      </c>
      <c r="I566" s="15"/>
      <c r="M566" s="15"/>
      <c r="N566" s="14">
        <v>1920</v>
      </c>
      <c r="O566" s="17">
        <v>2011</v>
      </c>
      <c r="P566" s="14">
        <v>2011</v>
      </c>
      <c r="V566" s="12" t="s">
        <v>1276</v>
      </c>
      <c r="W566" s="15">
        <v>56</v>
      </c>
      <c r="X566" s="12" t="s">
        <v>1274</v>
      </c>
      <c r="AA566" s="14" t="s">
        <v>1159</v>
      </c>
      <c r="AB566" s="14">
        <v>0</v>
      </c>
      <c r="AC566" s="14">
        <v>0.5</v>
      </c>
      <c r="AD566" s="14" t="s">
        <v>153</v>
      </c>
      <c r="AE566" s="14" t="s">
        <v>1214</v>
      </c>
      <c r="AF566" s="14" t="s">
        <v>153</v>
      </c>
      <c r="AG566" s="14" t="s">
        <v>1273</v>
      </c>
      <c r="AH566" s="14">
        <v>20</v>
      </c>
      <c r="AJ566" s="15" t="s">
        <v>1148</v>
      </c>
      <c r="AK566" s="15">
        <v>3.8119999999999998</v>
      </c>
      <c r="AL566" s="14" t="s">
        <v>3004</v>
      </c>
      <c r="AM566" s="14">
        <v>0</v>
      </c>
      <c r="AN566" s="15">
        <v>4</v>
      </c>
      <c r="AO566" s="15">
        <v>20</v>
      </c>
      <c r="AP566" s="15">
        <v>21</v>
      </c>
      <c r="AQ566" s="14" t="s">
        <v>1275</v>
      </c>
      <c r="AR566" s="15" t="s">
        <v>1279</v>
      </c>
    </row>
    <row r="567" spans="1:44" s="14" customFormat="1" x14ac:dyDescent="0.2">
      <c r="A567" s="14" t="s">
        <v>1068</v>
      </c>
      <c r="B567" s="15" t="s">
        <v>1146</v>
      </c>
      <c r="C567" s="15" t="s">
        <v>1149</v>
      </c>
      <c r="D567" s="14" t="s">
        <v>224</v>
      </c>
      <c r="E567" s="14" t="s">
        <v>505</v>
      </c>
      <c r="G567" s="15" t="s">
        <v>153</v>
      </c>
      <c r="H567" s="14" t="s">
        <v>1165</v>
      </c>
      <c r="I567" s="15"/>
      <c r="M567" s="15"/>
      <c r="N567" s="14">
        <v>1920</v>
      </c>
      <c r="O567" s="17">
        <v>2011</v>
      </c>
      <c r="P567" s="14">
        <v>2011</v>
      </c>
      <c r="V567" s="12" t="s">
        <v>1276</v>
      </c>
      <c r="W567" s="15">
        <v>28</v>
      </c>
      <c r="X567" s="12" t="s">
        <v>1274</v>
      </c>
      <c r="AA567" s="14" t="s">
        <v>1159</v>
      </c>
      <c r="AB567" s="14">
        <v>250</v>
      </c>
      <c r="AC567" s="14">
        <v>0.5</v>
      </c>
      <c r="AD567" s="14" t="s">
        <v>153</v>
      </c>
      <c r="AE567" s="14" t="s">
        <v>1214</v>
      </c>
      <c r="AF567" s="14" t="s">
        <v>153</v>
      </c>
      <c r="AG567" s="14" t="s">
        <v>1273</v>
      </c>
      <c r="AH567" s="14">
        <v>20</v>
      </c>
      <c r="AJ567" s="15" t="s">
        <v>1148</v>
      </c>
      <c r="AK567" s="15">
        <v>3</v>
      </c>
      <c r="AL567" s="14" t="s">
        <v>3004</v>
      </c>
      <c r="AM567" s="14">
        <v>2.9379999999999997</v>
      </c>
      <c r="AN567" s="15">
        <v>4</v>
      </c>
      <c r="AO567" s="15">
        <v>20</v>
      </c>
      <c r="AP567" s="15">
        <v>21</v>
      </c>
      <c r="AQ567" s="14" t="s">
        <v>1275</v>
      </c>
      <c r="AR567" s="15" t="s">
        <v>1279</v>
      </c>
    </row>
    <row r="568" spans="1:44" s="14" customFormat="1" x14ac:dyDescent="0.2">
      <c r="A568" s="14" t="s">
        <v>1068</v>
      </c>
      <c r="B568" s="15" t="s">
        <v>1146</v>
      </c>
      <c r="C568" s="15" t="s">
        <v>1149</v>
      </c>
      <c r="D568" s="14" t="s">
        <v>224</v>
      </c>
      <c r="E568" s="14" t="s">
        <v>505</v>
      </c>
      <c r="G568" s="15" t="s">
        <v>153</v>
      </c>
      <c r="H568" s="14" t="s">
        <v>1165</v>
      </c>
      <c r="I568" s="15"/>
      <c r="M568" s="15"/>
      <c r="N568" s="14">
        <v>1920</v>
      </c>
      <c r="O568" s="17">
        <v>2011</v>
      </c>
      <c r="P568" s="14">
        <v>2011</v>
      </c>
      <c r="V568" s="12" t="s">
        <v>1276</v>
      </c>
      <c r="W568" s="15">
        <v>42</v>
      </c>
      <c r="X568" s="12" t="s">
        <v>1274</v>
      </c>
      <c r="AA568" s="14" t="s">
        <v>1159</v>
      </c>
      <c r="AB568" s="14">
        <v>250</v>
      </c>
      <c r="AC568" s="14">
        <v>0.5</v>
      </c>
      <c r="AD568" s="14" t="s">
        <v>153</v>
      </c>
      <c r="AE568" s="14" t="s">
        <v>1214</v>
      </c>
      <c r="AF568" s="14" t="s">
        <v>153</v>
      </c>
      <c r="AG568" s="14" t="s">
        <v>1273</v>
      </c>
      <c r="AH568" s="14">
        <v>20</v>
      </c>
      <c r="AJ568" s="15" t="s">
        <v>1148</v>
      </c>
      <c r="AK568" s="15">
        <v>8.0619999999999994</v>
      </c>
      <c r="AL568" s="14" t="s">
        <v>3004</v>
      </c>
      <c r="AM568" s="14">
        <v>2.9999999999999991</v>
      </c>
      <c r="AN568" s="15">
        <v>4</v>
      </c>
      <c r="AO568" s="15">
        <v>20</v>
      </c>
      <c r="AP568" s="15">
        <v>21</v>
      </c>
      <c r="AQ568" s="14" t="s">
        <v>1275</v>
      </c>
      <c r="AR568" s="15" t="s">
        <v>1279</v>
      </c>
    </row>
    <row r="569" spans="1:44" s="14" customFormat="1" x14ac:dyDescent="0.2">
      <c r="A569" s="14" t="s">
        <v>1068</v>
      </c>
      <c r="B569" s="15" t="s">
        <v>1146</v>
      </c>
      <c r="C569" s="15" t="s">
        <v>1149</v>
      </c>
      <c r="D569" s="14" t="s">
        <v>224</v>
      </c>
      <c r="E569" s="14" t="s">
        <v>505</v>
      </c>
      <c r="G569" s="15" t="s">
        <v>153</v>
      </c>
      <c r="H569" s="14" t="s">
        <v>1165</v>
      </c>
      <c r="I569" s="15"/>
      <c r="M569" s="15"/>
      <c r="N569" s="14">
        <v>1920</v>
      </c>
      <c r="O569" s="17">
        <v>2011</v>
      </c>
      <c r="P569" s="14">
        <v>2011</v>
      </c>
      <c r="V569" s="12" t="s">
        <v>1276</v>
      </c>
      <c r="W569" s="15">
        <v>56</v>
      </c>
      <c r="X569" s="12" t="s">
        <v>1274</v>
      </c>
      <c r="AA569" s="14" t="s">
        <v>1159</v>
      </c>
      <c r="AB569" s="14">
        <v>250</v>
      </c>
      <c r="AC569" s="14">
        <v>0.5</v>
      </c>
      <c r="AD569" s="14" t="s">
        <v>153</v>
      </c>
      <c r="AE569" s="14" t="s">
        <v>1214</v>
      </c>
      <c r="AF569" s="14" t="s">
        <v>153</v>
      </c>
      <c r="AG569" s="14" t="s">
        <v>1273</v>
      </c>
      <c r="AH569" s="14">
        <v>20</v>
      </c>
      <c r="AJ569" s="15" t="s">
        <v>1148</v>
      </c>
      <c r="AK569" s="15">
        <v>13.311999999999999</v>
      </c>
      <c r="AL569" s="14" t="s">
        <v>3004</v>
      </c>
      <c r="AM569" s="14">
        <v>5.1880000000000006</v>
      </c>
      <c r="AN569" s="15">
        <v>4</v>
      </c>
      <c r="AO569" s="15">
        <v>20</v>
      </c>
      <c r="AP569" s="15">
        <v>21</v>
      </c>
      <c r="AQ569" s="14" t="s">
        <v>1275</v>
      </c>
      <c r="AR569" s="15" t="s">
        <v>1279</v>
      </c>
    </row>
    <row r="570" spans="1:44" s="14" customFormat="1" x14ac:dyDescent="0.2">
      <c r="A570" s="14" t="s">
        <v>1068</v>
      </c>
      <c r="B570" s="15" t="s">
        <v>1146</v>
      </c>
      <c r="C570" s="15" t="s">
        <v>1149</v>
      </c>
      <c r="D570" s="14" t="s">
        <v>224</v>
      </c>
      <c r="E570" s="14" t="s">
        <v>505</v>
      </c>
      <c r="G570" s="15" t="s">
        <v>153</v>
      </c>
      <c r="H570" s="14" t="s">
        <v>1165</v>
      </c>
      <c r="I570" s="15"/>
      <c r="M570" s="15"/>
      <c r="N570" s="14">
        <v>1920</v>
      </c>
      <c r="O570" s="17">
        <v>2011</v>
      </c>
      <c r="P570" s="14">
        <v>2011</v>
      </c>
      <c r="V570" s="12" t="s">
        <v>1276</v>
      </c>
      <c r="W570" s="15">
        <v>28</v>
      </c>
      <c r="X570" s="12" t="s">
        <v>1274</v>
      </c>
      <c r="AA570" s="14" t="s">
        <v>1159</v>
      </c>
      <c r="AB570" s="14">
        <v>500</v>
      </c>
      <c r="AC570" s="14">
        <v>0.5</v>
      </c>
      <c r="AD570" s="14" t="s">
        <v>153</v>
      </c>
      <c r="AE570" s="14" t="s">
        <v>1214</v>
      </c>
      <c r="AF570" s="14" t="s">
        <v>153</v>
      </c>
      <c r="AG570" s="14" t="s">
        <v>1273</v>
      </c>
      <c r="AH570" s="14">
        <v>20</v>
      </c>
      <c r="AJ570" s="15" t="s">
        <v>1148</v>
      </c>
      <c r="AK570" s="15">
        <v>15.311999999999999</v>
      </c>
      <c r="AL570" s="14" t="s">
        <v>3004</v>
      </c>
      <c r="AM570" s="14">
        <v>4.6879999999999997</v>
      </c>
      <c r="AN570" s="15">
        <v>4</v>
      </c>
      <c r="AO570" s="15">
        <v>20</v>
      </c>
      <c r="AP570" s="15">
        <v>21</v>
      </c>
      <c r="AQ570" s="14" t="s">
        <v>1275</v>
      </c>
      <c r="AR570" s="15" t="s">
        <v>1279</v>
      </c>
    </row>
    <row r="571" spans="1:44" s="14" customFormat="1" x14ac:dyDescent="0.2">
      <c r="A571" s="14" t="s">
        <v>1068</v>
      </c>
      <c r="B571" s="15" t="s">
        <v>1146</v>
      </c>
      <c r="C571" s="15" t="s">
        <v>1149</v>
      </c>
      <c r="D571" s="14" t="s">
        <v>224</v>
      </c>
      <c r="E571" s="14" t="s">
        <v>505</v>
      </c>
      <c r="G571" s="15" t="s">
        <v>153</v>
      </c>
      <c r="H571" s="14" t="s">
        <v>1165</v>
      </c>
      <c r="I571" s="15"/>
      <c r="M571" s="15"/>
      <c r="N571" s="14">
        <v>1920</v>
      </c>
      <c r="O571" s="17">
        <v>2011</v>
      </c>
      <c r="P571" s="14">
        <v>2011</v>
      </c>
      <c r="V571" s="12" t="s">
        <v>1276</v>
      </c>
      <c r="W571" s="15">
        <v>42</v>
      </c>
      <c r="X571" s="12" t="s">
        <v>1274</v>
      </c>
      <c r="AA571" s="14" t="s">
        <v>1159</v>
      </c>
      <c r="AB571" s="14">
        <v>500</v>
      </c>
      <c r="AC571" s="14">
        <v>0.5</v>
      </c>
      <c r="AD571" s="14" t="s">
        <v>153</v>
      </c>
      <c r="AE571" s="14" t="s">
        <v>1214</v>
      </c>
      <c r="AF571" s="14" t="s">
        <v>153</v>
      </c>
      <c r="AG571" s="14" t="s">
        <v>1273</v>
      </c>
      <c r="AH571" s="14">
        <v>20</v>
      </c>
      <c r="AJ571" s="15" t="s">
        <v>1148</v>
      </c>
      <c r="AK571" s="15">
        <v>42.311999999999998</v>
      </c>
      <c r="AL571" s="14" t="s">
        <v>3004</v>
      </c>
      <c r="AM571" s="14" t="s">
        <v>3003</v>
      </c>
      <c r="AN571" s="15">
        <v>4</v>
      </c>
      <c r="AO571" s="15">
        <v>20</v>
      </c>
      <c r="AP571" s="15">
        <v>21</v>
      </c>
      <c r="AQ571" s="14" t="s">
        <v>1275</v>
      </c>
      <c r="AR571" s="15" t="s">
        <v>1279</v>
      </c>
    </row>
    <row r="572" spans="1:44" s="14" customFormat="1" x14ac:dyDescent="0.2">
      <c r="A572" s="14" t="s">
        <v>1068</v>
      </c>
      <c r="B572" s="15" t="s">
        <v>1146</v>
      </c>
      <c r="C572" s="15" t="s">
        <v>1149</v>
      </c>
      <c r="D572" s="14" t="s">
        <v>224</v>
      </c>
      <c r="E572" s="14" t="s">
        <v>505</v>
      </c>
      <c r="G572" s="15" t="s">
        <v>153</v>
      </c>
      <c r="H572" s="14" t="s">
        <v>1165</v>
      </c>
      <c r="I572" s="15"/>
      <c r="M572" s="15"/>
      <c r="N572" s="14">
        <v>1920</v>
      </c>
      <c r="O572" s="17">
        <v>2011</v>
      </c>
      <c r="P572" s="14">
        <v>2011</v>
      </c>
      <c r="V572" s="12" t="s">
        <v>1276</v>
      </c>
      <c r="W572" s="15">
        <v>56</v>
      </c>
      <c r="X572" s="12" t="s">
        <v>1274</v>
      </c>
      <c r="AA572" s="14" t="s">
        <v>1159</v>
      </c>
      <c r="AB572" s="14">
        <v>500</v>
      </c>
      <c r="AC572" s="14">
        <v>0.5</v>
      </c>
      <c r="AD572" s="14" t="s">
        <v>153</v>
      </c>
      <c r="AE572" s="14" t="s">
        <v>1214</v>
      </c>
      <c r="AF572" s="14" t="s">
        <v>153</v>
      </c>
      <c r="AG572" s="14" t="s">
        <v>1273</v>
      </c>
      <c r="AH572" s="14">
        <v>20</v>
      </c>
      <c r="AJ572" s="15" t="s">
        <v>1148</v>
      </c>
      <c r="AK572" s="15">
        <v>44.561999999999998</v>
      </c>
      <c r="AL572" s="14" t="s">
        <v>3004</v>
      </c>
      <c r="AM572" s="14" t="s">
        <v>3003</v>
      </c>
      <c r="AN572" s="15">
        <v>4</v>
      </c>
      <c r="AO572" s="15">
        <v>20</v>
      </c>
      <c r="AP572" s="15">
        <v>21</v>
      </c>
      <c r="AQ572" s="14" t="s">
        <v>1275</v>
      </c>
      <c r="AR572" s="15" t="s">
        <v>1279</v>
      </c>
    </row>
    <row r="573" spans="1:44" s="14" customFormat="1" x14ac:dyDescent="0.2">
      <c r="A573" s="14" t="s">
        <v>1068</v>
      </c>
      <c r="B573" s="15" t="s">
        <v>1146</v>
      </c>
      <c r="C573" s="15" t="s">
        <v>1149</v>
      </c>
      <c r="D573" s="14" t="s">
        <v>224</v>
      </c>
      <c r="E573" s="14" t="s">
        <v>505</v>
      </c>
      <c r="G573" s="15" t="s">
        <v>153</v>
      </c>
      <c r="H573" s="14" t="s">
        <v>1165</v>
      </c>
      <c r="I573" s="15"/>
      <c r="M573" s="15"/>
      <c r="N573" s="14">
        <v>1920</v>
      </c>
      <c r="O573" s="17">
        <v>2011</v>
      </c>
      <c r="P573" s="14">
        <v>2011</v>
      </c>
      <c r="V573" s="12" t="s">
        <v>1276</v>
      </c>
      <c r="W573" s="15">
        <v>28</v>
      </c>
      <c r="X573" s="12" t="s">
        <v>1274</v>
      </c>
      <c r="AA573" s="14" t="s">
        <v>1159</v>
      </c>
      <c r="AB573" s="14">
        <v>1000</v>
      </c>
      <c r="AC573" s="14">
        <v>0.5</v>
      </c>
      <c r="AD573" s="14" t="s">
        <v>153</v>
      </c>
      <c r="AE573" s="14" t="s">
        <v>1214</v>
      </c>
      <c r="AF573" s="14" t="s">
        <v>153</v>
      </c>
      <c r="AG573" s="14" t="s">
        <v>1273</v>
      </c>
      <c r="AH573" s="14">
        <v>20</v>
      </c>
      <c r="AJ573" s="15" t="s">
        <v>1148</v>
      </c>
      <c r="AK573" s="15">
        <v>17.312000000000001</v>
      </c>
      <c r="AL573" s="14" t="s">
        <v>3004</v>
      </c>
      <c r="AM573" s="14">
        <v>4.1879999999999997</v>
      </c>
      <c r="AN573" s="15">
        <v>4</v>
      </c>
      <c r="AO573" s="15">
        <v>20</v>
      </c>
      <c r="AP573" s="15">
        <v>21</v>
      </c>
      <c r="AQ573" s="14" t="s">
        <v>1275</v>
      </c>
      <c r="AR573" s="15" t="s">
        <v>1279</v>
      </c>
    </row>
    <row r="574" spans="1:44" s="14" customFormat="1" x14ac:dyDescent="0.2">
      <c r="A574" s="14" t="s">
        <v>1068</v>
      </c>
      <c r="B574" s="15" t="s">
        <v>1146</v>
      </c>
      <c r="C574" s="15" t="s">
        <v>1149</v>
      </c>
      <c r="D574" s="14" t="s">
        <v>224</v>
      </c>
      <c r="E574" s="14" t="s">
        <v>505</v>
      </c>
      <c r="G574" s="15" t="s">
        <v>153</v>
      </c>
      <c r="H574" s="14" t="s">
        <v>1165</v>
      </c>
      <c r="I574" s="15"/>
      <c r="M574" s="15"/>
      <c r="N574" s="14">
        <v>1920</v>
      </c>
      <c r="O574" s="17">
        <v>2011</v>
      </c>
      <c r="P574" s="14">
        <v>2011</v>
      </c>
      <c r="V574" s="12" t="s">
        <v>1276</v>
      </c>
      <c r="W574" s="15">
        <v>42</v>
      </c>
      <c r="X574" s="12" t="s">
        <v>1274</v>
      </c>
      <c r="AA574" s="14" t="s">
        <v>1159</v>
      </c>
      <c r="AB574" s="14">
        <v>1000</v>
      </c>
      <c r="AC574" s="14">
        <v>0.5</v>
      </c>
      <c r="AD574" s="14" t="s">
        <v>153</v>
      </c>
      <c r="AE574" s="14" t="s">
        <v>1214</v>
      </c>
      <c r="AF574" s="14" t="s">
        <v>153</v>
      </c>
      <c r="AG574" s="14" t="s">
        <v>1273</v>
      </c>
      <c r="AH574" s="14">
        <v>20</v>
      </c>
      <c r="AJ574" s="15" t="s">
        <v>1148</v>
      </c>
      <c r="AK574" s="15">
        <v>41.561999999999998</v>
      </c>
      <c r="AL574" s="14" t="s">
        <v>3004</v>
      </c>
      <c r="AM574" s="14" t="s">
        <v>3003</v>
      </c>
      <c r="AN574" s="15">
        <v>4</v>
      </c>
      <c r="AO574" s="15">
        <v>20</v>
      </c>
      <c r="AP574" s="15">
        <v>21</v>
      </c>
      <c r="AQ574" s="14" t="s">
        <v>1275</v>
      </c>
      <c r="AR574" s="15" t="s">
        <v>1279</v>
      </c>
    </row>
    <row r="575" spans="1:44" s="14" customFormat="1" x14ac:dyDescent="0.2">
      <c r="A575" s="14" t="s">
        <v>1068</v>
      </c>
      <c r="B575" s="15" t="s">
        <v>1146</v>
      </c>
      <c r="C575" s="15" t="s">
        <v>1149</v>
      </c>
      <c r="D575" s="14" t="s">
        <v>224</v>
      </c>
      <c r="E575" s="14" t="s">
        <v>505</v>
      </c>
      <c r="G575" s="15" t="s">
        <v>153</v>
      </c>
      <c r="H575" s="14" t="s">
        <v>1165</v>
      </c>
      <c r="I575" s="15"/>
      <c r="M575" s="15"/>
      <c r="N575" s="14">
        <v>1920</v>
      </c>
      <c r="O575" s="17">
        <v>2011</v>
      </c>
      <c r="P575" s="14">
        <v>2011</v>
      </c>
      <c r="V575" s="12" t="s">
        <v>1276</v>
      </c>
      <c r="W575" s="15">
        <v>56</v>
      </c>
      <c r="X575" s="12" t="s">
        <v>1274</v>
      </c>
      <c r="AA575" s="14" t="s">
        <v>1159</v>
      </c>
      <c r="AB575" s="14">
        <v>1000</v>
      </c>
      <c r="AC575" s="14">
        <v>0.5</v>
      </c>
      <c r="AD575" s="14" t="s">
        <v>153</v>
      </c>
      <c r="AE575" s="14" t="s">
        <v>1214</v>
      </c>
      <c r="AF575" s="14" t="s">
        <v>153</v>
      </c>
      <c r="AG575" s="14" t="s">
        <v>1273</v>
      </c>
      <c r="AH575" s="14">
        <v>20</v>
      </c>
      <c r="AJ575" s="15" t="s">
        <v>1148</v>
      </c>
      <c r="AK575" s="15">
        <v>45.311999999999998</v>
      </c>
      <c r="AL575" s="14" t="s">
        <v>3004</v>
      </c>
      <c r="AM575" s="14" t="s">
        <v>3003</v>
      </c>
      <c r="AN575" s="15">
        <v>4</v>
      </c>
      <c r="AO575" s="15">
        <v>20</v>
      </c>
      <c r="AP575" s="15">
        <v>21</v>
      </c>
      <c r="AQ575" s="14" t="s">
        <v>1275</v>
      </c>
      <c r="AR575" s="15" t="s">
        <v>1279</v>
      </c>
    </row>
    <row r="576" spans="1:44" s="14" customFormat="1" x14ac:dyDescent="0.2">
      <c r="A576" s="14" t="s">
        <v>1068</v>
      </c>
      <c r="B576" s="15" t="s">
        <v>1146</v>
      </c>
      <c r="C576" s="15" t="s">
        <v>1149</v>
      </c>
      <c r="D576" s="14" t="s">
        <v>224</v>
      </c>
      <c r="E576" s="14" t="s">
        <v>505</v>
      </c>
      <c r="G576" s="15" t="s">
        <v>153</v>
      </c>
      <c r="H576" s="14" t="s">
        <v>1165</v>
      </c>
      <c r="I576" s="15"/>
      <c r="M576" s="15"/>
      <c r="N576" s="14">
        <v>1920</v>
      </c>
      <c r="O576" s="17">
        <v>2011</v>
      </c>
      <c r="P576" s="14">
        <v>2011</v>
      </c>
      <c r="V576" s="12" t="s">
        <v>1276</v>
      </c>
      <c r="W576" s="15">
        <v>28</v>
      </c>
      <c r="X576" s="12" t="s">
        <v>1274</v>
      </c>
      <c r="AA576" s="14" t="s">
        <v>1159</v>
      </c>
      <c r="AB576" s="14">
        <v>0</v>
      </c>
      <c r="AC576" s="14">
        <v>0.5</v>
      </c>
      <c r="AD576" s="14" t="s">
        <v>153</v>
      </c>
      <c r="AE576" s="14" t="s">
        <v>1214</v>
      </c>
      <c r="AF576" s="14" t="s">
        <v>153</v>
      </c>
      <c r="AG576" s="14" t="s">
        <v>1273</v>
      </c>
      <c r="AH576" s="14">
        <v>20</v>
      </c>
      <c r="AJ576" s="15" t="s">
        <v>1278</v>
      </c>
      <c r="AK576" s="15">
        <v>0</v>
      </c>
      <c r="AL576" s="14" t="s">
        <v>3004</v>
      </c>
      <c r="AM576" s="14">
        <v>0</v>
      </c>
      <c r="AN576" s="15">
        <v>4</v>
      </c>
      <c r="AO576" s="15">
        <v>20</v>
      </c>
      <c r="AP576" s="15">
        <v>21</v>
      </c>
      <c r="AQ576" s="14" t="s">
        <v>1275</v>
      </c>
      <c r="AR576" s="15" t="s">
        <v>1279</v>
      </c>
    </row>
    <row r="577" spans="1:44" s="14" customFormat="1" x14ac:dyDescent="0.2">
      <c r="A577" s="14" t="s">
        <v>1068</v>
      </c>
      <c r="B577" s="15" t="s">
        <v>1146</v>
      </c>
      <c r="C577" s="15" t="s">
        <v>1149</v>
      </c>
      <c r="D577" s="14" t="s">
        <v>224</v>
      </c>
      <c r="E577" s="14" t="s">
        <v>505</v>
      </c>
      <c r="G577" s="15" t="s">
        <v>153</v>
      </c>
      <c r="H577" s="14" t="s">
        <v>1165</v>
      </c>
      <c r="I577" s="15"/>
      <c r="M577" s="15"/>
      <c r="N577" s="14">
        <v>1920</v>
      </c>
      <c r="O577" s="17">
        <v>2011</v>
      </c>
      <c r="P577" s="14">
        <v>2011</v>
      </c>
      <c r="V577" s="12" t="s">
        <v>1276</v>
      </c>
      <c r="W577" s="15">
        <v>42</v>
      </c>
      <c r="X577" s="12" t="s">
        <v>1274</v>
      </c>
      <c r="AA577" s="14" t="s">
        <v>1159</v>
      </c>
      <c r="AB577" s="14">
        <v>0</v>
      </c>
      <c r="AC577" s="14">
        <v>0.5</v>
      </c>
      <c r="AD577" s="14" t="s">
        <v>153</v>
      </c>
      <c r="AE577" s="14" t="s">
        <v>1214</v>
      </c>
      <c r="AF577" s="14" t="s">
        <v>153</v>
      </c>
      <c r="AG577" s="14" t="s">
        <v>1273</v>
      </c>
      <c r="AH577" s="14">
        <v>20</v>
      </c>
      <c r="AJ577" s="15" t="s">
        <v>1278</v>
      </c>
      <c r="AK577" s="15">
        <v>0</v>
      </c>
      <c r="AL577" s="14" t="s">
        <v>3004</v>
      </c>
      <c r="AM577" s="14">
        <v>0</v>
      </c>
      <c r="AN577" s="15">
        <v>4</v>
      </c>
      <c r="AO577" s="15">
        <v>20</v>
      </c>
      <c r="AP577" s="15">
        <v>21</v>
      </c>
      <c r="AQ577" s="14" t="s">
        <v>1275</v>
      </c>
      <c r="AR577" s="15" t="s">
        <v>1279</v>
      </c>
    </row>
    <row r="578" spans="1:44" s="14" customFormat="1" x14ac:dyDescent="0.2">
      <c r="A578" s="14" t="s">
        <v>1068</v>
      </c>
      <c r="B578" s="15" t="s">
        <v>1146</v>
      </c>
      <c r="C578" s="15" t="s">
        <v>1149</v>
      </c>
      <c r="D578" s="14" t="s">
        <v>224</v>
      </c>
      <c r="E578" s="14" t="s">
        <v>505</v>
      </c>
      <c r="G578" s="15" t="s">
        <v>153</v>
      </c>
      <c r="H578" s="14" t="s">
        <v>1165</v>
      </c>
      <c r="I578" s="15"/>
      <c r="M578" s="15"/>
      <c r="N578" s="14">
        <v>1920</v>
      </c>
      <c r="O578" s="17">
        <v>2011</v>
      </c>
      <c r="P578" s="14">
        <v>2011</v>
      </c>
      <c r="V578" s="12" t="s">
        <v>1276</v>
      </c>
      <c r="W578" s="15">
        <v>56</v>
      </c>
      <c r="X578" s="12" t="s">
        <v>1274</v>
      </c>
      <c r="AA578" s="14" t="s">
        <v>1159</v>
      </c>
      <c r="AB578" s="14">
        <v>0</v>
      </c>
      <c r="AC578" s="14">
        <v>0.5</v>
      </c>
      <c r="AD578" s="14" t="s">
        <v>153</v>
      </c>
      <c r="AE578" s="14" t="s">
        <v>1214</v>
      </c>
      <c r="AF578" s="14" t="s">
        <v>153</v>
      </c>
      <c r="AG578" s="14" t="s">
        <v>1273</v>
      </c>
      <c r="AH578" s="14">
        <v>20</v>
      </c>
      <c r="AJ578" s="15" t="s">
        <v>1278</v>
      </c>
      <c r="AK578" s="15">
        <v>0.11700000000000001</v>
      </c>
      <c r="AL578" s="14" t="s">
        <v>3004</v>
      </c>
      <c r="AM578" s="14">
        <v>0</v>
      </c>
      <c r="AN578" s="15">
        <v>4</v>
      </c>
      <c r="AO578" s="15">
        <v>20</v>
      </c>
      <c r="AP578" s="15">
        <v>21</v>
      </c>
      <c r="AQ578" s="14" t="s">
        <v>1275</v>
      </c>
      <c r="AR578" s="15" t="s">
        <v>1279</v>
      </c>
    </row>
    <row r="579" spans="1:44" s="14" customFormat="1" x14ac:dyDescent="0.2">
      <c r="A579" s="14" t="s">
        <v>1068</v>
      </c>
      <c r="B579" s="15" t="s">
        <v>1146</v>
      </c>
      <c r="C579" s="15" t="s">
        <v>1149</v>
      </c>
      <c r="D579" s="14" t="s">
        <v>224</v>
      </c>
      <c r="E579" s="14" t="s">
        <v>505</v>
      </c>
      <c r="G579" s="15" t="s">
        <v>153</v>
      </c>
      <c r="H579" s="14" t="s">
        <v>1165</v>
      </c>
      <c r="I579" s="15"/>
      <c r="M579" s="15"/>
      <c r="N579" s="14">
        <v>1920</v>
      </c>
      <c r="O579" s="17">
        <v>2011</v>
      </c>
      <c r="P579" s="14">
        <v>2011</v>
      </c>
      <c r="V579" s="12" t="s">
        <v>1276</v>
      </c>
      <c r="W579" s="15">
        <v>28</v>
      </c>
      <c r="X579" s="12" t="s">
        <v>1274</v>
      </c>
      <c r="AA579" s="14" t="s">
        <v>1159</v>
      </c>
      <c r="AB579" s="14">
        <v>250</v>
      </c>
      <c r="AC579" s="14">
        <v>0.5</v>
      </c>
      <c r="AD579" s="14" t="s">
        <v>153</v>
      </c>
      <c r="AE579" s="14" t="s">
        <v>1214</v>
      </c>
      <c r="AF579" s="14" t="s">
        <v>153</v>
      </c>
      <c r="AG579" s="14" t="s">
        <v>1273</v>
      </c>
      <c r="AH579" s="14">
        <v>20</v>
      </c>
      <c r="AJ579" s="15" t="s">
        <v>1278</v>
      </c>
      <c r="AK579" s="15">
        <v>3.2000000000000001E-2</v>
      </c>
      <c r="AL579" s="14" t="s">
        <v>3004</v>
      </c>
      <c r="AM579" s="14">
        <v>0</v>
      </c>
      <c r="AN579" s="15">
        <v>4</v>
      </c>
      <c r="AO579" s="15">
        <v>20</v>
      </c>
      <c r="AP579" s="15">
        <v>21</v>
      </c>
      <c r="AQ579" s="14" t="s">
        <v>1275</v>
      </c>
      <c r="AR579" s="15" t="s">
        <v>1279</v>
      </c>
    </row>
    <row r="580" spans="1:44" s="14" customFormat="1" x14ac:dyDescent="0.2">
      <c r="A580" s="14" t="s">
        <v>1068</v>
      </c>
      <c r="B580" s="15" t="s">
        <v>1146</v>
      </c>
      <c r="C580" s="15" t="s">
        <v>1149</v>
      </c>
      <c r="D580" s="14" t="s">
        <v>224</v>
      </c>
      <c r="E580" s="14" t="s">
        <v>505</v>
      </c>
      <c r="G580" s="15" t="s">
        <v>153</v>
      </c>
      <c r="H580" s="14" t="s">
        <v>1165</v>
      </c>
      <c r="I580" s="15"/>
      <c r="M580" s="15"/>
      <c r="N580" s="14">
        <v>1920</v>
      </c>
      <c r="O580" s="17">
        <v>2011</v>
      </c>
      <c r="P580" s="14">
        <v>2011</v>
      </c>
      <c r="V580" s="12" t="s">
        <v>1276</v>
      </c>
      <c r="W580" s="15">
        <v>42</v>
      </c>
      <c r="X580" s="12" t="s">
        <v>1274</v>
      </c>
      <c r="AA580" s="14" t="s">
        <v>1159</v>
      </c>
      <c r="AB580" s="14">
        <v>250</v>
      </c>
      <c r="AC580" s="14">
        <v>0.5</v>
      </c>
      <c r="AD580" s="14" t="s">
        <v>153</v>
      </c>
      <c r="AE580" s="14" t="s">
        <v>1214</v>
      </c>
      <c r="AF580" s="14" t="s">
        <v>153</v>
      </c>
      <c r="AG580" s="14" t="s">
        <v>1273</v>
      </c>
      <c r="AH580" s="14">
        <v>20</v>
      </c>
      <c r="AJ580" s="15" t="s">
        <v>1278</v>
      </c>
      <c r="AK580" s="15">
        <v>0.10100000000000001</v>
      </c>
      <c r="AL580" s="14" t="s">
        <v>3004</v>
      </c>
      <c r="AM580" s="14">
        <v>0</v>
      </c>
      <c r="AN580" s="15">
        <v>4</v>
      </c>
      <c r="AO580" s="15">
        <v>20</v>
      </c>
      <c r="AP580" s="15">
        <v>21</v>
      </c>
      <c r="AQ580" s="14" t="s">
        <v>1275</v>
      </c>
      <c r="AR580" s="15" t="s">
        <v>1279</v>
      </c>
    </row>
    <row r="581" spans="1:44" s="14" customFormat="1" x14ac:dyDescent="0.2">
      <c r="A581" s="14" t="s">
        <v>1068</v>
      </c>
      <c r="B581" s="15" t="s">
        <v>1146</v>
      </c>
      <c r="C581" s="15" t="s">
        <v>1149</v>
      </c>
      <c r="D581" s="14" t="s">
        <v>224</v>
      </c>
      <c r="E581" s="14" t="s">
        <v>505</v>
      </c>
      <c r="G581" s="15" t="s">
        <v>153</v>
      </c>
      <c r="H581" s="14" t="s">
        <v>1165</v>
      </c>
      <c r="I581" s="15"/>
      <c r="M581" s="15"/>
      <c r="N581" s="14">
        <v>1920</v>
      </c>
      <c r="O581" s="17">
        <v>2011</v>
      </c>
      <c r="P581" s="14">
        <v>2011</v>
      </c>
      <c r="V581" s="12" t="s">
        <v>1276</v>
      </c>
      <c r="W581" s="15">
        <v>56</v>
      </c>
      <c r="X581" s="12" t="s">
        <v>1274</v>
      </c>
      <c r="AA581" s="14" t="s">
        <v>1159</v>
      </c>
      <c r="AB581" s="14">
        <v>250</v>
      </c>
      <c r="AC581" s="14">
        <v>0.5</v>
      </c>
      <c r="AD581" s="14" t="s">
        <v>153</v>
      </c>
      <c r="AE581" s="14" t="s">
        <v>1214</v>
      </c>
      <c r="AF581" s="14" t="s">
        <v>153</v>
      </c>
      <c r="AG581" s="14" t="s">
        <v>1273</v>
      </c>
      <c r="AH581" s="14">
        <v>20</v>
      </c>
      <c r="AJ581" s="15" t="s">
        <v>1278</v>
      </c>
      <c r="AK581" s="15">
        <v>0.16500000000000001</v>
      </c>
      <c r="AL581" s="14" t="s">
        <v>3004</v>
      </c>
      <c r="AM581" s="14">
        <v>0</v>
      </c>
      <c r="AN581" s="15">
        <v>4</v>
      </c>
      <c r="AO581" s="15">
        <v>20</v>
      </c>
      <c r="AP581" s="15">
        <v>21</v>
      </c>
      <c r="AQ581" s="14" t="s">
        <v>1275</v>
      </c>
      <c r="AR581" s="15" t="s">
        <v>1279</v>
      </c>
    </row>
    <row r="582" spans="1:44" s="14" customFormat="1" x14ac:dyDescent="0.2">
      <c r="A582" s="14" t="s">
        <v>1068</v>
      </c>
      <c r="B582" s="15" t="s">
        <v>1146</v>
      </c>
      <c r="C582" s="15" t="s">
        <v>1149</v>
      </c>
      <c r="D582" s="14" t="s">
        <v>224</v>
      </c>
      <c r="E582" s="14" t="s">
        <v>505</v>
      </c>
      <c r="G582" s="15" t="s">
        <v>153</v>
      </c>
      <c r="H582" s="14" t="s">
        <v>1165</v>
      </c>
      <c r="I582" s="15"/>
      <c r="M582" s="15"/>
      <c r="N582" s="14">
        <v>1920</v>
      </c>
      <c r="O582" s="17">
        <v>2011</v>
      </c>
      <c r="P582" s="14">
        <v>2011</v>
      </c>
      <c r="V582" s="12" t="s">
        <v>1276</v>
      </c>
      <c r="W582" s="15">
        <v>28</v>
      </c>
      <c r="X582" s="12" t="s">
        <v>1274</v>
      </c>
      <c r="AA582" s="14" t="s">
        <v>1159</v>
      </c>
      <c r="AB582" s="14">
        <v>500</v>
      </c>
      <c r="AC582" s="14">
        <v>0.5</v>
      </c>
      <c r="AD582" s="14" t="s">
        <v>153</v>
      </c>
      <c r="AE582" s="14" t="s">
        <v>1214</v>
      </c>
      <c r="AF582" s="14" t="s">
        <v>153</v>
      </c>
      <c r="AG582" s="14" t="s">
        <v>1273</v>
      </c>
      <c r="AH582" s="14">
        <v>20</v>
      </c>
      <c r="AJ582" s="15" t="s">
        <v>1278</v>
      </c>
      <c r="AK582" s="15">
        <v>0.22600000000000001</v>
      </c>
      <c r="AL582" s="14" t="s">
        <v>3004</v>
      </c>
      <c r="AM582" s="14">
        <v>0</v>
      </c>
      <c r="AN582" s="15">
        <v>4</v>
      </c>
      <c r="AO582" s="15">
        <v>20</v>
      </c>
      <c r="AP582" s="15">
        <v>21</v>
      </c>
      <c r="AQ582" s="14" t="s">
        <v>1275</v>
      </c>
      <c r="AR582" s="15" t="s">
        <v>1279</v>
      </c>
    </row>
    <row r="583" spans="1:44" s="14" customFormat="1" x14ac:dyDescent="0.2">
      <c r="A583" s="14" t="s">
        <v>1068</v>
      </c>
      <c r="B583" s="15" t="s">
        <v>1146</v>
      </c>
      <c r="C583" s="15" t="s">
        <v>1149</v>
      </c>
      <c r="D583" s="14" t="s">
        <v>224</v>
      </c>
      <c r="E583" s="14" t="s">
        <v>505</v>
      </c>
      <c r="G583" s="15" t="s">
        <v>153</v>
      </c>
      <c r="H583" s="14" t="s">
        <v>1165</v>
      </c>
      <c r="I583" s="15"/>
      <c r="M583" s="15"/>
      <c r="N583" s="14">
        <v>1920</v>
      </c>
      <c r="O583" s="17">
        <v>2011</v>
      </c>
      <c r="P583" s="14">
        <v>2011</v>
      </c>
      <c r="V583" s="12" t="s">
        <v>1276</v>
      </c>
      <c r="W583" s="15">
        <v>42</v>
      </c>
      <c r="X583" s="12" t="s">
        <v>1274</v>
      </c>
      <c r="AA583" s="14" t="s">
        <v>1159</v>
      </c>
      <c r="AB583" s="14">
        <v>500</v>
      </c>
      <c r="AC583" s="14">
        <v>0.5</v>
      </c>
      <c r="AD583" s="14" t="s">
        <v>153</v>
      </c>
      <c r="AE583" s="14" t="s">
        <v>1214</v>
      </c>
      <c r="AF583" s="14" t="s">
        <v>153</v>
      </c>
      <c r="AG583" s="14" t="s">
        <v>1273</v>
      </c>
      <c r="AH583" s="14">
        <v>20</v>
      </c>
      <c r="AJ583" s="15" t="s">
        <v>1278</v>
      </c>
      <c r="AK583" s="15">
        <v>1.73</v>
      </c>
      <c r="AL583" s="14" t="s">
        <v>3004</v>
      </c>
      <c r="AM583" s="14" t="s">
        <v>3003</v>
      </c>
      <c r="AN583" s="15">
        <v>4</v>
      </c>
      <c r="AO583" s="15">
        <v>20</v>
      </c>
      <c r="AP583" s="15">
        <v>21</v>
      </c>
      <c r="AQ583" s="14" t="s">
        <v>1275</v>
      </c>
      <c r="AR583" s="15" t="s">
        <v>1279</v>
      </c>
    </row>
    <row r="584" spans="1:44" s="14" customFormat="1" x14ac:dyDescent="0.2">
      <c r="A584" s="14" t="s">
        <v>1068</v>
      </c>
      <c r="B584" s="15" t="s">
        <v>1146</v>
      </c>
      <c r="C584" s="15" t="s">
        <v>1149</v>
      </c>
      <c r="D584" s="14" t="s">
        <v>224</v>
      </c>
      <c r="E584" s="14" t="s">
        <v>505</v>
      </c>
      <c r="G584" s="15" t="s">
        <v>153</v>
      </c>
      <c r="H584" s="14" t="s">
        <v>1165</v>
      </c>
      <c r="I584" s="15"/>
      <c r="M584" s="15"/>
      <c r="N584" s="14">
        <v>1920</v>
      </c>
      <c r="O584" s="17">
        <v>2011</v>
      </c>
      <c r="P584" s="14">
        <v>2011</v>
      </c>
      <c r="V584" s="12" t="s">
        <v>1276</v>
      </c>
      <c r="W584" s="15">
        <v>56</v>
      </c>
      <c r="X584" s="12" t="s">
        <v>1274</v>
      </c>
      <c r="AA584" s="14" t="s">
        <v>1159</v>
      </c>
      <c r="AB584" s="14">
        <v>500</v>
      </c>
      <c r="AC584" s="14">
        <v>0.5</v>
      </c>
      <c r="AD584" s="14" t="s">
        <v>153</v>
      </c>
      <c r="AE584" s="14" t="s">
        <v>1214</v>
      </c>
      <c r="AF584" s="14" t="s">
        <v>153</v>
      </c>
      <c r="AG584" s="14" t="s">
        <v>1273</v>
      </c>
      <c r="AH584" s="14">
        <v>20</v>
      </c>
      <c r="AJ584" s="15" t="s">
        <v>1278</v>
      </c>
      <c r="AK584" s="15">
        <v>2.278</v>
      </c>
      <c r="AL584" s="14" t="s">
        <v>3004</v>
      </c>
      <c r="AM584" s="14" t="s">
        <v>3003</v>
      </c>
      <c r="AN584" s="15">
        <v>4</v>
      </c>
      <c r="AO584" s="15">
        <v>20</v>
      </c>
      <c r="AP584" s="15">
        <v>21</v>
      </c>
      <c r="AQ584" s="14" t="s">
        <v>1275</v>
      </c>
      <c r="AR584" s="15" t="s">
        <v>1279</v>
      </c>
    </row>
    <row r="585" spans="1:44" s="14" customFormat="1" x14ac:dyDescent="0.2">
      <c r="A585" s="14" t="s">
        <v>1068</v>
      </c>
      <c r="B585" s="15" t="s">
        <v>1146</v>
      </c>
      <c r="C585" s="15" t="s">
        <v>1149</v>
      </c>
      <c r="D585" s="14" t="s">
        <v>224</v>
      </c>
      <c r="E585" s="14" t="s">
        <v>505</v>
      </c>
      <c r="G585" s="15" t="s">
        <v>153</v>
      </c>
      <c r="H585" s="14" t="s">
        <v>1165</v>
      </c>
      <c r="I585" s="15"/>
      <c r="M585" s="15"/>
      <c r="N585" s="14">
        <v>1920</v>
      </c>
      <c r="O585" s="17">
        <v>2011</v>
      </c>
      <c r="P585" s="14">
        <v>2011</v>
      </c>
      <c r="V585" s="12" t="s">
        <v>1276</v>
      </c>
      <c r="W585" s="15">
        <v>28</v>
      </c>
      <c r="X585" s="12" t="s">
        <v>1274</v>
      </c>
      <c r="AA585" s="14" t="s">
        <v>1159</v>
      </c>
      <c r="AB585" s="14">
        <v>1000</v>
      </c>
      <c r="AC585" s="14">
        <v>0.5</v>
      </c>
      <c r="AD585" s="14" t="s">
        <v>153</v>
      </c>
      <c r="AE585" s="14" t="s">
        <v>1214</v>
      </c>
      <c r="AF585" s="14" t="s">
        <v>153</v>
      </c>
      <c r="AG585" s="14" t="s">
        <v>1273</v>
      </c>
      <c r="AH585" s="14">
        <v>20</v>
      </c>
      <c r="AJ585" s="15" t="s">
        <v>1278</v>
      </c>
      <c r="AK585" s="15">
        <v>0.31</v>
      </c>
      <c r="AL585" s="14" t="s">
        <v>3004</v>
      </c>
      <c r="AM585" s="14">
        <v>0</v>
      </c>
      <c r="AN585" s="15">
        <v>4</v>
      </c>
      <c r="AO585" s="15">
        <v>20</v>
      </c>
      <c r="AP585" s="15">
        <v>21</v>
      </c>
      <c r="AQ585" s="14" t="s">
        <v>1275</v>
      </c>
      <c r="AR585" s="15" t="s">
        <v>1279</v>
      </c>
    </row>
    <row r="586" spans="1:44" s="14" customFormat="1" x14ac:dyDescent="0.2">
      <c r="A586" s="14" t="s">
        <v>1068</v>
      </c>
      <c r="B586" s="15" t="s">
        <v>1146</v>
      </c>
      <c r="C586" s="15" t="s">
        <v>1149</v>
      </c>
      <c r="D586" s="14" t="s">
        <v>224</v>
      </c>
      <c r="E586" s="14" t="s">
        <v>505</v>
      </c>
      <c r="G586" s="15" t="s">
        <v>153</v>
      </c>
      <c r="H586" s="14" t="s">
        <v>1165</v>
      </c>
      <c r="I586" s="15"/>
      <c r="M586" s="15"/>
      <c r="N586" s="14">
        <v>1920</v>
      </c>
      <c r="O586" s="17">
        <v>2011</v>
      </c>
      <c r="P586" s="14">
        <v>2011</v>
      </c>
      <c r="V586" s="12" t="s">
        <v>1276</v>
      </c>
      <c r="W586" s="15">
        <v>42</v>
      </c>
      <c r="X586" s="12" t="s">
        <v>1274</v>
      </c>
      <c r="AA586" s="14" t="s">
        <v>1159</v>
      </c>
      <c r="AB586" s="14">
        <v>1000</v>
      </c>
      <c r="AC586" s="14">
        <v>0.5</v>
      </c>
      <c r="AD586" s="14" t="s">
        <v>153</v>
      </c>
      <c r="AE586" s="14" t="s">
        <v>1214</v>
      </c>
      <c r="AF586" s="14" t="s">
        <v>153</v>
      </c>
      <c r="AG586" s="14" t="s">
        <v>1273</v>
      </c>
      <c r="AH586" s="14">
        <v>20</v>
      </c>
      <c r="AJ586" s="15" t="s">
        <v>1278</v>
      </c>
      <c r="AK586" s="15">
        <v>2.794</v>
      </c>
      <c r="AL586" s="14" t="s">
        <v>3004</v>
      </c>
      <c r="AM586" s="14" t="s">
        <v>3003</v>
      </c>
      <c r="AN586" s="15">
        <v>4</v>
      </c>
      <c r="AO586" s="15">
        <v>20</v>
      </c>
      <c r="AP586" s="15">
        <v>21</v>
      </c>
      <c r="AQ586" s="14" t="s">
        <v>1275</v>
      </c>
      <c r="AR586" s="15" t="s">
        <v>1279</v>
      </c>
    </row>
    <row r="587" spans="1:44" s="14" customFormat="1" x14ac:dyDescent="0.2">
      <c r="A587" s="14" t="s">
        <v>1068</v>
      </c>
      <c r="B587" s="15" t="s">
        <v>1146</v>
      </c>
      <c r="C587" s="15" t="s">
        <v>1149</v>
      </c>
      <c r="D587" s="14" t="s">
        <v>224</v>
      </c>
      <c r="E587" s="14" t="s">
        <v>505</v>
      </c>
      <c r="G587" s="15" t="s">
        <v>153</v>
      </c>
      <c r="H587" s="14" t="s">
        <v>1165</v>
      </c>
      <c r="I587" s="15"/>
      <c r="M587" s="15"/>
      <c r="N587" s="14">
        <v>1920</v>
      </c>
      <c r="O587" s="17">
        <v>2011</v>
      </c>
      <c r="P587" s="14">
        <v>2011</v>
      </c>
      <c r="V587" s="12" t="s">
        <v>1276</v>
      </c>
      <c r="W587" s="15">
        <v>56</v>
      </c>
      <c r="X587" s="12" t="s">
        <v>1274</v>
      </c>
      <c r="AA587" s="14" t="s">
        <v>1159</v>
      </c>
      <c r="AB587" s="14">
        <v>1000</v>
      </c>
      <c r="AC587" s="14">
        <v>0.5</v>
      </c>
      <c r="AD587" s="14" t="s">
        <v>153</v>
      </c>
      <c r="AE587" s="14" t="s">
        <v>1214</v>
      </c>
      <c r="AF587" s="14" t="s">
        <v>153</v>
      </c>
      <c r="AG587" s="14" t="s">
        <v>1273</v>
      </c>
      <c r="AH587" s="14">
        <v>20</v>
      </c>
      <c r="AJ587" s="15" t="s">
        <v>1278</v>
      </c>
      <c r="AK587" s="15">
        <v>2.714</v>
      </c>
      <c r="AL587" s="14" t="s">
        <v>3004</v>
      </c>
      <c r="AM587" s="14" t="s">
        <v>3003</v>
      </c>
      <c r="AN587" s="15">
        <v>4</v>
      </c>
      <c r="AO587" s="15">
        <v>20</v>
      </c>
      <c r="AP587" s="15">
        <v>21</v>
      </c>
      <c r="AQ587" s="14" t="s">
        <v>1275</v>
      </c>
      <c r="AR587" s="15" t="s">
        <v>1279</v>
      </c>
    </row>
    <row r="588" spans="1:44" s="14" customFormat="1" x14ac:dyDescent="0.2">
      <c r="A588" t="s">
        <v>1073</v>
      </c>
      <c r="B588" s="15" t="s">
        <v>1146</v>
      </c>
      <c r="C588" s="15" t="s">
        <v>1149</v>
      </c>
      <c r="D588" t="s">
        <v>420</v>
      </c>
      <c r="E588" t="s">
        <v>1072</v>
      </c>
      <c r="G588" s="15" t="s">
        <v>153</v>
      </c>
      <c r="H588" s="14" t="s">
        <v>1165</v>
      </c>
      <c r="I588" s="15" t="s">
        <v>1280</v>
      </c>
      <c r="M588" s="15"/>
      <c r="O588" s="17" t="s">
        <v>1281</v>
      </c>
      <c r="T588" s="14">
        <v>4</v>
      </c>
      <c r="V588" s="12"/>
      <c r="W588" s="15"/>
      <c r="X588" s="12" t="s">
        <v>1201</v>
      </c>
      <c r="Z588" s="14">
        <v>0</v>
      </c>
      <c r="AF588" s="14" t="s">
        <v>153</v>
      </c>
      <c r="AG588" s="14" t="s">
        <v>1160</v>
      </c>
      <c r="AH588" s="14">
        <v>1440</v>
      </c>
      <c r="AI588" s="14" t="s">
        <v>1165</v>
      </c>
      <c r="AJ588" s="15" t="s">
        <v>1148</v>
      </c>
      <c r="AK588" s="15">
        <v>0</v>
      </c>
      <c r="AL588" s="14" t="s">
        <v>1277</v>
      </c>
      <c r="AM588" s="14">
        <v>0</v>
      </c>
      <c r="AN588" s="15">
        <v>4</v>
      </c>
      <c r="AO588" s="15">
        <v>100</v>
      </c>
      <c r="AP588" s="15">
        <v>0.99</v>
      </c>
      <c r="AQ588" s="14" t="s">
        <v>1282</v>
      </c>
      <c r="AR588" s="15" t="s">
        <v>1155</v>
      </c>
    </row>
    <row r="589" spans="1:44" s="14" customFormat="1" x14ac:dyDescent="0.2">
      <c r="A589" t="s">
        <v>1073</v>
      </c>
      <c r="B589" s="15" t="s">
        <v>1146</v>
      </c>
      <c r="C589" s="15" t="s">
        <v>1149</v>
      </c>
      <c r="D589" t="s">
        <v>420</v>
      </c>
      <c r="E589" t="s">
        <v>1072</v>
      </c>
      <c r="G589" s="15" t="s">
        <v>153</v>
      </c>
      <c r="H589" s="14" t="s">
        <v>1165</v>
      </c>
      <c r="I589" s="15" t="s">
        <v>1280</v>
      </c>
      <c r="M589" s="15"/>
      <c r="O589" s="17" t="s">
        <v>1281</v>
      </c>
      <c r="T589" s="14">
        <v>4</v>
      </c>
      <c r="V589" s="12"/>
      <c r="W589" s="15"/>
      <c r="X589" s="12" t="s">
        <v>1201</v>
      </c>
      <c r="Z589" s="14">
        <v>0</v>
      </c>
      <c r="AF589" s="14" t="s">
        <v>153</v>
      </c>
      <c r="AG589" s="14" t="s">
        <v>1160</v>
      </c>
      <c r="AH589" s="14">
        <v>1440</v>
      </c>
      <c r="AI589" s="14" t="s">
        <v>1165</v>
      </c>
      <c r="AJ589" s="15" t="s">
        <v>1148</v>
      </c>
      <c r="AK589" s="15">
        <v>0</v>
      </c>
      <c r="AL589" s="14" t="s">
        <v>1277</v>
      </c>
      <c r="AM589" s="14">
        <v>0</v>
      </c>
      <c r="AN589" s="15">
        <v>4</v>
      </c>
      <c r="AO589" s="15">
        <v>100</v>
      </c>
      <c r="AP589" s="15">
        <v>4</v>
      </c>
      <c r="AQ589" s="14" t="s">
        <v>1282</v>
      </c>
      <c r="AR589" s="15" t="s">
        <v>1155</v>
      </c>
    </row>
    <row r="590" spans="1:44" s="14" customFormat="1" x14ac:dyDescent="0.2">
      <c r="A590" t="s">
        <v>1073</v>
      </c>
      <c r="B590" s="15" t="s">
        <v>1146</v>
      </c>
      <c r="C590" s="15" t="s">
        <v>1149</v>
      </c>
      <c r="D590" t="s">
        <v>420</v>
      </c>
      <c r="E590" t="s">
        <v>1072</v>
      </c>
      <c r="G590" s="15" t="s">
        <v>153</v>
      </c>
      <c r="H590" s="14" t="s">
        <v>1165</v>
      </c>
      <c r="I590" s="15" t="s">
        <v>1280</v>
      </c>
      <c r="M590" s="15"/>
      <c r="O590" s="17" t="s">
        <v>1281</v>
      </c>
      <c r="T590" s="14">
        <v>4</v>
      </c>
      <c r="V590" s="12"/>
      <c r="W590" s="15"/>
      <c r="X590" s="12" t="s">
        <v>1201</v>
      </c>
      <c r="Z590" s="14">
        <v>0</v>
      </c>
      <c r="AF590" s="14" t="s">
        <v>153</v>
      </c>
      <c r="AG590" s="14" t="s">
        <v>1160</v>
      </c>
      <c r="AH590" s="14">
        <v>1440</v>
      </c>
      <c r="AI590" s="14" t="s">
        <v>1165</v>
      </c>
      <c r="AJ590" s="15" t="s">
        <v>1148</v>
      </c>
      <c r="AK590" s="15">
        <v>4.8499999999999996</v>
      </c>
      <c r="AL590" s="14" t="s">
        <v>1277</v>
      </c>
      <c r="AM590" s="14">
        <v>2.4350000000000001</v>
      </c>
      <c r="AN590" s="15">
        <v>4</v>
      </c>
      <c r="AO590" s="15">
        <v>100</v>
      </c>
      <c r="AP590" s="15">
        <v>5.87</v>
      </c>
      <c r="AQ590" s="14" t="s">
        <v>1282</v>
      </c>
      <c r="AR590" s="15" t="s">
        <v>1155</v>
      </c>
    </row>
    <row r="591" spans="1:44" s="14" customFormat="1" x14ac:dyDescent="0.2">
      <c r="A591" t="s">
        <v>1073</v>
      </c>
      <c r="B591" s="15" t="s">
        <v>1146</v>
      </c>
      <c r="C591" s="15" t="s">
        <v>1149</v>
      </c>
      <c r="D591" t="s">
        <v>420</v>
      </c>
      <c r="E591" t="s">
        <v>1072</v>
      </c>
      <c r="G591" s="15" t="s">
        <v>153</v>
      </c>
      <c r="H591" s="14" t="s">
        <v>1165</v>
      </c>
      <c r="I591" s="15" t="s">
        <v>1280</v>
      </c>
      <c r="M591" s="15"/>
      <c r="O591" s="17" t="s">
        <v>1281</v>
      </c>
      <c r="T591" s="14">
        <v>4</v>
      </c>
      <c r="V591" s="12"/>
      <c r="W591" s="15"/>
      <c r="X591" s="12" t="s">
        <v>1201</v>
      </c>
      <c r="Z591" s="14">
        <v>0</v>
      </c>
      <c r="AF591" s="14" t="s">
        <v>153</v>
      </c>
      <c r="AG591" s="14" t="s">
        <v>1160</v>
      </c>
      <c r="AH591" s="14">
        <v>1440</v>
      </c>
      <c r="AI591" s="14" t="s">
        <v>1165</v>
      </c>
      <c r="AJ591" s="15" t="s">
        <v>1148</v>
      </c>
      <c r="AK591" s="15">
        <v>12.74</v>
      </c>
      <c r="AL591" s="14" t="s">
        <v>1277</v>
      </c>
      <c r="AM591" s="14">
        <v>3.5090000000000003</v>
      </c>
      <c r="AN591" s="15">
        <v>4</v>
      </c>
      <c r="AO591" s="15">
        <v>100</v>
      </c>
      <c r="AP591" s="15">
        <v>7.72</v>
      </c>
      <c r="AQ591" s="14" t="s">
        <v>1282</v>
      </c>
      <c r="AR591" s="15" t="s">
        <v>1155</v>
      </c>
    </row>
    <row r="592" spans="1:44" s="14" customFormat="1" x14ac:dyDescent="0.2">
      <c r="A592" t="s">
        <v>1073</v>
      </c>
      <c r="B592" s="15" t="s">
        <v>1146</v>
      </c>
      <c r="C592" s="15" t="s">
        <v>1149</v>
      </c>
      <c r="D592" t="s">
        <v>420</v>
      </c>
      <c r="E592" t="s">
        <v>1072</v>
      </c>
      <c r="G592" s="15" t="s">
        <v>153</v>
      </c>
      <c r="H592" s="14" t="s">
        <v>1165</v>
      </c>
      <c r="I592" s="15" t="s">
        <v>1280</v>
      </c>
      <c r="M592" s="15"/>
      <c r="O592" s="17" t="s">
        <v>1281</v>
      </c>
      <c r="T592" s="14">
        <v>4</v>
      </c>
      <c r="V592" s="12"/>
      <c r="W592" s="15"/>
      <c r="X592" s="12" t="s">
        <v>1201</v>
      </c>
      <c r="Z592" s="14">
        <v>0</v>
      </c>
      <c r="AF592" s="14" t="s">
        <v>153</v>
      </c>
      <c r="AG592" s="14" t="s">
        <v>1160</v>
      </c>
      <c r="AH592" s="14">
        <v>1440</v>
      </c>
      <c r="AI592" s="14" t="s">
        <v>1165</v>
      </c>
      <c r="AJ592" s="15" t="s">
        <v>1148</v>
      </c>
      <c r="AK592" s="15">
        <v>29.06</v>
      </c>
      <c r="AL592" s="14" t="s">
        <v>1277</v>
      </c>
      <c r="AM592" s="14">
        <v>7.1930000000000014</v>
      </c>
      <c r="AN592" s="15">
        <v>4</v>
      </c>
      <c r="AO592" s="15">
        <v>100</v>
      </c>
      <c r="AP592" s="15">
        <v>10.61</v>
      </c>
      <c r="AQ592" s="14" t="s">
        <v>1282</v>
      </c>
      <c r="AR592" s="15" t="s">
        <v>1155</v>
      </c>
    </row>
    <row r="593" spans="1:44" s="14" customFormat="1" x14ac:dyDescent="0.2">
      <c r="A593" t="s">
        <v>1073</v>
      </c>
      <c r="B593" s="15" t="s">
        <v>1146</v>
      </c>
      <c r="C593" s="15" t="s">
        <v>1149</v>
      </c>
      <c r="D593" t="s">
        <v>420</v>
      </c>
      <c r="E593" t="s">
        <v>1072</v>
      </c>
      <c r="G593" s="15" t="s">
        <v>153</v>
      </c>
      <c r="H593" s="14" t="s">
        <v>1165</v>
      </c>
      <c r="I593" s="15" t="s">
        <v>1280</v>
      </c>
      <c r="M593" s="15"/>
      <c r="O593" s="17" t="s">
        <v>1281</v>
      </c>
      <c r="T593" s="14">
        <v>4</v>
      </c>
      <c r="V593" s="12"/>
      <c r="W593" s="15"/>
      <c r="X593" s="12" t="s">
        <v>1201</v>
      </c>
      <c r="Z593" s="14">
        <v>0</v>
      </c>
      <c r="AF593" s="14" t="s">
        <v>153</v>
      </c>
      <c r="AG593" s="14" t="s">
        <v>1160</v>
      </c>
      <c r="AH593" s="14">
        <v>1440</v>
      </c>
      <c r="AI593" s="14" t="s">
        <v>1165</v>
      </c>
      <c r="AJ593" s="15" t="s">
        <v>1148</v>
      </c>
      <c r="AK593" s="15">
        <v>34.67</v>
      </c>
      <c r="AL593" s="14" t="s">
        <v>1277</v>
      </c>
      <c r="AM593" s="14">
        <v>6.8640000000000043</v>
      </c>
      <c r="AN593" s="15">
        <v>4</v>
      </c>
      <c r="AO593" s="15">
        <v>100</v>
      </c>
      <c r="AP593" s="15">
        <v>12.6</v>
      </c>
      <c r="AQ593" s="14" t="s">
        <v>1282</v>
      </c>
      <c r="AR593" s="15" t="s">
        <v>1155</v>
      </c>
    </row>
    <row r="594" spans="1:44" s="14" customFormat="1" x14ac:dyDescent="0.2">
      <c r="A594" t="s">
        <v>1073</v>
      </c>
      <c r="B594" s="15" t="s">
        <v>1146</v>
      </c>
      <c r="C594" s="15" t="s">
        <v>1149</v>
      </c>
      <c r="D594" t="s">
        <v>420</v>
      </c>
      <c r="E594" t="s">
        <v>1072</v>
      </c>
      <c r="G594" s="15" t="s">
        <v>153</v>
      </c>
      <c r="H594" s="14" t="s">
        <v>1165</v>
      </c>
      <c r="I594" s="15" t="s">
        <v>1280</v>
      </c>
      <c r="M594" s="15"/>
      <c r="O594" s="17" t="s">
        <v>1281</v>
      </c>
      <c r="T594" s="14">
        <v>4</v>
      </c>
      <c r="V594" s="12"/>
      <c r="W594" s="15"/>
      <c r="X594" s="12" t="s">
        <v>1201</v>
      </c>
      <c r="Z594" s="14">
        <v>0</v>
      </c>
      <c r="AF594" s="14" t="s">
        <v>153</v>
      </c>
      <c r="AG594" s="14" t="s">
        <v>1160</v>
      </c>
      <c r="AH594" s="14">
        <v>1440</v>
      </c>
      <c r="AI594" s="14" t="s">
        <v>1165</v>
      </c>
      <c r="AJ594" s="15" t="s">
        <v>1148</v>
      </c>
      <c r="AK594" s="15">
        <v>38</v>
      </c>
      <c r="AL594" s="14" t="s">
        <v>1277</v>
      </c>
      <c r="AM594" s="14">
        <v>3.8599999999999994</v>
      </c>
      <c r="AN594" s="15">
        <v>4</v>
      </c>
      <c r="AO594" s="15">
        <v>100</v>
      </c>
      <c r="AP594" s="15">
        <v>14.53</v>
      </c>
      <c r="AQ594" s="14" t="s">
        <v>1282</v>
      </c>
      <c r="AR594" s="15" t="s">
        <v>1155</v>
      </c>
    </row>
    <row r="595" spans="1:44" x14ac:dyDescent="0.2">
      <c r="A595" t="s">
        <v>1073</v>
      </c>
      <c r="B595" s="15" t="s">
        <v>1146</v>
      </c>
      <c r="C595" s="15" t="s">
        <v>1149</v>
      </c>
      <c r="D595" t="s">
        <v>420</v>
      </c>
      <c r="E595" t="s">
        <v>1072</v>
      </c>
      <c r="F595" s="14"/>
      <c r="G595" s="15" t="s">
        <v>153</v>
      </c>
      <c r="H595" s="14" t="s">
        <v>1165</v>
      </c>
      <c r="I595" s="15" t="s">
        <v>1280</v>
      </c>
      <c r="J595" s="14"/>
      <c r="K595" s="14"/>
      <c r="L595" s="14"/>
      <c r="M595" s="15"/>
      <c r="N595" s="14"/>
      <c r="O595" s="17" t="s">
        <v>1281</v>
      </c>
      <c r="P595" s="14"/>
      <c r="Q595" s="14"/>
      <c r="R595" s="14"/>
      <c r="S595" s="14"/>
      <c r="T595" s="14">
        <v>4</v>
      </c>
      <c r="U595" s="14"/>
      <c r="V595" s="12"/>
      <c r="W595" s="15"/>
      <c r="X595" s="12" t="s">
        <v>1201</v>
      </c>
      <c r="Y595" s="14"/>
      <c r="Z595" s="14">
        <v>0</v>
      </c>
      <c r="AA595" s="14"/>
      <c r="AB595" s="14"/>
      <c r="AC595" s="14"/>
      <c r="AD595" s="14"/>
      <c r="AE595" s="14"/>
      <c r="AF595" s="14" t="s">
        <v>153</v>
      </c>
      <c r="AG595" s="14" t="s">
        <v>1160</v>
      </c>
      <c r="AH595" s="14">
        <v>1440</v>
      </c>
      <c r="AI595" s="14" t="s">
        <v>1165</v>
      </c>
      <c r="AJ595" s="15" t="s">
        <v>1148</v>
      </c>
      <c r="AK595" s="15">
        <v>41.34</v>
      </c>
      <c r="AL595" s="14" t="s">
        <v>1277</v>
      </c>
      <c r="AM595">
        <v>4.3859999999999957</v>
      </c>
      <c r="AN595" s="15">
        <v>4</v>
      </c>
      <c r="AO595" s="15">
        <v>100</v>
      </c>
      <c r="AP595" s="15">
        <v>16.38</v>
      </c>
      <c r="AQ595" s="14" t="s">
        <v>1282</v>
      </c>
      <c r="AR595" s="15" t="s">
        <v>1155</v>
      </c>
    </row>
    <row r="596" spans="1:44" x14ac:dyDescent="0.2">
      <c r="A596" t="s">
        <v>1073</v>
      </c>
      <c r="B596" s="15" t="s">
        <v>1146</v>
      </c>
      <c r="C596" s="15" t="s">
        <v>1149</v>
      </c>
      <c r="D596" t="s">
        <v>420</v>
      </c>
      <c r="E596" t="s">
        <v>1072</v>
      </c>
      <c r="F596" s="14"/>
      <c r="G596" s="15" t="s">
        <v>153</v>
      </c>
      <c r="H596" s="14" t="s">
        <v>1165</v>
      </c>
      <c r="I596" s="15" t="s">
        <v>1280</v>
      </c>
      <c r="J596" s="14"/>
      <c r="K596" s="14"/>
      <c r="L596" s="14"/>
      <c r="M596" s="15"/>
      <c r="N596" s="14"/>
      <c r="O596" s="17" t="s">
        <v>1281</v>
      </c>
      <c r="P596" s="14"/>
      <c r="Q596" s="14"/>
      <c r="R596" s="14"/>
      <c r="S596" s="14"/>
      <c r="T596" s="14">
        <v>4</v>
      </c>
      <c r="U596" s="14"/>
      <c r="V596" s="12"/>
      <c r="W596" s="15"/>
      <c r="X596" s="12" t="s">
        <v>1201</v>
      </c>
      <c r="Y596" s="14"/>
      <c r="Z596" s="14">
        <v>0</v>
      </c>
      <c r="AA596" s="14"/>
      <c r="AB596" s="14"/>
      <c r="AC596" s="14"/>
      <c r="AD596" s="14"/>
      <c r="AE596" s="14"/>
      <c r="AF596" s="14" t="s">
        <v>153</v>
      </c>
      <c r="AG596" s="14" t="s">
        <v>1160</v>
      </c>
      <c r="AH596" s="14">
        <v>1440</v>
      </c>
      <c r="AI596" s="14" t="s">
        <v>1165</v>
      </c>
      <c r="AJ596" s="15" t="s">
        <v>1148</v>
      </c>
      <c r="AK596" s="15">
        <v>44.32</v>
      </c>
      <c r="AL596" s="14" t="s">
        <v>1277</v>
      </c>
      <c r="AM596">
        <v>4.5619999999999976</v>
      </c>
      <c r="AN596" s="15">
        <v>4</v>
      </c>
      <c r="AO596" s="15">
        <v>100</v>
      </c>
      <c r="AP596" s="15">
        <v>19.27</v>
      </c>
      <c r="AQ596" s="14" t="s">
        <v>1282</v>
      </c>
      <c r="AR596" s="15" t="s">
        <v>1155</v>
      </c>
    </row>
    <row r="597" spans="1:44" x14ac:dyDescent="0.2">
      <c r="A597" t="s">
        <v>1073</v>
      </c>
      <c r="B597" s="15" t="s">
        <v>1146</v>
      </c>
      <c r="C597" s="15" t="s">
        <v>1149</v>
      </c>
      <c r="D597" t="s">
        <v>420</v>
      </c>
      <c r="E597" t="s">
        <v>1072</v>
      </c>
      <c r="F597" s="14"/>
      <c r="G597" s="15" t="s">
        <v>153</v>
      </c>
      <c r="H597" s="14" t="s">
        <v>1165</v>
      </c>
      <c r="I597" s="15" t="s">
        <v>1280</v>
      </c>
      <c r="J597" s="14"/>
      <c r="K597" s="14"/>
      <c r="L597" s="14"/>
      <c r="M597" s="15"/>
      <c r="N597" s="14"/>
      <c r="O597" s="17" t="s">
        <v>1281</v>
      </c>
      <c r="P597" s="14"/>
      <c r="Q597" s="14"/>
      <c r="R597" s="14"/>
      <c r="S597" s="14"/>
      <c r="T597" s="14">
        <v>4</v>
      </c>
      <c r="U597" s="14"/>
      <c r="V597" s="12"/>
      <c r="W597" s="15"/>
      <c r="X597" s="12" t="s">
        <v>1201</v>
      </c>
      <c r="Y597" s="14"/>
      <c r="Z597" s="14">
        <v>0</v>
      </c>
      <c r="AA597" s="14"/>
      <c r="AB597" s="14"/>
      <c r="AC597" s="14"/>
      <c r="AD597" s="14"/>
      <c r="AE597" s="14"/>
      <c r="AF597" s="14" t="s">
        <v>153</v>
      </c>
      <c r="AG597" s="14" t="s">
        <v>1160</v>
      </c>
      <c r="AH597" s="14">
        <v>1440</v>
      </c>
      <c r="AI597" s="14" t="s">
        <v>1165</v>
      </c>
      <c r="AJ597" s="15" t="s">
        <v>1148</v>
      </c>
      <c r="AK597" s="15">
        <v>44.5</v>
      </c>
      <c r="AL597" s="14" t="s">
        <v>1277</v>
      </c>
      <c r="AM597">
        <v>4.2099999999999937</v>
      </c>
      <c r="AN597" s="15">
        <v>4</v>
      </c>
      <c r="AO597" s="15">
        <v>100</v>
      </c>
      <c r="AP597" s="15">
        <v>21.19</v>
      </c>
      <c r="AQ597" s="14" t="s">
        <v>1282</v>
      </c>
      <c r="AR597" s="15" t="s">
        <v>1155</v>
      </c>
    </row>
    <row r="598" spans="1:44" x14ac:dyDescent="0.2">
      <c r="A598" t="s">
        <v>1073</v>
      </c>
      <c r="B598" s="15" t="s">
        <v>1146</v>
      </c>
      <c r="C598" s="15" t="s">
        <v>1149</v>
      </c>
      <c r="D598" t="s">
        <v>420</v>
      </c>
      <c r="E598" t="s">
        <v>1072</v>
      </c>
      <c r="F598" s="14"/>
      <c r="G598" s="15" t="s">
        <v>153</v>
      </c>
      <c r="H598" s="14" t="s">
        <v>1165</v>
      </c>
      <c r="I598" s="15" t="s">
        <v>1280</v>
      </c>
      <c r="J598" s="14"/>
      <c r="K598" s="14"/>
      <c r="L598" s="14"/>
      <c r="M598" s="15"/>
      <c r="N598" s="14"/>
      <c r="O598" s="17" t="s">
        <v>1281</v>
      </c>
      <c r="P598" s="14"/>
      <c r="Q598" s="14"/>
      <c r="R598" s="14"/>
      <c r="S598" s="14"/>
      <c r="T598" s="14">
        <v>4</v>
      </c>
      <c r="U598" s="14"/>
      <c r="V598" s="12"/>
      <c r="W598" s="15"/>
      <c r="X598" s="12" t="s">
        <v>1201</v>
      </c>
      <c r="Y598" s="14"/>
      <c r="Z598" s="14">
        <v>0</v>
      </c>
      <c r="AA598" s="14"/>
      <c r="AB598" s="14"/>
      <c r="AC598" s="14"/>
      <c r="AD598" s="14"/>
      <c r="AE598" s="14"/>
      <c r="AF598" s="14" t="s">
        <v>153</v>
      </c>
      <c r="AG598" s="14" t="s">
        <v>1160</v>
      </c>
      <c r="AH598" s="14">
        <v>1440</v>
      </c>
      <c r="AI598" s="14" t="s">
        <v>1165</v>
      </c>
      <c r="AJ598" s="15" t="s">
        <v>1148</v>
      </c>
      <c r="AK598" s="15">
        <v>45.9</v>
      </c>
      <c r="AL598" s="14" t="s">
        <v>1277</v>
      </c>
      <c r="AM598">
        <v>3.3340000000000032</v>
      </c>
      <c r="AN598" s="15">
        <v>4</v>
      </c>
      <c r="AO598" s="15">
        <v>100</v>
      </c>
      <c r="AP598" s="15">
        <v>24.08</v>
      </c>
      <c r="AQ598" s="14" t="s">
        <v>1282</v>
      </c>
      <c r="AR598" s="15" t="s">
        <v>1155</v>
      </c>
    </row>
    <row r="599" spans="1:44" x14ac:dyDescent="0.2">
      <c r="A599" t="s">
        <v>1073</v>
      </c>
      <c r="B599" s="15" t="s">
        <v>1146</v>
      </c>
      <c r="C599" s="15" t="s">
        <v>1149</v>
      </c>
      <c r="D599" t="s">
        <v>420</v>
      </c>
      <c r="E599" t="s">
        <v>1072</v>
      </c>
      <c r="F599" s="14"/>
      <c r="G599" s="15" t="s">
        <v>153</v>
      </c>
      <c r="H599" s="14" t="s">
        <v>1165</v>
      </c>
      <c r="I599" s="15" t="s">
        <v>1280</v>
      </c>
      <c r="J599" s="14"/>
      <c r="K599" s="14"/>
      <c r="L599" s="14"/>
      <c r="M599" s="15"/>
      <c r="N599" s="14"/>
      <c r="O599" s="17" t="s">
        <v>1281</v>
      </c>
      <c r="P599" s="14"/>
      <c r="Q599" s="14"/>
      <c r="R599" s="14"/>
      <c r="S599" s="14"/>
      <c r="T599" s="14">
        <v>4</v>
      </c>
      <c r="U599" s="14"/>
      <c r="V599" s="12"/>
      <c r="W599" s="15"/>
      <c r="X599" s="12" t="s">
        <v>1201</v>
      </c>
      <c r="Y599" s="14"/>
      <c r="Z599" s="14">
        <v>0</v>
      </c>
      <c r="AA599" s="14"/>
      <c r="AB599" s="14"/>
      <c r="AC599" s="14"/>
      <c r="AD599" s="14"/>
      <c r="AE599" s="14"/>
      <c r="AF599" s="14" t="s">
        <v>153</v>
      </c>
      <c r="AG599" s="14" t="s">
        <v>1160</v>
      </c>
      <c r="AH599" s="14">
        <v>1440</v>
      </c>
      <c r="AI599" s="14" t="s">
        <v>1165</v>
      </c>
      <c r="AJ599" s="15" t="s">
        <v>1148</v>
      </c>
      <c r="AK599" s="15">
        <v>46.08</v>
      </c>
      <c r="AL599" s="14" t="s">
        <v>1277</v>
      </c>
      <c r="AM599">
        <v>2.8070000000000022</v>
      </c>
      <c r="AN599" s="15">
        <v>4</v>
      </c>
      <c r="AO599" s="15">
        <v>100</v>
      </c>
      <c r="AP599" s="15">
        <v>26.14</v>
      </c>
      <c r="AQ599" s="14" t="s">
        <v>1282</v>
      </c>
      <c r="AR599" s="15" t="s">
        <v>1155</v>
      </c>
    </row>
    <row r="600" spans="1:44" x14ac:dyDescent="0.2">
      <c r="A600" t="s">
        <v>1073</v>
      </c>
      <c r="B600" s="15" t="s">
        <v>1146</v>
      </c>
      <c r="C600" s="15" t="s">
        <v>1149</v>
      </c>
      <c r="D600" t="s">
        <v>420</v>
      </c>
      <c r="E600" t="s">
        <v>1072</v>
      </c>
      <c r="F600" s="14"/>
      <c r="G600" s="15" t="s">
        <v>153</v>
      </c>
      <c r="H600" s="14" t="s">
        <v>1165</v>
      </c>
      <c r="I600" s="15" t="s">
        <v>1280</v>
      </c>
      <c r="J600" s="14"/>
      <c r="K600" s="14"/>
      <c r="L600" s="14"/>
      <c r="M600" s="15"/>
      <c r="N600" s="14"/>
      <c r="O600" s="17" t="s">
        <v>1281</v>
      </c>
      <c r="P600" s="14"/>
      <c r="Q600" s="14"/>
      <c r="R600" s="14"/>
      <c r="S600" s="14"/>
      <c r="T600" s="14">
        <v>4</v>
      </c>
      <c r="U600" s="14"/>
      <c r="V600" s="12"/>
      <c r="W600" s="15"/>
      <c r="X600" s="12" t="s">
        <v>1201</v>
      </c>
      <c r="Y600" s="14"/>
      <c r="Z600" s="14">
        <v>0</v>
      </c>
      <c r="AA600" s="14"/>
      <c r="AB600" s="14"/>
      <c r="AC600" s="14"/>
      <c r="AD600" s="14"/>
      <c r="AE600" s="14"/>
      <c r="AF600" s="14" t="s">
        <v>153</v>
      </c>
      <c r="AG600" s="14" t="s">
        <v>1160</v>
      </c>
      <c r="AH600" s="14">
        <v>1440</v>
      </c>
      <c r="AI600" s="14" t="s">
        <v>1165</v>
      </c>
      <c r="AJ600" s="15" t="s">
        <v>1148</v>
      </c>
      <c r="AK600" s="15">
        <v>46.08</v>
      </c>
      <c r="AL600" s="14" t="s">
        <v>1277</v>
      </c>
      <c r="AM600">
        <v>2.4570000000000007</v>
      </c>
      <c r="AN600" s="15">
        <v>4</v>
      </c>
      <c r="AO600" s="15">
        <v>100</v>
      </c>
      <c r="AP600" s="15">
        <v>28.07</v>
      </c>
      <c r="AQ600" s="14" t="s">
        <v>1282</v>
      </c>
      <c r="AR600" s="15" t="s">
        <v>1155</v>
      </c>
    </row>
    <row r="601" spans="1:44" x14ac:dyDescent="0.2">
      <c r="A601" t="s">
        <v>1073</v>
      </c>
      <c r="B601" s="15" t="s">
        <v>1146</v>
      </c>
      <c r="C601" s="15" t="s">
        <v>1149</v>
      </c>
      <c r="D601" t="s">
        <v>420</v>
      </c>
      <c r="E601" t="s">
        <v>1072</v>
      </c>
      <c r="F601" s="14"/>
      <c r="G601" s="15" t="s">
        <v>153</v>
      </c>
      <c r="H601" s="14" t="s">
        <v>1165</v>
      </c>
      <c r="I601" s="15" t="s">
        <v>1280</v>
      </c>
      <c r="J601" s="14"/>
      <c r="K601" s="14"/>
      <c r="L601" s="14"/>
      <c r="M601" s="15"/>
      <c r="N601" s="14"/>
      <c r="O601" s="17" t="s">
        <v>1281</v>
      </c>
      <c r="P601" s="14"/>
      <c r="Q601" s="14"/>
      <c r="R601" s="14"/>
      <c r="S601" s="14"/>
      <c r="T601" s="14">
        <v>4</v>
      </c>
      <c r="U601" s="14"/>
      <c r="V601" s="12"/>
      <c r="W601" s="15"/>
      <c r="X601" s="12" t="s">
        <v>1201</v>
      </c>
      <c r="Y601" s="14"/>
      <c r="Z601" s="14">
        <v>0</v>
      </c>
      <c r="AA601" s="14"/>
      <c r="AB601" s="14"/>
      <c r="AC601" s="14"/>
      <c r="AD601" s="14"/>
      <c r="AE601" s="14"/>
      <c r="AF601" s="14" t="s">
        <v>153</v>
      </c>
      <c r="AG601" s="14" t="s">
        <v>1160</v>
      </c>
      <c r="AH601" s="14">
        <v>1440</v>
      </c>
      <c r="AI601" s="14" t="s">
        <v>1165</v>
      </c>
      <c r="AJ601" s="15" t="s">
        <v>1148</v>
      </c>
      <c r="AK601" s="15">
        <v>47.13</v>
      </c>
      <c r="AL601" s="14" t="s">
        <v>1277</v>
      </c>
      <c r="AM601">
        <v>5.2629999999999981</v>
      </c>
      <c r="AN601" s="15">
        <v>4</v>
      </c>
      <c r="AO601" s="15">
        <v>100</v>
      </c>
      <c r="AP601" s="15">
        <v>30.95</v>
      </c>
      <c r="AQ601" s="14" t="s">
        <v>1282</v>
      </c>
      <c r="AR601" s="15" t="s">
        <v>1155</v>
      </c>
    </row>
    <row r="602" spans="1:44" x14ac:dyDescent="0.2">
      <c r="A602" t="s">
        <v>1073</v>
      </c>
      <c r="B602" s="15" t="s">
        <v>1146</v>
      </c>
      <c r="C602" s="15" t="s">
        <v>1149</v>
      </c>
      <c r="D602" t="s">
        <v>420</v>
      </c>
      <c r="E602" t="s">
        <v>1072</v>
      </c>
      <c r="F602" s="14"/>
      <c r="G602" s="15" t="s">
        <v>153</v>
      </c>
      <c r="H602" s="14" t="s">
        <v>1165</v>
      </c>
      <c r="I602" s="15" t="s">
        <v>1280</v>
      </c>
      <c r="J602" s="14"/>
      <c r="K602" s="14"/>
      <c r="L602" s="14"/>
      <c r="M602" s="15"/>
      <c r="N602" s="14"/>
      <c r="O602" s="17" t="s">
        <v>1281</v>
      </c>
      <c r="P602" s="14"/>
      <c r="Q602" s="14"/>
      <c r="R602" s="14"/>
      <c r="S602" s="14"/>
      <c r="T602" s="14">
        <v>4</v>
      </c>
      <c r="U602" s="14"/>
      <c r="V602" s="12" t="s">
        <v>1247</v>
      </c>
      <c r="W602" s="15">
        <v>35</v>
      </c>
      <c r="X602" s="12" t="s">
        <v>1201</v>
      </c>
      <c r="Y602" s="14"/>
      <c r="Z602" s="14">
        <v>0</v>
      </c>
      <c r="AA602" s="14"/>
      <c r="AB602" s="14"/>
      <c r="AC602" s="14"/>
      <c r="AD602" s="14"/>
      <c r="AE602" s="14"/>
      <c r="AF602" s="14" t="s">
        <v>153</v>
      </c>
      <c r="AG602" s="14" t="s">
        <v>1160</v>
      </c>
      <c r="AH602" s="14">
        <v>1440</v>
      </c>
      <c r="AI602" s="14" t="s">
        <v>1165</v>
      </c>
      <c r="AJ602" s="15" t="s">
        <v>1148</v>
      </c>
      <c r="AK602" s="15">
        <v>8.0259999999999998</v>
      </c>
      <c r="AL602" s="14" t="s">
        <v>1277</v>
      </c>
      <c r="AM602">
        <v>0</v>
      </c>
      <c r="AN602" s="15">
        <v>4</v>
      </c>
      <c r="AO602" s="15">
        <v>100</v>
      </c>
      <c r="AP602" s="15">
        <v>0</v>
      </c>
      <c r="AQ602" s="14" t="s">
        <v>1283</v>
      </c>
      <c r="AR602" s="15" t="s">
        <v>1155</v>
      </c>
    </row>
    <row r="603" spans="1:44" x14ac:dyDescent="0.2">
      <c r="A603" t="s">
        <v>1073</v>
      </c>
      <c r="B603" s="15" t="s">
        <v>1146</v>
      </c>
      <c r="C603" s="15" t="s">
        <v>1149</v>
      </c>
      <c r="D603" t="s">
        <v>420</v>
      </c>
      <c r="E603" t="s">
        <v>1072</v>
      </c>
      <c r="F603" s="14"/>
      <c r="G603" s="15" t="s">
        <v>153</v>
      </c>
      <c r="H603" s="14" t="s">
        <v>1165</v>
      </c>
      <c r="I603" s="15" t="s">
        <v>1280</v>
      </c>
      <c r="J603" s="14"/>
      <c r="K603" s="14"/>
      <c r="L603" s="14"/>
      <c r="M603" s="15"/>
      <c r="N603" s="14"/>
      <c r="O603" s="17" t="s">
        <v>1281</v>
      </c>
      <c r="P603" s="14"/>
      <c r="Q603" s="14"/>
      <c r="R603" s="14"/>
      <c r="S603" s="14"/>
      <c r="T603" s="14">
        <v>4</v>
      </c>
      <c r="U603" s="14"/>
      <c r="V603" s="12" t="s">
        <v>1247</v>
      </c>
      <c r="W603" s="15">
        <v>35</v>
      </c>
      <c r="X603" s="12" t="s">
        <v>1201</v>
      </c>
      <c r="Y603" s="14"/>
      <c r="Z603" s="14">
        <v>0</v>
      </c>
      <c r="AA603" s="14"/>
      <c r="AB603" s="14"/>
      <c r="AC603" s="14"/>
      <c r="AD603" s="14"/>
      <c r="AE603" s="14"/>
      <c r="AF603" s="14" t="s">
        <v>153</v>
      </c>
      <c r="AG603" s="14" t="s">
        <v>1160</v>
      </c>
      <c r="AH603" s="14">
        <v>1440</v>
      </c>
      <c r="AI603" s="14" t="s">
        <v>1165</v>
      </c>
      <c r="AJ603" s="15" t="s">
        <v>1148</v>
      </c>
      <c r="AK603" s="15">
        <v>22.039000000000001</v>
      </c>
      <c r="AL603" s="14" t="s">
        <v>1277</v>
      </c>
      <c r="AM603">
        <v>5.2850000000000001</v>
      </c>
      <c r="AN603" s="15">
        <v>4</v>
      </c>
      <c r="AO603" s="15">
        <v>100</v>
      </c>
      <c r="AP603" s="15">
        <v>1.06</v>
      </c>
      <c r="AQ603" s="14" t="s">
        <v>1283</v>
      </c>
      <c r="AR603" s="15" t="s">
        <v>1155</v>
      </c>
    </row>
    <row r="604" spans="1:44" x14ac:dyDescent="0.2">
      <c r="A604" t="s">
        <v>1073</v>
      </c>
      <c r="B604" s="15" t="s">
        <v>1146</v>
      </c>
      <c r="C604" s="15" t="s">
        <v>1149</v>
      </c>
      <c r="D604" t="s">
        <v>420</v>
      </c>
      <c r="E604" t="s">
        <v>1072</v>
      </c>
      <c r="F604" s="14"/>
      <c r="G604" s="15" t="s">
        <v>153</v>
      </c>
      <c r="H604" s="14" t="s">
        <v>1165</v>
      </c>
      <c r="I604" s="15" t="s">
        <v>1280</v>
      </c>
      <c r="J604" s="14"/>
      <c r="K604" s="14"/>
      <c r="L604" s="14"/>
      <c r="M604" s="15"/>
      <c r="N604" s="14"/>
      <c r="O604" s="17" t="s">
        <v>1281</v>
      </c>
      <c r="P604" s="14"/>
      <c r="Q604" s="14"/>
      <c r="R604" s="14"/>
      <c r="S604" s="14"/>
      <c r="T604" s="14">
        <v>4</v>
      </c>
      <c r="U604" s="14"/>
      <c r="V604" s="12" t="s">
        <v>1247</v>
      </c>
      <c r="W604" s="15">
        <v>35</v>
      </c>
      <c r="X604" s="12" t="s">
        <v>1201</v>
      </c>
      <c r="Y604" s="14"/>
      <c r="Z604" s="14">
        <v>0</v>
      </c>
      <c r="AA604" s="14"/>
      <c r="AB604" s="14"/>
      <c r="AC604" s="14"/>
      <c r="AD604" s="14"/>
      <c r="AE604" s="14"/>
      <c r="AF604" s="14" t="s">
        <v>153</v>
      </c>
      <c r="AG604" s="14" t="s">
        <v>1160</v>
      </c>
      <c r="AH604" s="14">
        <v>1440</v>
      </c>
      <c r="AI604" s="14" t="s">
        <v>1165</v>
      </c>
      <c r="AJ604" s="15" t="s">
        <v>1148</v>
      </c>
      <c r="AK604" s="15">
        <v>41.338000000000001</v>
      </c>
      <c r="AL604" s="14" t="s">
        <v>1277</v>
      </c>
      <c r="AM604">
        <v>5.4379999999999953</v>
      </c>
      <c r="AN604" s="15">
        <v>4</v>
      </c>
      <c r="AO604" s="15">
        <v>100</v>
      </c>
      <c r="AP604" s="15">
        <v>3.88</v>
      </c>
      <c r="AQ604" s="14" t="s">
        <v>1283</v>
      </c>
      <c r="AR604" s="15" t="s">
        <v>1155</v>
      </c>
    </row>
    <row r="605" spans="1:44" x14ac:dyDescent="0.2">
      <c r="A605" t="s">
        <v>1073</v>
      </c>
      <c r="B605" s="15" t="s">
        <v>1146</v>
      </c>
      <c r="C605" s="15" t="s">
        <v>1149</v>
      </c>
      <c r="D605" t="s">
        <v>420</v>
      </c>
      <c r="E605" t="s">
        <v>1072</v>
      </c>
      <c r="F605" s="14"/>
      <c r="G605" s="15" t="s">
        <v>153</v>
      </c>
      <c r="H605" s="14" t="s">
        <v>1165</v>
      </c>
      <c r="I605" s="15" t="s">
        <v>1280</v>
      </c>
      <c r="J605" s="14"/>
      <c r="K605" s="14"/>
      <c r="L605" s="14"/>
      <c r="M605" s="15"/>
      <c r="N605" s="14"/>
      <c r="O605" s="17" t="s">
        <v>1281</v>
      </c>
      <c r="P605" s="14"/>
      <c r="Q605" s="14"/>
      <c r="R605" s="14"/>
      <c r="S605" s="14"/>
      <c r="T605" s="14">
        <v>4</v>
      </c>
      <c r="U605" s="14"/>
      <c r="V605" s="12" t="s">
        <v>1247</v>
      </c>
      <c r="W605" s="15">
        <v>35</v>
      </c>
      <c r="X605" s="12" t="s">
        <v>1201</v>
      </c>
      <c r="Y605" s="14"/>
      <c r="Z605" s="14">
        <v>0</v>
      </c>
      <c r="AA605" s="14"/>
      <c r="AB605" s="14"/>
      <c r="AC605" s="14"/>
      <c r="AD605" s="14"/>
      <c r="AE605" s="14"/>
      <c r="AF605" s="14" t="s">
        <v>153</v>
      </c>
      <c r="AG605" s="14" t="s">
        <v>1160</v>
      </c>
      <c r="AH605" s="14">
        <v>1440</v>
      </c>
      <c r="AI605" s="14" t="s">
        <v>1165</v>
      </c>
      <c r="AJ605" s="15" t="s">
        <v>1148</v>
      </c>
      <c r="AK605" s="15">
        <v>51.863999999999997</v>
      </c>
      <c r="AL605" s="14" t="s">
        <v>1277</v>
      </c>
      <c r="AM605">
        <v>4.7370000000000019</v>
      </c>
      <c r="AN605" s="15">
        <v>4</v>
      </c>
      <c r="AO605" s="15">
        <v>100</v>
      </c>
      <c r="AP605" s="15">
        <v>5.8</v>
      </c>
      <c r="AQ605" s="14" t="s">
        <v>1283</v>
      </c>
      <c r="AR605" s="15" t="s">
        <v>1155</v>
      </c>
    </row>
    <row r="606" spans="1:44" x14ac:dyDescent="0.2">
      <c r="A606" t="s">
        <v>1073</v>
      </c>
      <c r="B606" s="15" t="s">
        <v>1146</v>
      </c>
      <c r="C606" s="15" t="s">
        <v>1149</v>
      </c>
      <c r="D606" t="s">
        <v>420</v>
      </c>
      <c r="E606" t="s">
        <v>1072</v>
      </c>
      <c r="F606" s="14"/>
      <c r="G606" s="15" t="s">
        <v>153</v>
      </c>
      <c r="H606" s="14" t="s">
        <v>1165</v>
      </c>
      <c r="I606" s="15" t="s">
        <v>1280</v>
      </c>
      <c r="J606" s="14"/>
      <c r="K606" s="14"/>
      <c r="L606" s="14"/>
      <c r="M606" s="15"/>
      <c r="N606" s="14"/>
      <c r="O606" s="17" t="s">
        <v>1281</v>
      </c>
      <c r="P606" s="14"/>
      <c r="Q606" s="14"/>
      <c r="R606" s="14"/>
      <c r="S606" s="14"/>
      <c r="T606" s="14">
        <v>4</v>
      </c>
      <c r="U606" s="14"/>
      <c r="V606" s="12" t="s">
        <v>1247</v>
      </c>
      <c r="W606" s="15">
        <v>35</v>
      </c>
      <c r="X606" s="12" t="s">
        <v>1201</v>
      </c>
      <c r="Y606" s="14"/>
      <c r="Z606" s="14">
        <v>0</v>
      </c>
      <c r="AA606" s="14"/>
      <c r="AB606" s="14"/>
      <c r="AC606" s="14"/>
      <c r="AD606" s="14"/>
      <c r="AE606" s="14"/>
      <c r="AF606" s="14" t="s">
        <v>153</v>
      </c>
      <c r="AG606" s="14" t="s">
        <v>1160</v>
      </c>
      <c r="AH606" s="14">
        <v>1440</v>
      </c>
      <c r="AI606" s="14" t="s">
        <v>1165</v>
      </c>
      <c r="AJ606" s="15" t="s">
        <v>1148</v>
      </c>
      <c r="AK606" s="15">
        <v>57.127000000000002</v>
      </c>
      <c r="AL606" s="14" t="s">
        <v>1277</v>
      </c>
      <c r="AM606">
        <v>9.1230000000000047</v>
      </c>
      <c r="AN606" s="15">
        <v>4</v>
      </c>
      <c r="AO606" s="15">
        <v>100</v>
      </c>
      <c r="AP606" s="15">
        <v>7.66</v>
      </c>
      <c r="AQ606" s="14" t="s">
        <v>1283</v>
      </c>
      <c r="AR606" s="15" t="s">
        <v>1155</v>
      </c>
    </row>
    <row r="607" spans="1:44" x14ac:dyDescent="0.2">
      <c r="A607" t="s">
        <v>1073</v>
      </c>
      <c r="B607" s="15" t="s">
        <v>1146</v>
      </c>
      <c r="C607" s="15" t="s">
        <v>1149</v>
      </c>
      <c r="D607" t="s">
        <v>420</v>
      </c>
      <c r="E607" t="s">
        <v>1072</v>
      </c>
      <c r="F607" s="14"/>
      <c r="G607" s="15" t="s">
        <v>153</v>
      </c>
      <c r="H607" s="14" t="s">
        <v>1165</v>
      </c>
      <c r="I607" s="15" t="s">
        <v>1280</v>
      </c>
      <c r="J607" s="14"/>
      <c r="K607" s="14"/>
      <c r="L607" s="14"/>
      <c r="M607" s="15"/>
      <c r="N607" s="14"/>
      <c r="O607" s="17" t="s">
        <v>1281</v>
      </c>
      <c r="P607" s="14"/>
      <c r="Q607" s="14"/>
      <c r="R607" s="14"/>
      <c r="S607" s="14"/>
      <c r="T607" s="14">
        <v>4</v>
      </c>
      <c r="U607" s="14"/>
      <c r="V607" s="12" t="s">
        <v>1247</v>
      </c>
      <c r="W607" s="15">
        <v>35</v>
      </c>
      <c r="X607" s="12" t="s">
        <v>1201</v>
      </c>
      <c r="Y607" s="14"/>
      <c r="Z607" s="14">
        <v>0</v>
      </c>
      <c r="AA607" s="14"/>
      <c r="AB607" s="14"/>
      <c r="AC607" s="14"/>
      <c r="AD607" s="14"/>
      <c r="AE607" s="14"/>
      <c r="AF607" s="14" t="s">
        <v>153</v>
      </c>
      <c r="AG607" s="14" t="s">
        <v>1160</v>
      </c>
      <c r="AH607" s="14">
        <v>1440</v>
      </c>
      <c r="AI607" s="14" t="s">
        <v>1165</v>
      </c>
      <c r="AJ607" s="15" t="s">
        <v>1148</v>
      </c>
      <c r="AK607" s="15">
        <v>60.811</v>
      </c>
      <c r="AL607" s="14" t="s">
        <v>1277</v>
      </c>
      <c r="AM607">
        <v>9.1230000000000047</v>
      </c>
      <c r="AN607" s="15">
        <v>4</v>
      </c>
      <c r="AO607" s="15">
        <v>100</v>
      </c>
      <c r="AP607" s="15">
        <v>10.54</v>
      </c>
      <c r="AQ607" s="14" t="s">
        <v>1283</v>
      </c>
      <c r="AR607" s="15" t="s">
        <v>1155</v>
      </c>
    </row>
    <row r="608" spans="1:44" x14ac:dyDescent="0.2">
      <c r="A608" t="s">
        <v>1073</v>
      </c>
      <c r="B608" s="15" t="s">
        <v>1146</v>
      </c>
      <c r="C608" s="15" t="s">
        <v>1149</v>
      </c>
      <c r="D608" t="s">
        <v>420</v>
      </c>
      <c r="E608" t="s">
        <v>1072</v>
      </c>
      <c r="F608" s="14"/>
      <c r="G608" s="15" t="s">
        <v>153</v>
      </c>
      <c r="H608" s="14" t="s">
        <v>1165</v>
      </c>
      <c r="I608" s="15" t="s">
        <v>1280</v>
      </c>
      <c r="J608" s="14"/>
      <c r="K608" s="14"/>
      <c r="L608" s="14"/>
      <c r="M608" s="15"/>
      <c r="N608" s="14"/>
      <c r="O608" s="17" t="s">
        <v>1281</v>
      </c>
      <c r="P608" s="14"/>
      <c r="Q608" s="14"/>
      <c r="R608" s="14"/>
      <c r="S608" s="14"/>
      <c r="T608" s="14">
        <v>4</v>
      </c>
      <c r="U608" s="14"/>
      <c r="V608" s="12" t="s">
        <v>1247</v>
      </c>
      <c r="W608" s="15">
        <v>35</v>
      </c>
      <c r="X608" s="12" t="s">
        <v>1201</v>
      </c>
      <c r="Y608" s="14"/>
      <c r="Z608" s="14">
        <v>0</v>
      </c>
      <c r="AA608" s="14"/>
      <c r="AB608" s="14"/>
      <c r="AC608" s="14"/>
      <c r="AD608" s="14"/>
      <c r="AE608" s="14"/>
      <c r="AF608" s="14" t="s">
        <v>153</v>
      </c>
      <c r="AG608" s="14" t="s">
        <v>1160</v>
      </c>
      <c r="AH608" s="14">
        <v>1440</v>
      </c>
      <c r="AI608" s="14" t="s">
        <v>1165</v>
      </c>
      <c r="AJ608" s="15" t="s">
        <v>1148</v>
      </c>
      <c r="AK608" s="15">
        <v>65.197000000000003</v>
      </c>
      <c r="AL608" s="14" t="s">
        <v>1277</v>
      </c>
      <c r="AM608">
        <v>6.6670000000000016</v>
      </c>
      <c r="AN608" s="15">
        <v>4</v>
      </c>
      <c r="AO608" s="15">
        <v>100</v>
      </c>
      <c r="AP608" s="15">
        <v>12.53</v>
      </c>
      <c r="AQ608" s="14" t="s">
        <v>1283</v>
      </c>
      <c r="AR608" s="15" t="s">
        <v>1155</v>
      </c>
    </row>
    <row r="609" spans="1:44" x14ac:dyDescent="0.2">
      <c r="A609" t="s">
        <v>1073</v>
      </c>
      <c r="B609" s="15" t="s">
        <v>1146</v>
      </c>
      <c r="C609" s="15" t="s">
        <v>1149</v>
      </c>
      <c r="D609" t="s">
        <v>420</v>
      </c>
      <c r="E609" t="s">
        <v>1072</v>
      </c>
      <c r="F609" s="14"/>
      <c r="G609" s="15" t="s">
        <v>153</v>
      </c>
      <c r="H609" s="14" t="s">
        <v>1165</v>
      </c>
      <c r="I609" s="15" t="s">
        <v>1280</v>
      </c>
      <c r="J609" s="14"/>
      <c r="K609" s="14"/>
      <c r="L609" s="14"/>
      <c r="M609" s="15"/>
      <c r="N609" s="14"/>
      <c r="O609" s="17" t="s">
        <v>1281</v>
      </c>
      <c r="P609" s="14"/>
      <c r="Q609" s="14"/>
      <c r="R609" s="14"/>
      <c r="S609" s="14"/>
      <c r="T609" s="14">
        <v>4</v>
      </c>
      <c r="U609" s="14"/>
      <c r="V609" s="12" t="s">
        <v>1247</v>
      </c>
      <c r="W609" s="15">
        <v>35</v>
      </c>
      <c r="X609" s="12" t="s">
        <v>1201</v>
      </c>
      <c r="Y609" s="14"/>
      <c r="Z609" s="14">
        <v>0</v>
      </c>
      <c r="AA609" s="14"/>
      <c r="AB609" s="14"/>
      <c r="AC609" s="14"/>
      <c r="AD609" s="14"/>
      <c r="AE609" s="14"/>
      <c r="AF609" s="14" t="s">
        <v>153</v>
      </c>
      <c r="AG609" s="14" t="s">
        <v>1160</v>
      </c>
      <c r="AH609" s="14">
        <v>1440</v>
      </c>
      <c r="AI609" s="14" t="s">
        <v>1165</v>
      </c>
      <c r="AJ609" s="15" t="s">
        <v>1148</v>
      </c>
      <c r="AK609" s="15">
        <v>66.25</v>
      </c>
      <c r="AL609" s="14" t="s">
        <v>1277</v>
      </c>
      <c r="AM609">
        <v>5.7899999999999991</v>
      </c>
      <c r="AN609" s="15">
        <v>4</v>
      </c>
      <c r="AO609" s="15">
        <v>100</v>
      </c>
      <c r="AP609" s="15">
        <v>14.46</v>
      </c>
      <c r="AQ609" s="14" t="s">
        <v>1283</v>
      </c>
      <c r="AR609" s="15" t="s">
        <v>1155</v>
      </c>
    </row>
    <row r="610" spans="1:44" x14ac:dyDescent="0.2">
      <c r="A610" t="s">
        <v>1073</v>
      </c>
      <c r="B610" s="15" t="s">
        <v>1146</v>
      </c>
      <c r="C610" s="15" t="s">
        <v>1149</v>
      </c>
      <c r="D610" t="s">
        <v>420</v>
      </c>
      <c r="E610" t="s">
        <v>1072</v>
      </c>
      <c r="F610" s="14"/>
      <c r="G610" s="15" t="s">
        <v>153</v>
      </c>
      <c r="H610" s="14" t="s">
        <v>1165</v>
      </c>
      <c r="I610" s="15" t="s">
        <v>1280</v>
      </c>
      <c r="J610" s="14"/>
      <c r="K610" s="14"/>
      <c r="L610" s="14"/>
      <c r="M610" s="15"/>
      <c r="N610" s="14"/>
      <c r="O610" s="17" t="s">
        <v>1281</v>
      </c>
      <c r="P610" s="14"/>
      <c r="Q610" s="14"/>
      <c r="R610" s="14"/>
      <c r="S610" s="14"/>
      <c r="T610" s="14">
        <v>4</v>
      </c>
      <c r="U610" s="14"/>
      <c r="V610" s="12" t="s">
        <v>1247</v>
      </c>
      <c r="W610" s="15">
        <v>35</v>
      </c>
      <c r="X610" s="12" t="s">
        <v>1201</v>
      </c>
      <c r="Y610" s="14"/>
      <c r="Z610" s="14">
        <v>0</v>
      </c>
      <c r="AA610" s="14"/>
      <c r="AB610" s="14"/>
      <c r="AC610" s="14"/>
      <c r="AD610" s="14"/>
      <c r="AE610" s="14"/>
      <c r="AF610" s="14" t="s">
        <v>153</v>
      </c>
      <c r="AG610" s="14" t="s">
        <v>1160</v>
      </c>
      <c r="AH610" s="14">
        <v>1440</v>
      </c>
      <c r="AI610" s="14" t="s">
        <v>1165</v>
      </c>
      <c r="AJ610" s="15" t="s">
        <v>1148</v>
      </c>
      <c r="AK610" s="15">
        <v>67.126999999999995</v>
      </c>
      <c r="AL610" s="14" t="s">
        <v>1277</v>
      </c>
      <c r="AM610">
        <v>5.7890000000000015</v>
      </c>
      <c r="AN610" s="15">
        <v>4</v>
      </c>
      <c r="AO610" s="15">
        <v>100</v>
      </c>
      <c r="AP610" s="15">
        <v>18.309999999999999</v>
      </c>
      <c r="AQ610" s="14" t="s">
        <v>1283</v>
      </c>
      <c r="AR610" s="15" t="s">
        <v>1155</v>
      </c>
    </row>
    <row r="611" spans="1:44" x14ac:dyDescent="0.2">
      <c r="A611" t="s">
        <v>1073</v>
      </c>
      <c r="B611" s="15" t="s">
        <v>1146</v>
      </c>
      <c r="C611" s="15" t="s">
        <v>1149</v>
      </c>
      <c r="D611" t="s">
        <v>420</v>
      </c>
      <c r="E611" t="s">
        <v>1072</v>
      </c>
      <c r="F611" s="14"/>
      <c r="G611" s="15" t="s">
        <v>153</v>
      </c>
      <c r="H611" s="14" t="s">
        <v>1165</v>
      </c>
      <c r="I611" s="15" t="s">
        <v>1280</v>
      </c>
      <c r="J611" s="14"/>
      <c r="K611" s="14"/>
      <c r="L611" s="14"/>
      <c r="M611" s="15"/>
      <c r="N611" s="14"/>
      <c r="O611" s="17" t="s">
        <v>1281</v>
      </c>
      <c r="P611" s="14"/>
      <c r="Q611" s="14"/>
      <c r="R611" s="14"/>
      <c r="S611" s="14"/>
      <c r="T611" s="14">
        <v>4</v>
      </c>
      <c r="U611" s="14"/>
      <c r="V611" s="12" t="s">
        <v>1247</v>
      </c>
      <c r="W611" s="15">
        <v>35</v>
      </c>
      <c r="X611" s="12" t="s">
        <v>1201</v>
      </c>
      <c r="Y611" s="14"/>
      <c r="Z611" s="14">
        <v>0</v>
      </c>
      <c r="AA611" s="14"/>
      <c r="AB611" s="14"/>
      <c r="AC611" s="14"/>
      <c r="AD611" s="14"/>
      <c r="AE611" s="14"/>
      <c r="AF611" s="14" t="s">
        <v>153</v>
      </c>
      <c r="AG611" s="14" t="s">
        <v>1160</v>
      </c>
      <c r="AH611" s="14">
        <v>1440</v>
      </c>
      <c r="AI611" s="14" t="s">
        <v>1165</v>
      </c>
      <c r="AJ611" s="15" t="s">
        <v>1148</v>
      </c>
      <c r="AK611" s="15">
        <v>67.302999999999997</v>
      </c>
      <c r="AL611" s="14" t="s">
        <v>1277</v>
      </c>
      <c r="AM611">
        <v>6.1400000000000006</v>
      </c>
      <c r="AN611" s="15">
        <v>4</v>
      </c>
      <c r="AO611" s="15">
        <v>100</v>
      </c>
      <c r="AP611" s="15">
        <v>20.23</v>
      </c>
      <c r="AQ611" s="14" t="s">
        <v>1283</v>
      </c>
      <c r="AR611" s="15" t="s">
        <v>1155</v>
      </c>
    </row>
    <row r="612" spans="1:44" x14ac:dyDescent="0.2">
      <c r="A612" t="s">
        <v>1073</v>
      </c>
      <c r="B612" s="15" t="s">
        <v>1146</v>
      </c>
      <c r="C612" s="15" t="s">
        <v>1149</v>
      </c>
      <c r="D612" t="s">
        <v>420</v>
      </c>
      <c r="E612" t="s">
        <v>1072</v>
      </c>
      <c r="F612" s="14"/>
      <c r="G612" s="15" t="s">
        <v>153</v>
      </c>
      <c r="H612" s="14" t="s">
        <v>1165</v>
      </c>
      <c r="I612" s="15" t="s">
        <v>1280</v>
      </c>
      <c r="J612" s="14"/>
      <c r="K612" s="14"/>
      <c r="L612" s="14"/>
      <c r="M612" s="15"/>
      <c r="N612" s="14"/>
      <c r="O612" s="17" t="s">
        <v>1281</v>
      </c>
      <c r="P612" s="14"/>
      <c r="Q612" s="14"/>
      <c r="R612" s="14"/>
      <c r="S612" s="14"/>
      <c r="T612" s="14">
        <v>4</v>
      </c>
      <c r="U612" s="14"/>
      <c r="V612" s="12" t="s">
        <v>1247</v>
      </c>
      <c r="W612" s="15">
        <v>35</v>
      </c>
      <c r="X612" s="12" t="s">
        <v>1201</v>
      </c>
      <c r="Y612" s="14"/>
      <c r="Z612" s="14">
        <v>0</v>
      </c>
      <c r="AA612" s="14"/>
      <c r="AB612" s="14"/>
      <c r="AC612" s="14"/>
      <c r="AD612" s="14"/>
      <c r="AE612" s="14"/>
      <c r="AF612" s="14" t="s">
        <v>153</v>
      </c>
      <c r="AG612" s="14" t="s">
        <v>1160</v>
      </c>
      <c r="AH612" s="14">
        <v>1440</v>
      </c>
      <c r="AI612" s="14" t="s">
        <v>1165</v>
      </c>
      <c r="AJ612" s="15" t="s">
        <v>1148</v>
      </c>
      <c r="AK612" s="15">
        <v>67.302999999999997</v>
      </c>
      <c r="AL612" s="14" t="s">
        <v>1277</v>
      </c>
      <c r="AM612">
        <v>6.1400000000000006</v>
      </c>
      <c r="AN612" s="15">
        <v>4</v>
      </c>
      <c r="AO612" s="15">
        <v>100</v>
      </c>
      <c r="AP612" s="15">
        <v>22.23</v>
      </c>
      <c r="AQ612" s="14" t="s">
        <v>1283</v>
      </c>
      <c r="AR612" s="15" t="s">
        <v>1155</v>
      </c>
    </row>
    <row r="613" spans="1:44" x14ac:dyDescent="0.2">
      <c r="A613" t="s">
        <v>1073</v>
      </c>
      <c r="B613" s="15" t="s">
        <v>1146</v>
      </c>
      <c r="C613" s="15" t="s">
        <v>1149</v>
      </c>
      <c r="D613" t="s">
        <v>420</v>
      </c>
      <c r="E613" t="s">
        <v>1072</v>
      </c>
      <c r="F613" s="14"/>
      <c r="G613" s="15" t="s">
        <v>153</v>
      </c>
      <c r="H613" s="14" t="s">
        <v>1165</v>
      </c>
      <c r="I613" s="15" t="s">
        <v>1280</v>
      </c>
      <c r="J613" s="14"/>
      <c r="K613" s="14"/>
      <c r="L613" s="14"/>
      <c r="M613" s="15"/>
      <c r="N613" s="14"/>
      <c r="O613" s="17" t="s">
        <v>1281</v>
      </c>
      <c r="P613" s="14"/>
      <c r="Q613" s="14"/>
      <c r="R613" s="14"/>
      <c r="S613" s="14"/>
      <c r="T613" s="14">
        <v>4</v>
      </c>
      <c r="U613" s="14"/>
      <c r="V613" s="12" t="s">
        <v>1247</v>
      </c>
      <c r="W613" s="15">
        <v>35</v>
      </c>
      <c r="X613" s="12" t="s">
        <v>1201</v>
      </c>
      <c r="Y613" s="14"/>
      <c r="Z613" s="14">
        <v>0</v>
      </c>
      <c r="AA613" s="14"/>
      <c r="AB613" s="14"/>
      <c r="AC613" s="14"/>
      <c r="AD613" s="14"/>
      <c r="AE613" s="14"/>
      <c r="AF613" s="14" t="s">
        <v>153</v>
      </c>
      <c r="AG613" s="14" t="s">
        <v>1160</v>
      </c>
      <c r="AH613" s="14">
        <v>1440</v>
      </c>
      <c r="AI613" s="14" t="s">
        <v>1165</v>
      </c>
      <c r="AJ613" s="15" t="s">
        <v>1148</v>
      </c>
      <c r="AK613" s="15">
        <v>67.302999999999997</v>
      </c>
      <c r="AL613" s="14" t="s">
        <v>1277</v>
      </c>
      <c r="AM613">
        <v>6.1400000000000006</v>
      </c>
      <c r="AN613" s="15">
        <v>4</v>
      </c>
      <c r="AO613" s="15">
        <v>100</v>
      </c>
      <c r="AP613" s="15">
        <v>25.11</v>
      </c>
      <c r="AQ613" s="14" t="s">
        <v>1283</v>
      </c>
      <c r="AR613" s="15" t="s">
        <v>1155</v>
      </c>
    </row>
    <row r="614" spans="1:44" x14ac:dyDescent="0.2">
      <c r="A614" t="s">
        <v>1073</v>
      </c>
      <c r="B614" s="15" t="s">
        <v>1146</v>
      </c>
      <c r="C614" s="15" t="s">
        <v>1149</v>
      </c>
      <c r="D614" t="s">
        <v>420</v>
      </c>
      <c r="E614" t="s">
        <v>1072</v>
      </c>
      <c r="F614" s="14"/>
      <c r="G614" s="15" t="s">
        <v>153</v>
      </c>
      <c r="H614" s="14" t="s">
        <v>1165</v>
      </c>
      <c r="I614" s="15" t="s">
        <v>1280</v>
      </c>
      <c r="J614" s="14"/>
      <c r="K614" s="14"/>
      <c r="L614" s="14"/>
      <c r="M614" s="15"/>
      <c r="N614" s="14"/>
      <c r="O614" s="17" t="s">
        <v>1281</v>
      </c>
      <c r="P614" s="14"/>
      <c r="Q614" s="14"/>
      <c r="R614" s="14"/>
      <c r="S614" s="14"/>
      <c r="T614" s="14">
        <v>4</v>
      </c>
      <c r="U614" s="14"/>
      <c r="V614" s="12" t="s">
        <v>1247</v>
      </c>
      <c r="W614" s="15">
        <v>35</v>
      </c>
      <c r="X614" s="12" t="s">
        <v>1201</v>
      </c>
      <c r="Y614" s="14"/>
      <c r="Z614" s="14">
        <v>0</v>
      </c>
      <c r="AA614" s="14"/>
      <c r="AB614" s="14"/>
      <c r="AC614" s="14"/>
      <c r="AD614" s="14"/>
      <c r="AE614" s="14"/>
      <c r="AF614" s="14" t="s">
        <v>153</v>
      </c>
      <c r="AG614" s="14" t="s">
        <v>1160</v>
      </c>
      <c r="AH614" s="14">
        <v>1440</v>
      </c>
      <c r="AI614" s="14" t="s">
        <v>1165</v>
      </c>
      <c r="AJ614" s="15" t="s">
        <v>1148</v>
      </c>
      <c r="AK614" s="15">
        <v>68.180000000000007</v>
      </c>
      <c r="AL614" s="14" t="s">
        <v>1277</v>
      </c>
      <c r="AM614">
        <v>7.1929999999999978</v>
      </c>
      <c r="AN614" s="15">
        <v>4</v>
      </c>
      <c r="AO614" s="15">
        <v>100</v>
      </c>
      <c r="AP614" s="15">
        <v>26.97</v>
      </c>
      <c r="AQ614" s="14" t="s">
        <v>1283</v>
      </c>
      <c r="AR614" s="15" t="s">
        <v>1155</v>
      </c>
    </row>
    <row r="615" spans="1:44" x14ac:dyDescent="0.2">
      <c r="A615" t="s">
        <v>1073</v>
      </c>
      <c r="B615" s="15" t="s">
        <v>1146</v>
      </c>
      <c r="C615" s="15" t="s">
        <v>1149</v>
      </c>
      <c r="D615" t="s">
        <v>420</v>
      </c>
      <c r="E615" t="s">
        <v>1072</v>
      </c>
      <c r="F615" s="14"/>
      <c r="G615" s="15" t="s">
        <v>153</v>
      </c>
      <c r="H615" s="14" t="s">
        <v>1165</v>
      </c>
      <c r="I615" s="15" t="s">
        <v>1280</v>
      </c>
      <c r="J615" s="14"/>
      <c r="K615" s="14"/>
      <c r="L615" s="14"/>
      <c r="M615" s="15"/>
      <c r="N615" s="14"/>
      <c r="O615" s="17" t="s">
        <v>1281</v>
      </c>
      <c r="P615" s="14"/>
      <c r="Q615" s="14"/>
      <c r="R615" s="14"/>
      <c r="S615" s="14"/>
      <c r="T615" s="14">
        <v>4</v>
      </c>
      <c r="U615" s="14"/>
      <c r="V615" s="12" t="s">
        <v>1247</v>
      </c>
      <c r="W615" s="15">
        <v>35</v>
      </c>
      <c r="X615" s="12" t="s">
        <v>1201</v>
      </c>
      <c r="Y615" s="14"/>
      <c r="Z615" s="14">
        <v>0</v>
      </c>
      <c r="AA615" s="14"/>
      <c r="AB615" s="14"/>
      <c r="AC615" s="14"/>
      <c r="AD615" s="14"/>
      <c r="AE615" s="14"/>
      <c r="AF615" s="14" t="s">
        <v>153</v>
      </c>
      <c r="AG615" s="14" t="s">
        <v>1160</v>
      </c>
      <c r="AH615" s="14">
        <v>1440</v>
      </c>
      <c r="AI615" s="14" t="s">
        <v>1165</v>
      </c>
      <c r="AJ615" s="15" t="s">
        <v>1148</v>
      </c>
      <c r="AK615" s="15">
        <v>68.180000000000007</v>
      </c>
      <c r="AL615" s="14" t="s">
        <v>1277</v>
      </c>
      <c r="AM615">
        <v>7.0169999999999959</v>
      </c>
      <c r="AN615" s="15">
        <v>4</v>
      </c>
      <c r="AO615" s="15">
        <v>100</v>
      </c>
      <c r="AP615" s="15">
        <v>29.03</v>
      </c>
      <c r="AQ615" s="14" t="s">
        <v>1283</v>
      </c>
      <c r="AR615" s="15" t="s">
        <v>1155</v>
      </c>
    </row>
    <row r="616" spans="1:44" s="14" customFormat="1" x14ac:dyDescent="0.2">
      <c r="A616" s="14" t="s">
        <v>1073</v>
      </c>
      <c r="B616" s="15" t="s">
        <v>1146</v>
      </c>
      <c r="C616" s="15" t="s">
        <v>1149</v>
      </c>
      <c r="D616" s="14" t="s">
        <v>420</v>
      </c>
      <c r="E616" s="14" t="s">
        <v>1072</v>
      </c>
      <c r="G616" s="15" t="s">
        <v>153</v>
      </c>
      <c r="H616" s="14" t="s">
        <v>1165</v>
      </c>
      <c r="I616" s="15" t="s">
        <v>1280</v>
      </c>
      <c r="M616" s="15"/>
      <c r="O616" s="17" t="s">
        <v>1281</v>
      </c>
      <c r="T616" s="14">
        <v>4</v>
      </c>
      <c r="V616" s="12" t="s">
        <v>1247</v>
      </c>
      <c r="W616" s="15">
        <v>1.0640000000000001</v>
      </c>
      <c r="X616" s="12" t="s">
        <v>1247</v>
      </c>
      <c r="AF616" s="14" t="s">
        <v>153</v>
      </c>
      <c r="AG616" s="14" t="s">
        <v>1160</v>
      </c>
      <c r="AH616" s="14">
        <v>1440</v>
      </c>
      <c r="AI616" s="14" t="s">
        <v>1165</v>
      </c>
      <c r="AJ616" s="15" t="s">
        <v>1148</v>
      </c>
      <c r="AK616" s="15">
        <v>0</v>
      </c>
      <c r="AL616" s="14" t="s">
        <v>1277</v>
      </c>
      <c r="AM616" s="14">
        <v>0</v>
      </c>
      <c r="AN616" s="15">
        <v>4</v>
      </c>
      <c r="AO616" s="15">
        <v>100</v>
      </c>
      <c r="AP616" s="15">
        <v>-1.0640000000000001</v>
      </c>
      <c r="AQ616" s="14" t="s">
        <v>1299</v>
      </c>
      <c r="AR616" s="15" t="s">
        <v>1207</v>
      </c>
    </row>
    <row r="617" spans="1:44" s="14" customFormat="1" x14ac:dyDescent="0.2">
      <c r="A617" s="14" t="s">
        <v>1073</v>
      </c>
      <c r="B617" s="15" t="s">
        <v>1146</v>
      </c>
      <c r="C617" s="15" t="s">
        <v>1149</v>
      </c>
      <c r="D617" s="14" t="s">
        <v>420</v>
      </c>
      <c r="E617" s="14" t="s">
        <v>1072</v>
      </c>
      <c r="G617" s="15" t="s">
        <v>153</v>
      </c>
      <c r="H617" s="14" t="s">
        <v>1165</v>
      </c>
      <c r="I617" s="15" t="s">
        <v>1280</v>
      </c>
      <c r="M617" s="15"/>
      <c r="O617" s="17" t="s">
        <v>1281</v>
      </c>
      <c r="T617" s="14">
        <v>4</v>
      </c>
      <c r="V617" s="12" t="s">
        <v>1247</v>
      </c>
      <c r="W617" s="15">
        <v>13.377000000000001</v>
      </c>
      <c r="X617" s="12" t="s">
        <v>1247</v>
      </c>
      <c r="AF617" s="14" t="s">
        <v>153</v>
      </c>
      <c r="AG617" s="14" t="s">
        <v>1160</v>
      </c>
      <c r="AH617" s="14">
        <v>1440</v>
      </c>
      <c r="AI617" s="14" t="s">
        <v>1165</v>
      </c>
      <c r="AJ617" s="15" t="s">
        <v>1148</v>
      </c>
      <c r="AK617" s="15">
        <v>0</v>
      </c>
      <c r="AL617" s="14" t="s">
        <v>1277</v>
      </c>
      <c r="AM617" s="14">
        <v>0</v>
      </c>
      <c r="AN617" s="15">
        <v>4</v>
      </c>
      <c r="AO617" s="15">
        <v>100</v>
      </c>
      <c r="AP617" s="15">
        <v>-13.377000000000001</v>
      </c>
      <c r="AQ617" s="14" t="s">
        <v>1299</v>
      </c>
      <c r="AR617" s="15" t="s">
        <v>1207</v>
      </c>
    </row>
    <row r="618" spans="1:44" s="14" customFormat="1" x14ac:dyDescent="0.2">
      <c r="A618" s="14" t="s">
        <v>1073</v>
      </c>
      <c r="B618" s="15" t="s">
        <v>1146</v>
      </c>
      <c r="C618" s="15" t="s">
        <v>1149</v>
      </c>
      <c r="D618" s="14" t="s">
        <v>420</v>
      </c>
      <c r="E618" s="14" t="s">
        <v>1072</v>
      </c>
      <c r="G618" s="15" t="s">
        <v>153</v>
      </c>
      <c r="H618" s="14" t="s">
        <v>1165</v>
      </c>
      <c r="I618" s="15" t="s">
        <v>1280</v>
      </c>
      <c r="M618" s="15"/>
      <c r="O618" s="17" t="s">
        <v>1281</v>
      </c>
      <c r="T618" s="14">
        <v>4</v>
      </c>
      <c r="V618" s="12" t="s">
        <v>1247</v>
      </c>
      <c r="W618" s="15">
        <v>27.908999999999999</v>
      </c>
      <c r="X618" s="12" t="s">
        <v>1247</v>
      </c>
      <c r="AF618" s="14" t="s">
        <v>153</v>
      </c>
      <c r="AG618" s="14" t="s">
        <v>1160</v>
      </c>
      <c r="AH618" s="14">
        <v>1440</v>
      </c>
      <c r="AI618" s="14" t="s">
        <v>1165</v>
      </c>
      <c r="AJ618" s="15" t="s">
        <v>1148</v>
      </c>
      <c r="AK618" s="15">
        <v>2.08</v>
      </c>
      <c r="AL618" s="14" t="s">
        <v>1277</v>
      </c>
      <c r="AM618" s="14">
        <v>2.71</v>
      </c>
      <c r="AN618" s="15">
        <v>4</v>
      </c>
      <c r="AO618" s="15">
        <v>100</v>
      </c>
      <c r="AP618" s="15">
        <v>-27.908999999999999</v>
      </c>
      <c r="AQ618" s="14" t="s">
        <v>1299</v>
      </c>
      <c r="AR618" s="15" t="s">
        <v>1207</v>
      </c>
    </row>
    <row r="619" spans="1:44" s="14" customFormat="1" x14ac:dyDescent="0.2">
      <c r="A619" s="14" t="s">
        <v>1073</v>
      </c>
      <c r="B619" s="15" t="s">
        <v>1146</v>
      </c>
      <c r="C619" s="15" t="s">
        <v>1149</v>
      </c>
      <c r="D619" s="14" t="s">
        <v>420</v>
      </c>
      <c r="E619" s="14" t="s">
        <v>1072</v>
      </c>
      <c r="G619" s="15" t="s">
        <v>153</v>
      </c>
      <c r="H619" s="14" t="s">
        <v>1165</v>
      </c>
      <c r="I619" s="15" t="s">
        <v>1280</v>
      </c>
      <c r="M619" s="15"/>
      <c r="O619" s="17" t="s">
        <v>1281</v>
      </c>
      <c r="T619" s="14">
        <v>4</v>
      </c>
      <c r="V619" s="12" t="s">
        <v>1247</v>
      </c>
      <c r="W619" s="15">
        <v>35.356999999999999</v>
      </c>
      <c r="X619" s="12" t="s">
        <v>1247</v>
      </c>
      <c r="AF619" s="14" t="s">
        <v>153</v>
      </c>
      <c r="AG619" s="14" t="s">
        <v>1160</v>
      </c>
      <c r="AH619" s="14">
        <v>1440</v>
      </c>
      <c r="AI619" s="14" t="s">
        <v>1165</v>
      </c>
      <c r="AJ619" s="15" t="s">
        <v>1148</v>
      </c>
      <c r="AK619" s="15">
        <v>8.6340000000000003</v>
      </c>
      <c r="AL619" s="14" t="s">
        <v>1277</v>
      </c>
      <c r="AM619" s="14">
        <v>2.7729999999999997</v>
      </c>
      <c r="AN619" s="15">
        <v>4</v>
      </c>
      <c r="AO619" s="15">
        <v>100</v>
      </c>
      <c r="AP619" s="15">
        <v>-35.356999999999999</v>
      </c>
      <c r="AQ619" s="14" t="s">
        <v>1299</v>
      </c>
      <c r="AR619" s="15" t="s">
        <v>1207</v>
      </c>
    </row>
    <row r="620" spans="1:44" s="14" customFormat="1" x14ac:dyDescent="0.2">
      <c r="A620" s="14" t="s">
        <v>1073</v>
      </c>
      <c r="B620" s="15" t="s">
        <v>1146</v>
      </c>
      <c r="C620" s="15" t="s">
        <v>1149</v>
      </c>
      <c r="D620" s="14" t="s">
        <v>420</v>
      </c>
      <c r="E620" s="14" t="s">
        <v>1072</v>
      </c>
      <c r="G620" s="15" t="s">
        <v>153</v>
      </c>
      <c r="H620" s="14" t="s">
        <v>1165</v>
      </c>
      <c r="I620" s="15" t="s">
        <v>1280</v>
      </c>
      <c r="M620" s="15"/>
      <c r="O620" s="17" t="s">
        <v>1281</v>
      </c>
      <c r="T620" s="14">
        <v>4</v>
      </c>
      <c r="V620" s="12" t="s">
        <v>1247</v>
      </c>
      <c r="W620" s="15">
        <v>42.091000000000001</v>
      </c>
      <c r="X620" s="12" t="s">
        <v>1247</v>
      </c>
      <c r="AF620" s="14" t="s">
        <v>153</v>
      </c>
      <c r="AG620" s="14" t="s">
        <v>1160</v>
      </c>
      <c r="AH620" s="14">
        <v>1440</v>
      </c>
      <c r="AI620" s="14" t="s">
        <v>1165</v>
      </c>
      <c r="AJ620" s="15" t="s">
        <v>1148</v>
      </c>
      <c r="AK620" s="15">
        <v>21.744</v>
      </c>
      <c r="AL620" s="14" t="s">
        <v>1277</v>
      </c>
      <c r="AM620" s="14">
        <v>10.84</v>
      </c>
      <c r="AN620" s="15">
        <v>4</v>
      </c>
      <c r="AO620" s="15">
        <v>100</v>
      </c>
      <c r="AP620" s="15">
        <v>-42.091000000000001</v>
      </c>
      <c r="AQ620" s="14" t="s">
        <v>1299</v>
      </c>
      <c r="AR620" s="15" t="s">
        <v>1207</v>
      </c>
    </row>
    <row r="621" spans="1:44" s="14" customFormat="1" x14ac:dyDescent="0.2">
      <c r="A621" s="14" t="s">
        <v>1073</v>
      </c>
      <c r="B621" s="15" t="s">
        <v>1146</v>
      </c>
      <c r="C621" s="15" t="s">
        <v>1149</v>
      </c>
      <c r="D621" s="14" t="s">
        <v>420</v>
      </c>
      <c r="E621" s="14" t="s">
        <v>1072</v>
      </c>
      <c r="G621" s="15" t="s">
        <v>153</v>
      </c>
      <c r="H621" s="14" t="s">
        <v>1165</v>
      </c>
      <c r="I621" s="15" t="s">
        <v>1280</v>
      </c>
      <c r="M621" s="15"/>
      <c r="O621" s="17" t="s">
        <v>1281</v>
      </c>
      <c r="T621" s="14">
        <v>4</v>
      </c>
      <c r="V621" s="12" t="s">
        <v>1247</v>
      </c>
      <c r="W621" s="15">
        <v>49.174999999999997</v>
      </c>
      <c r="X621" s="12" t="s">
        <v>1247</v>
      </c>
      <c r="AF621" s="14" t="s">
        <v>153</v>
      </c>
      <c r="AG621" s="14" t="s">
        <v>1160</v>
      </c>
      <c r="AH621" s="14">
        <v>1440</v>
      </c>
      <c r="AI621" s="14" t="s">
        <v>1165</v>
      </c>
      <c r="AJ621" s="15" t="s">
        <v>1148</v>
      </c>
      <c r="AK621" s="15">
        <v>29.055</v>
      </c>
      <c r="AL621" s="14" t="s">
        <v>1277</v>
      </c>
      <c r="AM621" s="14">
        <v>9.5799999999999983</v>
      </c>
      <c r="AN621" s="15">
        <v>4</v>
      </c>
      <c r="AO621" s="15">
        <v>100</v>
      </c>
      <c r="AP621" s="15">
        <v>-49.174999999999997</v>
      </c>
      <c r="AQ621" s="14" t="s">
        <v>1299</v>
      </c>
      <c r="AR621" s="15" t="s">
        <v>1207</v>
      </c>
    </row>
    <row r="622" spans="1:44" s="14" customFormat="1" x14ac:dyDescent="0.2">
      <c r="A622" s="14" t="s">
        <v>1073</v>
      </c>
      <c r="B622" s="15" t="s">
        <v>1146</v>
      </c>
      <c r="C622" s="15" t="s">
        <v>1149</v>
      </c>
      <c r="D622" s="14" t="s">
        <v>420</v>
      </c>
      <c r="E622" s="14" t="s">
        <v>1072</v>
      </c>
      <c r="G622" s="15" t="s">
        <v>153</v>
      </c>
      <c r="H622" s="14" t="s">
        <v>1165</v>
      </c>
      <c r="I622" s="15" t="s">
        <v>1280</v>
      </c>
      <c r="M622" s="15"/>
      <c r="O622" s="17" t="s">
        <v>1281</v>
      </c>
      <c r="T622" s="14">
        <v>4</v>
      </c>
      <c r="V622" s="12" t="s">
        <v>1247</v>
      </c>
      <c r="W622" s="15">
        <v>55.558999999999997</v>
      </c>
      <c r="X622" s="12" t="s">
        <v>1247</v>
      </c>
      <c r="AF622" s="14" t="s">
        <v>153</v>
      </c>
      <c r="AG622" s="14" t="s">
        <v>1160</v>
      </c>
      <c r="AH622" s="14">
        <v>1440</v>
      </c>
      <c r="AI622" s="14" t="s">
        <v>1165</v>
      </c>
      <c r="AJ622" s="15" t="s">
        <v>1148</v>
      </c>
      <c r="AK622" s="15">
        <v>39.643000000000001</v>
      </c>
      <c r="AL622" s="14" t="s">
        <v>1277</v>
      </c>
      <c r="AM622" s="14">
        <v>5.2939999999999969</v>
      </c>
      <c r="AN622" s="15">
        <v>4</v>
      </c>
      <c r="AO622" s="15">
        <v>100</v>
      </c>
      <c r="AP622" s="15">
        <v>-55.558999999999997</v>
      </c>
      <c r="AQ622" s="14" t="s">
        <v>1299</v>
      </c>
      <c r="AR622" s="15" t="s">
        <v>1207</v>
      </c>
    </row>
    <row r="623" spans="1:44" s="14" customFormat="1" x14ac:dyDescent="0.2">
      <c r="A623" s="14" t="s">
        <v>1073</v>
      </c>
      <c r="B623" s="15" t="s">
        <v>1146</v>
      </c>
      <c r="C623" s="15" t="s">
        <v>1149</v>
      </c>
      <c r="D623" s="14" t="s">
        <v>420</v>
      </c>
      <c r="E623" s="14" t="s">
        <v>1072</v>
      </c>
      <c r="G623" s="15" t="s">
        <v>153</v>
      </c>
      <c r="H623" s="14" t="s">
        <v>1165</v>
      </c>
      <c r="I623" s="15" t="s">
        <v>1280</v>
      </c>
      <c r="M623" s="15"/>
      <c r="O623" s="17" t="s">
        <v>1281</v>
      </c>
      <c r="T623" s="14">
        <v>4</v>
      </c>
      <c r="V623" s="12" t="s">
        <v>1247</v>
      </c>
      <c r="W623" s="15">
        <v>69.733999999999995</v>
      </c>
      <c r="X623" s="12" t="s">
        <v>1247</v>
      </c>
      <c r="AF623" s="14" t="s">
        <v>153</v>
      </c>
      <c r="AG623" s="14" t="s">
        <v>1160</v>
      </c>
      <c r="AH623" s="14">
        <v>1440</v>
      </c>
      <c r="AI623" s="14" t="s">
        <v>1165</v>
      </c>
      <c r="AJ623" s="15" t="s">
        <v>1148</v>
      </c>
      <c r="AK623" s="15">
        <v>55.273000000000003</v>
      </c>
      <c r="AL623" s="14" t="s">
        <v>1277</v>
      </c>
      <c r="AM623" s="14">
        <v>5.7980000000000018</v>
      </c>
      <c r="AN623" s="15">
        <v>4</v>
      </c>
      <c r="AO623" s="15">
        <v>100</v>
      </c>
      <c r="AP623" s="15">
        <v>-69.733999999999995</v>
      </c>
      <c r="AQ623" s="14" t="s">
        <v>1299</v>
      </c>
      <c r="AR623" s="15" t="s">
        <v>1207</v>
      </c>
    </row>
    <row r="624" spans="1:44" s="14" customFormat="1" x14ac:dyDescent="0.2">
      <c r="A624" s="14" t="s">
        <v>1073</v>
      </c>
      <c r="B624" s="15" t="s">
        <v>1146</v>
      </c>
      <c r="C624" s="15" t="s">
        <v>1149</v>
      </c>
      <c r="D624" s="14" t="s">
        <v>420</v>
      </c>
      <c r="E624" s="14" t="s">
        <v>1072</v>
      </c>
      <c r="G624" s="15" t="s">
        <v>153</v>
      </c>
      <c r="H624" s="14" t="s">
        <v>1165</v>
      </c>
      <c r="I624" s="15" t="s">
        <v>1280</v>
      </c>
      <c r="M624" s="15"/>
      <c r="O624" s="17" t="s">
        <v>1281</v>
      </c>
      <c r="T624" s="14">
        <v>4</v>
      </c>
      <c r="V624" s="12" t="s">
        <v>1247</v>
      </c>
      <c r="W624" s="15">
        <v>83.909000000000006</v>
      </c>
      <c r="X624" s="12" t="s">
        <v>1247</v>
      </c>
      <c r="AF624" s="14" t="s">
        <v>153</v>
      </c>
      <c r="AG624" s="14" t="s">
        <v>1160</v>
      </c>
      <c r="AH624" s="14">
        <v>1440</v>
      </c>
      <c r="AI624" s="14" t="s">
        <v>1165</v>
      </c>
      <c r="AJ624" s="15" t="s">
        <v>1148</v>
      </c>
      <c r="AK624" s="15">
        <v>55.777000000000001</v>
      </c>
      <c r="AL624" s="14" t="s">
        <v>1277</v>
      </c>
      <c r="AM624" s="14">
        <v>15.126000000000005</v>
      </c>
      <c r="AN624" s="15">
        <v>4</v>
      </c>
      <c r="AO624" s="15">
        <v>100</v>
      </c>
      <c r="AP624" s="15">
        <v>-83.909000000000006</v>
      </c>
      <c r="AQ624" s="14" t="s">
        <v>1299</v>
      </c>
      <c r="AR624" s="15" t="s">
        <v>1207</v>
      </c>
    </row>
    <row r="625" spans="1:45" s="14" customFormat="1" x14ac:dyDescent="0.2">
      <c r="A625" s="14" t="s">
        <v>1073</v>
      </c>
      <c r="B625" s="15" t="s">
        <v>1146</v>
      </c>
      <c r="C625" s="15" t="s">
        <v>1149</v>
      </c>
      <c r="D625" s="14" t="s">
        <v>420</v>
      </c>
      <c r="E625" s="14" t="s">
        <v>1072</v>
      </c>
      <c r="G625" s="15" t="s">
        <v>153</v>
      </c>
      <c r="H625" s="14" t="s">
        <v>1165</v>
      </c>
      <c r="I625" s="15" t="s">
        <v>1280</v>
      </c>
      <c r="M625" s="15"/>
      <c r="O625" s="17" t="s">
        <v>1281</v>
      </c>
      <c r="T625" s="14">
        <v>4</v>
      </c>
      <c r="V625" s="12" t="s">
        <v>1247</v>
      </c>
      <c r="W625" s="15">
        <v>97.733999999999995</v>
      </c>
      <c r="X625" s="12" t="s">
        <v>1247</v>
      </c>
      <c r="AF625" s="14" t="s">
        <v>153</v>
      </c>
      <c r="AG625" s="14" t="s">
        <v>1160</v>
      </c>
      <c r="AH625" s="14">
        <v>1440</v>
      </c>
      <c r="AI625" s="14" t="s">
        <v>1165</v>
      </c>
      <c r="AJ625" s="15" t="s">
        <v>1148</v>
      </c>
      <c r="AK625" s="15">
        <v>65.861000000000004</v>
      </c>
      <c r="AL625" s="14" t="s">
        <v>1277</v>
      </c>
      <c r="AM625" s="14">
        <v>4.034000000000006</v>
      </c>
      <c r="AN625" s="15">
        <v>4</v>
      </c>
      <c r="AO625" s="15">
        <v>100</v>
      </c>
      <c r="AP625" s="15">
        <v>-97.733999999999995</v>
      </c>
      <c r="AQ625" s="14" t="s">
        <v>1299</v>
      </c>
      <c r="AR625" s="15" t="s">
        <v>1207</v>
      </c>
    </row>
    <row r="626" spans="1:45" s="14" customFormat="1" x14ac:dyDescent="0.2">
      <c r="A626" s="14" t="s">
        <v>1073</v>
      </c>
      <c r="B626" s="15" t="s">
        <v>1146</v>
      </c>
      <c r="C626" s="15" t="s">
        <v>1149</v>
      </c>
      <c r="D626" s="14" t="s">
        <v>420</v>
      </c>
      <c r="E626" s="14" t="s">
        <v>1072</v>
      </c>
      <c r="G626" s="15" t="s">
        <v>153</v>
      </c>
      <c r="H626" s="14" t="s">
        <v>1165</v>
      </c>
      <c r="I626" s="15" t="s">
        <v>1280</v>
      </c>
      <c r="M626" s="15"/>
      <c r="O626" s="17" t="s">
        <v>1281</v>
      </c>
      <c r="T626" s="14">
        <v>4</v>
      </c>
      <c r="V626" s="12" t="s">
        <v>1247</v>
      </c>
      <c r="W626" s="15">
        <v>111.90900000000001</v>
      </c>
      <c r="X626" s="12" t="s">
        <v>1247</v>
      </c>
      <c r="AF626" s="14" t="s">
        <v>153</v>
      </c>
      <c r="AG626" s="14" t="s">
        <v>1160</v>
      </c>
      <c r="AH626" s="14">
        <v>1440</v>
      </c>
      <c r="AI626" s="14" t="s">
        <v>1165</v>
      </c>
      <c r="AJ626" s="15" t="s">
        <v>1148</v>
      </c>
      <c r="AK626" s="15">
        <v>62.835999999999999</v>
      </c>
      <c r="AL626" s="14" t="s">
        <v>1277</v>
      </c>
      <c r="AM626" s="14">
        <v>5.5459999999999923</v>
      </c>
      <c r="AN626" s="15">
        <v>4</v>
      </c>
      <c r="AO626" s="15">
        <v>100</v>
      </c>
      <c r="AP626" s="15">
        <v>-111.90900000000001</v>
      </c>
      <c r="AQ626" s="14" t="s">
        <v>1299</v>
      </c>
      <c r="AR626" s="15" t="s">
        <v>1207</v>
      </c>
    </row>
    <row r="627" spans="1:45" x14ac:dyDescent="0.2">
      <c r="A627" s="14" t="s">
        <v>1073</v>
      </c>
      <c r="B627" s="15" t="s">
        <v>1146</v>
      </c>
      <c r="C627" s="15" t="s">
        <v>1149</v>
      </c>
      <c r="D627" s="14" t="s">
        <v>420</v>
      </c>
      <c r="E627" s="14" t="s">
        <v>1072</v>
      </c>
      <c r="F627" s="14"/>
      <c r="G627" s="15" t="s">
        <v>153</v>
      </c>
      <c r="H627" s="14" t="s">
        <v>1165</v>
      </c>
      <c r="I627" s="15" t="s">
        <v>1280</v>
      </c>
      <c r="J627" s="14"/>
      <c r="K627" s="14"/>
      <c r="L627" s="14"/>
      <c r="M627" s="15"/>
      <c r="N627" s="14"/>
      <c r="O627" s="17" t="s">
        <v>1281</v>
      </c>
      <c r="P627" s="14"/>
      <c r="Q627" s="14"/>
      <c r="R627" s="14"/>
      <c r="S627" s="14"/>
      <c r="T627" s="14">
        <v>4</v>
      </c>
      <c r="U627" s="14"/>
      <c r="V627" s="12" t="s">
        <v>1247</v>
      </c>
      <c r="W627" s="15">
        <v>126.09099999999999</v>
      </c>
      <c r="X627" s="12" t="s">
        <v>1247</v>
      </c>
      <c r="Y627" s="14"/>
      <c r="Z627" s="14"/>
      <c r="AA627" s="14"/>
      <c r="AB627" s="14"/>
      <c r="AC627" s="14"/>
      <c r="AD627" s="14"/>
      <c r="AE627" s="14"/>
      <c r="AF627" s="14" t="s">
        <v>153</v>
      </c>
      <c r="AG627" s="14" t="s">
        <v>1160</v>
      </c>
      <c r="AH627" s="14">
        <v>1440</v>
      </c>
      <c r="AI627" s="14" t="s">
        <v>1165</v>
      </c>
      <c r="AJ627" s="15" t="s">
        <v>1148</v>
      </c>
      <c r="AK627" s="15">
        <v>64.600999999999999</v>
      </c>
      <c r="AL627" s="14" t="s">
        <v>1277</v>
      </c>
      <c r="AM627" s="14">
        <v>5.0420000000000016</v>
      </c>
      <c r="AN627" s="15">
        <v>4</v>
      </c>
      <c r="AO627" s="15">
        <v>100</v>
      </c>
      <c r="AP627" s="15">
        <v>-126.09099999999999</v>
      </c>
      <c r="AQ627" s="14" t="s">
        <v>1299</v>
      </c>
      <c r="AR627" s="15" t="s">
        <v>1207</v>
      </c>
      <c r="AS627" s="14"/>
    </row>
    <row r="628" spans="1:45" x14ac:dyDescent="0.2">
      <c r="A628" s="14" t="s">
        <v>1073</v>
      </c>
      <c r="B628" s="15" t="s">
        <v>1146</v>
      </c>
      <c r="C628" s="15" t="s">
        <v>1149</v>
      </c>
      <c r="D628" s="14" t="s">
        <v>420</v>
      </c>
      <c r="E628" s="14" t="s">
        <v>1072</v>
      </c>
      <c r="F628" s="14"/>
      <c r="G628" s="15" t="s">
        <v>153</v>
      </c>
      <c r="H628" s="14" t="s">
        <v>1165</v>
      </c>
      <c r="I628" s="15" t="s">
        <v>1280</v>
      </c>
      <c r="J628" s="14"/>
      <c r="K628" s="14"/>
      <c r="L628" s="14"/>
      <c r="M628" s="15"/>
      <c r="N628" s="14"/>
      <c r="O628" s="17" t="s">
        <v>1281</v>
      </c>
      <c r="P628" s="14"/>
      <c r="Q628" s="14"/>
      <c r="R628" s="14"/>
      <c r="S628" s="14"/>
      <c r="T628" s="14">
        <v>4</v>
      </c>
      <c r="U628" s="14"/>
      <c r="V628" s="12" t="s">
        <v>1247</v>
      </c>
      <c r="W628" s="15">
        <v>138.495</v>
      </c>
      <c r="X628" s="12" t="s">
        <v>1247</v>
      </c>
      <c r="Y628" s="14"/>
      <c r="Z628" s="14"/>
      <c r="AA628" s="14"/>
      <c r="AB628" s="14"/>
      <c r="AC628" s="14"/>
      <c r="AD628" s="14"/>
      <c r="AE628" s="14"/>
      <c r="AF628" s="14" t="s">
        <v>153</v>
      </c>
      <c r="AG628" s="14" t="s">
        <v>1160</v>
      </c>
      <c r="AH628" s="14">
        <v>1440</v>
      </c>
      <c r="AI628" s="14" t="s">
        <v>1165</v>
      </c>
      <c r="AJ628" s="15" t="s">
        <v>1148</v>
      </c>
      <c r="AK628" s="15">
        <v>67.122</v>
      </c>
      <c r="AL628" s="14" t="s">
        <v>1277</v>
      </c>
      <c r="AM628" s="14">
        <v>11.092000000000006</v>
      </c>
      <c r="AN628" s="15">
        <v>4</v>
      </c>
      <c r="AO628" s="15">
        <v>100</v>
      </c>
      <c r="AP628" s="15">
        <v>-138.495</v>
      </c>
      <c r="AQ628" s="14" t="s">
        <v>1299</v>
      </c>
      <c r="AR628" s="15" t="s">
        <v>1207</v>
      </c>
      <c r="AS628" s="14"/>
    </row>
    <row r="629" spans="1:45" x14ac:dyDescent="0.2">
      <c r="A629" s="14" t="s">
        <v>1073</v>
      </c>
      <c r="B629" s="15" t="s">
        <v>1146</v>
      </c>
      <c r="C629" s="15" t="s">
        <v>1149</v>
      </c>
      <c r="D629" s="14" t="s">
        <v>420</v>
      </c>
      <c r="E629" s="14" t="s">
        <v>1072</v>
      </c>
      <c r="F629" s="14"/>
      <c r="G629" s="15" t="s">
        <v>153</v>
      </c>
      <c r="H629" s="14" t="s">
        <v>1165</v>
      </c>
      <c r="I629" s="15" t="s">
        <v>1280</v>
      </c>
      <c r="J629" s="14"/>
      <c r="K629" s="14"/>
      <c r="L629" s="14"/>
      <c r="M629" s="15"/>
      <c r="N629" s="14"/>
      <c r="O629" s="17" t="s">
        <v>1281</v>
      </c>
      <c r="P629" s="14"/>
      <c r="Q629" s="14"/>
      <c r="R629" s="14"/>
      <c r="S629" s="14"/>
      <c r="T629" s="14">
        <v>4</v>
      </c>
      <c r="U629" s="14"/>
      <c r="V629" s="12" t="s">
        <v>1247</v>
      </c>
      <c r="W629" s="15">
        <v>1.0640000000000001</v>
      </c>
      <c r="X629" s="12" t="s">
        <v>1201</v>
      </c>
      <c r="Y629" s="14"/>
      <c r="Z629" s="14"/>
      <c r="AA629" s="14"/>
      <c r="AB629" s="14"/>
      <c r="AC629" s="14"/>
      <c r="AD629" s="14"/>
      <c r="AE629" s="14"/>
      <c r="AF629" s="14" t="s">
        <v>153</v>
      </c>
      <c r="AG629" s="14" t="s">
        <v>1160</v>
      </c>
      <c r="AH629" s="14">
        <v>1440</v>
      </c>
      <c r="AI629" s="14" t="s">
        <v>1165</v>
      </c>
      <c r="AJ629" s="15" t="s">
        <v>1148</v>
      </c>
      <c r="AK629" s="15">
        <v>49.915999999999997</v>
      </c>
      <c r="AL629" s="14" t="s">
        <v>1277</v>
      </c>
      <c r="AM629" s="14">
        <v>5.5459999999999994</v>
      </c>
      <c r="AN629" s="15">
        <v>4</v>
      </c>
      <c r="AO629" s="15">
        <v>100</v>
      </c>
      <c r="AP629" s="15">
        <v>30</v>
      </c>
      <c r="AQ629" s="14" t="s">
        <v>1284</v>
      </c>
      <c r="AR629" s="15" t="s">
        <v>1207</v>
      </c>
      <c r="AS629" s="14"/>
    </row>
    <row r="630" spans="1:45" x14ac:dyDescent="0.2">
      <c r="A630" s="14" t="s">
        <v>1073</v>
      </c>
      <c r="B630" s="15" t="s">
        <v>1146</v>
      </c>
      <c r="C630" s="15" t="s">
        <v>1149</v>
      </c>
      <c r="D630" s="14" t="s">
        <v>420</v>
      </c>
      <c r="E630" s="14" t="s">
        <v>1072</v>
      </c>
      <c r="F630" s="14"/>
      <c r="G630" s="15" t="s">
        <v>153</v>
      </c>
      <c r="H630" s="14" t="s">
        <v>1165</v>
      </c>
      <c r="I630" s="15" t="s">
        <v>1280</v>
      </c>
      <c r="J630" s="14"/>
      <c r="K630" s="14"/>
      <c r="L630" s="14"/>
      <c r="M630" s="15"/>
      <c r="N630" s="14"/>
      <c r="O630" s="17" t="s">
        <v>1281</v>
      </c>
      <c r="P630" s="14"/>
      <c r="Q630" s="14"/>
      <c r="R630" s="14"/>
      <c r="S630" s="14"/>
      <c r="T630" s="14">
        <v>4</v>
      </c>
      <c r="U630" s="14"/>
      <c r="V630" s="12" t="s">
        <v>1247</v>
      </c>
      <c r="W630" s="15">
        <v>13.377000000000001</v>
      </c>
      <c r="X630" s="12" t="s">
        <v>1201</v>
      </c>
      <c r="Y630" s="14"/>
      <c r="Z630" s="14"/>
      <c r="AA630" s="14"/>
      <c r="AB630" s="14"/>
      <c r="AC630" s="14"/>
      <c r="AD630" s="14"/>
      <c r="AE630" s="14"/>
      <c r="AF630" s="14" t="s">
        <v>153</v>
      </c>
      <c r="AG630" s="14" t="s">
        <v>1160</v>
      </c>
      <c r="AH630" s="14">
        <v>1440</v>
      </c>
      <c r="AI630" s="14" t="s">
        <v>1165</v>
      </c>
      <c r="AJ630" s="15" t="s">
        <v>1148</v>
      </c>
      <c r="AK630" s="15">
        <v>59.811</v>
      </c>
      <c r="AL630" s="14" t="s">
        <v>1277</v>
      </c>
      <c r="AM630" s="14">
        <v>9.0760000000000005</v>
      </c>
      <c r="AN630" s="15">
        <v>4</v>
      </c>
      <c r="AO630" s="15">
        <v>100</v>
      </c>
      <c r="AP630" s="15">
        <v>30</v>
      </c>
      <c r="AQ630" s="14" t="s">
        <v>1284</v>
      </c>
      <c r="AR630" s="15" t="s">
        <v>1207</v>
      </c>
      <c r="AS630" s="14"/>
    </row>
    <row r="631" spans="1:45" x14ac:dyDescent="0.2">
      <c r="A631" s="14" t="s">
        <v>1073</v>
      </c>
      <c r="B631" s="15" t="s">
        <v>1146</v>
      </c>
      <c r="C631" s="15" t="s">
        <v>1149</v>
      </c>
      <c r="D631" s="14" t="s">
        <v>420</v>
      </c>
      <c r="E631" s="14" t="s">
        <v>1072</v>
      </c>
      <c r="F631" s="14"/>
      <c r="G631" s="15" t="s">
        <v>153</v>
      </c>
      <c r="H631" s="14" t="s">
        <v>1165</v>
      </c>
      <c r="I631" s="15" t="s">
        <v>1280</v>
      </c>
      <c r="J631" s="14"/>
      <c r="K631" s="14"/>
      <c r="L631" s="14"/>
      <c r="M631" s="15"/>
      <c r="N631" s="14"/>
      <c r="O631" s="17" t="s">
        <v>1281</v>
      </c>
      <c r="P631" s="14"/>
      <c r="Q631" s="14"/>
      <c r="R631" s="14"/>
      <c r="S631" s="14"/>
      <c r="T631" s="14">
        <v>4</v>
      </c>
      <c r="U631" s="14"/>
      <c r="V631" s="12" t="s">
        <v>1247</v>
      </c>
      <c r="W631" s="15">
        <v>27.908999999999999</v>
      </c>
      <c r="X631" s="12" t="s">
        <v>1201</v>
      </c>
      <c r="Y631" s="14"/>
      <c r="Z631" s="14"/>
      <c r="AA631" s="14"/>
      <c r="AB631" s="14"/>
      <c r="AC631" s="14"/>
      <c r="AD631" s="14"/>
      <c r="AE631" s="14"/>
      <c r="AF631" s="14" t="s">
        <v>153</v>
      </c>
      <c r="AG631" s="14" t="s">
        <v>1160</v>
      </c>
      <c r="AH631" s="14">
        <v>1440</v>
      </c>
      <c r="AI631" s="14" t="s">
        <v>1165</v>
      </c>
      <c r="AJ631" s="15" t="s">
        <v>1148</v>
      </c>
      <c r="AK631" s="15">
        <v>72.164000000000001</v>
      </c>
      <c r="AL631" s="14" t="s">
        <v>1277</v>
      </c>
      <c r="AM631" s="14">
        <v>6.3019999999999925</v>
      </c>
      <c r="AN631" s="15">
        <v>4</v>
      </c>
      <c r="AO631" s="15">
        <v>100</v>
      </c>
      <c r="AP631" s="15">
        <v>30</v>
      </c>
      <c r="AQ631" s="14" t="s">
        <v>1284</v>
      </c>
      <c r="AR631" s="15" t="s">
        <v>1207</v>
      </c>
      <c r="AS631" s="14"/>
    </row>
    <row r="632" spans="1:45" x14ac:dyDescent="0.2">
      <c r="A632" s="14" t="s">
        <v>1073</v>
      </c>
      <c r="B632" s="15" t="s">
        <v>1146</v>
      </c>
      <c r="C632" s="15" t="s">
        <v>1149</v>
      </c>
      <c r="D632" s="14" t="s">
        <v>420</v>
      </c>
      <c r="E632" s="14" t="s">
        <v>1072</v>
      </c>
      <c r="F632" s="14"/>
      <c r="G632" s="15" t="s">
        <v>153</v>
      </c>
      <c r="H632" s="14" t="s">
        <v>1165</v>
      </c>
      <c r="I632" s="15" t="s">
        <v>1280</v>
      </c>
      <c r="J632" s="14"/>
      <c r="K632" s="14"/>
      <c r="L632" s="14"/>
      <c r="M632" s="15"/>
      <c r="N632" s="14"/>
      <c r="O632" s="17" t="s">
        <v>1281</v>
      </c>
      <c r="P632" s="14"/>
      <c r="Q632" s="14"/>
      <c r="R632" s="14"/>
      <c r="S632" s="14"/>
      <c r="T632" s="14">
        <v>4</v>
      </c>
      <c r="U632" s="14"/>
      <c r="V632" s="12" t="s">
        <v>1247</v>
      </c>
      <c r="W632" s="15">
        <v>35.356999999999999</v>
      </c>
      <c r="X632" s="12" t="s">
        <v>1201</v>
      </c>
      <c r="Y632" s="14"/>
      <c r="Z632" s="14"/>
      <c r="AA632" s="14"/>
      <c r="AB632" s="14"/>
      <c r="AC632" s="14"/>
      <c r="AD632" s="14"/>
      <c r="AE632" s="14"/>
      <c r="AF632" s="14" t="s">
        <v>153</v>
      </c>
      <c r="AG632" s="14" t="s">
        <v>1160</v>
      </c>
      <c r="AH632" s="14">
        <v>1440</v>
      </c>
      <c r="AI632" s="14" t="s">
        <v>1165</v>
      </c>
      <c r="AJ632" s="15" t="s">
        <v>1148</v>
      </c>
      <c r="AK632" s="15">
        <v>71.66</v>
      </c>
      <c r="AL632" s="14" t="s">
        <v>1277</v>
      </c>
      <c r="AM632" s="14">
        <v>7.8160000000000025</v>
      </c>
      <c r="AN632" s="15">
        <v>4</v>
      </c>
      <c r="AO632" s="15">
        <v>100</v>
      </c>
      <c r="AP632" s="15">
        <v>30</v>
      </c>
      <c r="AQ632" s="14" t="s">
        <v>1284</v>
      </c>
      <c r="AR632" s="15" t="s">
        <v>1207</v>
      </c>
      <c r="AS632" s="14"/>
    </row>
    <row r="633" spans="1:45" x14ac:dyDescent="0.2">
      <c r="A633" s="14" t="s">
        <v>1073</v>
      </c>
      <c r="B633" s="15" t="s">
        <v>1146</v>
      </c>
      <c r="C633" s="15" t="s">
        <v>1149</v>
      </c>
      <c r="D633" s="14" t="s">
        <v>420</v>
      </c>
      <c r="E633" s="14" t="s">
        <v>1072</v>
      </c>
      <c r="F633" s="14"/>
      <c r="G633" s="15" t="s">
        <v>153</v>
      </c>
      <c r="H633" s="14" t="s">
        <v>1165</v>
      </c>
      <c r="I633" s="15" t="s">
        <v>1280</v>
      </c>
      <c r="J633" s="14"/>
      <c r="K633" s="14"/>
      <c r="L633" s="14"/>
      <c r="M633" s="15"/>
      <c r="N633" s="14"/>
      <c r="O633" s="17" t="s">
        <v>1281</v>
      </c>
      <c r="P633" s="14"/>
      <c r="Q633" s="14"/>
      <c r="R633" s="14"/>
      <c r="S633" s="14"/>
      <c r="T633" s="14">
        <v>4</v>
      </c>
      <c r="U633" s="14"/>
      <c r="V633" s="12" t="s">
        <v>1247</v>
      </c>
      <c r="W633" s="15">
        <v>42.091000000000001</v>
      </c>
      <c r="X633" s="12" t="s">
        <v>1201</v>
      </c>
      <c r="Y633" s="14"/>
      <c r="Z633" s="14"/>
      <c r="AA633" s="14"/>
      <c r="AB633" s="14"/>
      <c r="AC633" s="14"/>
      <c r="AD633" s="14"/>
      <c r="AE633" s="14"/>
      <c r="AF633" s="14" t="s">
        <v>153</v>
      </c>
      <c r="AG633" s="14" t="s">
        <v>1160</v>
      </c>
      <c r="AH633" s="14">
        <v>1440</v>
      </c>
      <c r="AI633" s="14" t="s">
        <v>1165</v>
      </c>
      <c r="AJ633" s="15" t="s">
        <v>1148</v>
      </c>
      <c r="AK633" s="15">
        <v>71.66</v>
      </c>
      <c r="AL633" s="14" t="s">
        <v>1277</v>
      </c>
      <c r="AM633" s="14">
        <v>11.847999999999999</v>
      </c>
      <c r="AN633" s="15">
        <v>4</v>
      </c>
      <c r="AO633" s="15">
        <v>100</v>
      </c>
      <c r="AP633" s="15">
        <v>30</v>
      </c>
      <c r="AQ633" s="14" t="s">
        <v>1284</v>
      </c>
      <c r="AR633" s="15" t="s">
        <v>1207</v>
      </c>
      <c r="AS633" s="14"/>
    </row>
    <row r="634" spans="1:45" x14ac:dyDescent="0.2">
      <c r="A634" s="14" t="s">
        <v>1073</v>
      </c>
      <c r="B634" s="15" t="s">
        <v>1146</v>
      </c>
      <c r="C634" s="15" t="s">
        <v>1149</v>
      </c>
      <c r="D634" s="14" t="s">
        <v>420</v>
      </c>
      <c r="E634" s="14" t="s">
        <v>1072</v>
      </c>
      <c r="F634" s="14"/>
      <c r="G634" s="15" t="s">
        <v>153</v>
      </c>
      <c r="H634" s="14" t="s">
        <v>1165</v>
      </c>
      <c r="I634" s="15" t="s">
        <v>1280</v>
      </c>
      <c r="J634" s="14"/>
      <c r="K634" s="14"/>
      <c r="L634" s="14"/>
      <c r="M634" s="15"/>
      <c r="N634" s="14"/>
      <c r="O634" s="17" t="s">
        <v>1281</v>
      </c>
      <c r="P634" s="14"/>
      <c r="Q634" s="14"/>
      <c r="R634" s="14"/>
      <c r="S634" s="14"/>
      <c r="T634" s="14">
        <v>4</v>
      </c>
      <c r="U634" s="14"/>
      <c r="V634" s="12" t="s">
        <v>1247</v>
      </c>
      <c r="W634" s="15">
        <v>49.174999999999997</v>
      </c>
      <c r="X634" s="12" t="s">
        <v>1201</v>
      </c>
      <c r="Y634" s="14"/>
      <c r="Z634" s="14"/>
      <c r="AA634" s="14"/>
      <c r="AB634" s="14"/>
      <c r="AC634" s="14"/>
      <c r="AD634" s="14"/>
      <c r="AE634" s="14"/>
      <c r="AF634" s="14" t="s">
        <v>153</v>
      </c>
      <c r="AG634" s="14" t="s">
        <v>1160</v>
      </c>
      <c r="AH634" s="14">
        <v>1440</v>
      </c>
      <c r="AI634" s="14" t="s">
        <v>1165</v>
      </c>
      <c r="AJ634" s="15" t="s">
        <v>1148</v>
      </c>
      <c r="AK634" s="15">
        <v>76.953999999999994</v>
      </c>
      <c r="AL634" s="14" t="s">
        <v>1277</v>
      </c>
      <c r="AM634" s="14">
        <v>6.5539999999999878</v>
      </c>
      <c r="AN634" s="15">
        <v>4</v>
      </c>
      <c r="AO634" s="15">
        <v>100</v>
      </c>
      <c r="AP634" s="15">
        <v>30</v>
      </c>
      <c r="AQ634" s="14" t="s">
        <v>1284</v>
      </c>
      <c r="AR634" s="15" t="s">
        <v>1207</v>
      </c>
      <c r="AS634" s="14"/>
    </row>
    <row r="635" spans="1:45" x14ac:dyDescent="0.2">
      <c r="A635" s="14" t="s">
        <v>1073</v>
      </c>
      <c r="B635" s="15" t="s">
        <v>1146</v>
      </c>
      <c r="C635" s="15" t="s">
        <v>1149</v>
      </c>
      <c r="D635" s="14" t="s">
        <v>420</v>
      </c>
      <c r="E635" s="14" t="s">
        <v>1072</v>
      </c>
      <c r="F635" s="14"/>
      <c r="G635" s="15" t="s">
        <v>153</v>
      </c>
      <c r="H635" s="14" t="s">
        <v>1165</v>
      </c>
      <c r="I635" s="15" t="s">
        <v>1280</v>
      </c>
      <c r="J635" s="14"/>
      <c r="K635" s="14"/>
      <c r="L635" s="14"/>
      <c r="M635" s="15"/>
      <c r="N635" s="14"/>
      <c r="O635" s="17" t="s">
        <v>1281</v>
      </c>
      <c r="P635" s="14"/>
      <c r="Q635" s="14"/>
      <c r="R635" s="14"/>
      <c r="S635" s="14"/>
      <c r="T635" s="14">
        <v>4</v>
      </c>
      <c r="U635" s="14"/>
      <c r="V635" s="12" t="s">
        <v>1247</v>
      </c>
      <c r="W635" s="15">
        <v>55.558999999999997</v>
      </c>
      <c r="X635" s="12" t="s">
        <v>1201</v>
      </c>
      <c r="Y635" s="14"/>
      <c r="Z635" s="14"/>
      <c r="AA635" s="14"/>
      <c r="AB635" s="14"/>
      <c r="AC635" s="14"/>
      <c r="AD635" s="14"/>
      <c r="AE635" s="14"/>
      <c r="AF635" s="14" t="s">
        <v>153</v>
      </c>
      <c r="AG635" s="14" t="s">
        <v>1160</v>
      </c>
      <c r="AH635" s="14">
        <v>1440</v>
      </c>
      <c r="AI635" s="14" t="s">
        <v>1165</v>
      </c>
      <c r="AJ635" s="15" t="s">
        <v>1148</v>
      </c>
      <c r="AK635" s="15">
        <v>79.474999999999994</v>
      </c>
      <c r="AL635" s="14" t="s">
        <v>1277</v>
      </c>
      <c r="AM635" s="14">
        <v>7.311000000000007</v>
      </c>
      <c r="AN635" s="15">
        <v>4</v>
      </c>
      <c r="AO635" s="15">
        <v>100</v>
      </c>
      <c r="AP635" s="15">
        <v>30</v>
      </c>
      <c r="AQ635" s="14" t="s">
        <v>1284</v>
      </c>
      <c r="AR635" s="15" t="s">
        <v>1207</v>
      </c>
      <c r="AS635" s="14"/>
    </row>
    <row r="636" spans="1:45" x14ac:dyDescent="0.2">
      <c r="A636" s="14" t="s">
        <v>1073</v>
      </c>
      <c r="B636" s="15" t="s">
        <v>1146</v>
      </c>
      <c r="C636" s="15" t="s">
        <v>1149</v>
      </c>
      <c r="D636" s="14" t="s">
        <v>420</v>
      </c>
      <c r="E636" s="14" t="s">
        <v>1072</v>
      </c>
      <c r="F636" s="14"/>
      <c r="G636" s="15" t="s">
        <v>153</v>
      </c>
      <c r="H636" s="14" t="s">
        <v>1165</v>
      </c>
      <c r="I636" s="15" t="s">
        <v>1280</v>
      </c>
      <c r="J636" s="14"/>
      <c r="K636" s="14"/>
      <c r="L636" s="14"/>
      <c r="M636" s="15"/>
      <c r="N636" s="14"/>
      <c r="O636" s="17" t="s">
        <v>1281</v>
      </c>
      <c r="P636" s="14"/>
      <c r="Q636" s="14"/>
      <c r="R636" s="14"/>
      <c r="S636" s="14"/>
      <c r="T636" s="14">
        <v>4</v>
      </c>
      <c r="U636" s="14"/>
      <c r="V636" s="12" t="s">
        <v>1247</v>
      </c>
      <c r="W636" s="15">
        <v>69.733999999999995</v>
      </c>
      <c r="X636" s="12" t="s">
        <v>1201</v>
      </c>
      <c r="Y636" s="14"/>
      <c r="Z636" s="14"/>
      <c r="AA636" s="14"/>
      <c r="AB636" s="14"/>
      <c r="AC636" s="14"/>
      <c r="AD636" s="14"/>
      <c r="AE636" s="14"/>
      <c r="AF636" s="14" t="s">
        <v>153</v>
      </c>
      <c r="AG636" s="14" t="s">
        <v>1160</v>
      </c>
      <c r="AH636" s="14">
        <v>1440</v>
      </c>
      <c r="AI636" s="14" t="s">
        <v>1165</v>
      </c>
      <c r="AJ636" s="15" t="s">
        <v>1148</v>
      </c>
      <c r="AK636" s="15">
        <v>79.727000000000004</v>
      </c>
      <c r="AL636" s="14" t="s">
        <v>1277</v>
      </c>
      <c r="AM636" s="14">
        <v>1.0079999999999956</v>
      </c>
      <c r="AN636" s="15">
        <v>4</v>
      </c>
      <c r="AO636" s="15">
        <v>100</v>
      </c>
      <c r="AP636" s="15">
        <v>30</v>
      </c>
      <c r="AQ636" s="14" t="s">
        <v>1284</v>
      </c>
      <c r="AR636" s="15" t="s">
        <v>1207</v>
      </c>
      <c r="AS636" s="14"/>
    </row>
    <row r="637" spans="1:45" x14ac:dyDescent="0.2">
      <c r="A637" s="14" t="s">
        <v>1073</v>
      </c>
      <c r="B637" s="15" t="s">
        <v>1146</v>
      </c>
      <c r="C637" s="15" t="s">
        <v>1149</v>
      </c>
      <c r="D637" s="14" t="s">
        <v>420</v>
      </c>
      <c r="E637" s="14" t="s">
        <v>1072</v>
      </c>
      <c r="F637" s="14"/>
      <c r="G637" s="15" t="s">
        <v>153</v>
      </c>
      <c r="H637" s="14" t="s">
        <v>1165</v>
      </c>
      <c r="I637" s="15" t="s">
        <v>1280</v>
      </c>
      <c r="J637" s="14"/>
      <c r="K637" s="14"/>
      <c r="L637" s="14"/>
      <c r="M637" s="15"/>
      <c r="N637" s="14"/>
      <c r="O637" s="17" t="s">
        <v>1281</v>
      </c>
      <c r="P637" s="14"/>
      <c r="Q637" s="14"/>
      <c r="R637" s="14"/>
      <c r="S637" s="14"/>
      <c r="T637" s="14">
        <v>4</v>
      </c>
      <c r="U637" s="14"/>
      <c r="V637" s="12" t="s">
        <v>1247</v>
      </c>
      <c r="W637" s="15">
        <v>83.909000000000006</v>
      </c>
      <c r="X637" s="12" t="s">
        <v>1201</v>
      </c>
      <c r="Y637" s="14"/>
      <c r="Z637" s="14"/>
      <c r="AA637" s="14"/>
      <c r="AB637" s="14"/>
      <c r="AC637" s="14"/>
      <c r="AD637" s="14"/>
      <c r="AE637" s="14"/>
      <c r="AF637" s="14" t="s">
        <v>153</v>
      </c>
      <c r="AG637" s="14" t="s">
        <v>1160</v>
      </c>
      <c r="AH637" s="14">
        <v>1440</v>
      </c>
      <c r="AI637" s="14" t="s">
        <v>1165</v>
      </c>
      <c r="AJ637" s="15" t="s">
        <v>1148</v>
      </c>
      <c r="AK637" s="15">
        <v>73.171999999999997</v>
      </c>
      <c r="AL637" s="14" t="s">
        <v>1277</v>
      </c>
      <c r="AM637" s="14">
        <v>11.596999999999994</v>
      </c>
      <c r="AN637" s="15">
        <v>4</v>
      </c>
      <c r="AO637" s="15">
        <v>100</v>
      </c>
      <c r="AP637" s="15">
        <v>30</v>
      </c>
      <c r="AQ637" s="14" t="s">
        <v>1284</v>
      </c>
      <c r="AR637" s="15" t="s">
        <v>1207</v>
      </c>
      <c r="AS637" s="14"/>
    </row>
    <row r="638" spans="1:45" x14ac:dyDescent="0.2">
      <c r="A638" s="14" t="s">
        <v>1073</v>
      </c>
      <c r="B638" s="15" t="s">
        <v>1146</v>
      </c>
      <c r="C638" s="15" t="s">
        <v>1149</v>
      </c>
      <c r="D638" s="14" t="s">
        <v>420</v>
      </c>
      <c r="E638" s="14" t="s">
        <v>1072</v>
      </c>
      <c r="F638" s="14"/>
      <c r="G638" s="15" t="s">
        <v>153</v>
      </c>
      <c r="H638" s="14" t="s">
        <v>1165</v>
      </c>
      <c r="I638" s="15" t="s">
        <v>1280</v>
      </c>
      <c r="J638" s="14"/>
      <c r="K638" s="14"/>
      <c r="L638" s="14"/>
      <c r="M638" s="15"/>
      <c r="N638" s="14"/>
      <c r="O638" s="17" t="s">
        <v>1281</v>
      </c>
      <c r="P638" s="14"/>
      <c r="Q638" s="14"/>
      <c r="R638" s="14"/>
      <c r="S638" s="14"/>
      <c r="T638" s="14">
        <v>4</v>
      </c>
      <c r="U638" s="14"/>
      <c r="V638" s="12" t="s">
        <v>1247</v>
      </c>
      <c r="W638" s="15">
        <v>97.733999999999995</v>
      </c>
      <c r="X638" s="12" t="s">
        <v>1201</v>
      </c>
      <c r="Y638" s="14"/>
      <c r="Z638" s="14"/>
      <c r="AA638" s="14"/>
      <c r="AB638" s="14"/>
      <c r="AC638" s="14"/>
      <c r="AD638" s="14"/>
      <c r="AE638" s="14"/>
      <c r="AF638" s="14" t="s">
        <v>153</v>
      </c>
      <c r="AG638" s="14" t="s">
        <v>1160</v>
      </c>
      <c r="AH638" s="14">
        <v>1440</v>
      </c>
      <c r="AI638" s="14" t="s">
        <v>1165</v>
      </c>
      <c r="AJ638" s="15" t="s">
        <v>1148</v>
      </c>
      <c r="AK638" s="15">
        <v>81.744</v>
      </c>
      <c r="AL638" s="14" t="s">
        <v>1277</v>
      </c>
      <c r="AM638" s="14">
        <v>8.0680000000000121</v>
      </c>
      <c r="AN638" s="15">
        <v>4</v>
      </c>
      <c r="AO638" s="15">
        <v>100</v>
      </c>
      <c r="AP638" s="15">
        <v>30</v>
      </c>
      <c r="AQ638" s="14" t="s">
        <v>1284</v>
      </c>
      <c r="AR638" s="15" t="s">
        <v>1207</v>
      </c>
      <c r="AS638" s="14"/>
    </row>
    <row r="639" spans="1:45" x14ac:dyDescent="0.2">
      <c r="A639" s="14" t="s">
        <v>1073</v>
      </c>
      <c r="B639" s="15" t="s">
        <v>1146</v>
      </c>
      <c r="C639" s="15" t="s">
        <v>1149</v>
      </c>
      <c r="D639" s="14" t="s">
        <v>420</v>
      </c>
      <c r="E639" s="14" t="s">
        <v>1072</v>
      </c>
      <c r="F639" s="14"/>
      <c r="G639" s="15" t="s">
        <v>153</v>
      </c>
      <c r="H639" s="14" t="s">
        <v>1165</v>
      </c>
      <c r="I639" s="15" t="s">
        <v>1280</v>
      </c>
      <c r="J639" s="14"/>
      <c r="K639" s="14"/>
      <c r="L639" s="14"/>
      <c r="M639" s="15"/>
      <c r="N639" s="14"/>
      <c r="O639" s="17" t="s">
        <v>1281</v>
      </c>
      <c r="P639" s="14"/>
      <c r="Q639" s="14"/>
      <c r="R639" s="14"/>
      <c r="S639" s="14"/>
      <c r="T639" s="14">
        <v>4</v>
      </c>
      <c r="U639" s="14"/>
      <c r="V639" s="12" t="s">
        <v>1247</v>
      </c>
      <c r="W639" s="15">
        <v>111.90900000000001</v>
      </c>
      <c r="X639" s="12" t="s">
        <v>1201</v>
      </c>
      <c r="Y639" s="14"/>
      <c r="Z639" s="14"/>
      <c r="AA639" s="14"/>
      <c r="AB639" s="14"/>
      <c r="AC639" s="14"/>
      <c r="AD639" s="14"/>
      <c r="AE639" s="14"/>
      <c r="AF639" s="14" t="s">
        <v>153</v>
      </c>
      <c r="AG639" s="14" t="s">
        <v>1160</v>
      </c>
      <c r="AH639" s="14">
        <v>1440</v>
      </c>
      <c r="AI639" s="14" t="s">
        <v>1165</v>
      </c>
      <c r="AJ639" s="15" t="s">
        <v>1148</v>
      </c>
      <c r="AK639" s="15">
        <v>76.953999999999994</v>
      </c>
      <c r="AL639" s="14" t="s">
        <v>1277</v>
      </c>
      <c r="AM639" s="14">
        <v>6.3019999999999925</v>
      </c>
      <c r="AN639" s="15">
        <v>4</v>
      </c>
      <c r="AO639" s="15">
        <v>100</v>
      </c>
      <c r="AP639" s="15">
        <v>30</v>
      </c>
      <c r="AQ639" s="14" t="s">
        <v>1284</v>
      </c>
      <c r="AR639" s="15" t="s">
        <v>1207</v>
      </c>
      <c r="AS639" s="14"/>
    </row>
    <row r="640" spans="1:45" x14ac:dyDescent="0.2">
      <c r="A640" s="14" t="s">
        <v>1073</v>
      </c>
      <c r="B640" s="15" t="s">
        <v>1146</v>
      </c>
      <c r="C640" s="15" t="s">
        <v>1149</v>
      </c>
      <c r="D640" s="14" t="s">
        <v>420</v>
      </c>
      <c r="E640" s="14" t="s">
        <v>1072</v>
      </c>
      <c r="F640" s="14"/>
      <c r="G640" s="15" t="s">
        <v>153</v>
      </c>
      <c r="H640" s="14" t="s">
        <v>1165</v>
      </c>
      <c r="I640" s="15" t="s">
        <v>1280</v>
      </c>
      <c r="J640" s="14"/>
      <c r="K640" s="14"/>
      <c r="L640" s="14"/>
      <c r="M640" s="15"/>
      <c r="N640" s="14"/>
      <c r="O640" s="17" t="s">
        <v>1281</v>
      </c>
      <c r="P640" s="14"/>
      <c r="Q640" s="14"/>
      <c r="R640" s="14"/>
      <c r="S640" s="14"/>
      <c r="T640" s="14">
        <v>4</v>
      </c>
      <c r="U640" s="14"/>
      <c r="V640" s="12" t="s">
        <v>1247</v>
      </c>
      <c r="W640" s="15">
        <v>126.09099999999999</v>
      </c>
      <c r="X640" s="12" t="s">
        <v>1201</v>
      </c>
      <c r="Y640" s="14"/>
      <c r="Z640" s="14"/>
      <c r="AA640" s="14"/>
      <c r="AB640" s="14"/>
      <c r="AC640" s="14"/>
      <c r="AD640" s="14"/>
      <c r="AE640" s="14"/>
      <c r="AF640" s="14" t="s">
        <v>153</v>
      </c>
      <c r="AG640" s="14" t="s">
        <v>1160</v>
      </c>
      <c r="AH640" s="14">
        <v>1440</v>
      </c>
      <c r="AI640" s="14" t="s">
        <v>1165</v>
      </c>
      <c r="AJ640" s="15" t="s">
        <v>1148</v>
      </c>
      <c r="AK640" s="15">
        <v>81.239000000000004</v>
      </c>
      <c r="AL640" s="14" t="s">
        <v>1277</v>
      </c>
      <c r="AM640" s="14">
        <v>8.0670000000000073</v>
      </c>
      <c r="AN640" s="15">
        <v>4</v>
      </c>
      <c r="AO640" s="15">
        <v>100</v>
      </c>
      <c r="AP640" s="15">
        <v>30</v>
      </c>
      <c r="AQ640" s="14" t="s">
        <v>1284</v>
      </c>
      <c r="AR640" s="15" t="s">
        <v>1207</v>
      </c>
      <c r="AS640" s="14"/>
    </row>
    <row r="641" spans="1:45" x14ac:dyDescent="0.2">
      <c r="A641" s="14" t="s">
        <v>1073</v>
      </c>
      <c r="B641" s="15" t="s">
        <v>1146</v>
      </c>
      <c r="C641" s="15" t="s">
        <v>1149</v>
      </c>
      <c r="D641" s="14" t="s">
        <v>420</v>
      </c>
      <c r="E641" s="14" t="s">
        <v>1072</v>
      </c>
      <c r="F641" s="14"/>
      <c r="G641" s="15" t="s">
        <v>153</v>
      </c>
      <c r="H641" s="14" t="s">
        <v>1165</v>
      </c>
      <c r="I641" s="15" t="s">
        <v>1280</v>
      </c>
      <c r="J641" s="14"/>
      <c r="K641" s="14"/>
      <c r="L641" s="14"/>
      <c r="M641" s="15"/>
      <c r="N641" s="14"/>
      <c r="O641" s="17" t="s">
        <v>1281</v>
      </c>
      <c r="P641" s="14"/>
      <c r="Q641" s="14"/>
      <c r="R641" s="14"/>
      <c r="S641" s="14"/>
      <c r="T641" s="14">
        <v>4</v>
      </c>
      <c r="U641" s="14"/>
      <c r="V641" s="12" t="s">
        <v>1247</v>
      </c>
      <c r="W641" s="15">
        <v>138.495</v>
      </c>
      <c r="X641" s="12" t="s">
        <v>1201</v>
      </c>
      <c r="Y641" s="14"/>
      <c r="Z641" s="14"/>
      <c r="AA641" s="14"/>
      <c r="AB641" s="14"/>
      <c r="AC641" s="14"/>
      <c r="AD641" s="14"/>
      <c r="AE641" s="14"/>
      <c r="AF641" s="14" t="s">
        <v>153</v>
      </c>
      <c r="AG641" s="14" t="s">
        <v>1160</v>
      </c>
      <c r="AH641" s="14">
        <v>1440</v>
      </c>
      <c r="AI641" s="14" t="s">
        <v>1165</v>
      </c>
      <c r="AJ641" s="15" t="s">
        <v>1148</v>
      </c>
      <c r="AK641" s="15">
        <v>79.474999999999994</v>
      </c>
      <c r="AL641" s="14" t="s">
        <v>1277</v>
      </c>
      <c r="AM641" s="14">
        <v>10.587999999999994</v>
      </c>
      <c r="AN641" s="15">
        <v>4</v>
      </c>
      <c r="AO641" s="15">
        <v>100</v>
      </c>
      <c r="AP641" s="15">
        <v>30</v>
      </c>
      <c r="AQ641" s="14" t="s">
        <v>1284</v>
      </c>
      <c r="AR641" s="15" t="s">
        <v>1207</v>
      </c>
      <c r="AS641" s="14"/>
    </row>
    <row r="642" spans="1:45" x14ac:dyDescent="0.2">
      <c r="A642" s="14" t="s">
        <v>1102</v>
      </c>
      <c r="B642" s="15" t="s">
        <v>1146</v>
      </c>
      <c r="C642" s="15" t="s">
        <v>1149</v>
      </c>
      <c r="D642" s="14" t="s">
        <v>798</v>
      </c>
      <c r="E642" s="14" t="s">
        <v>1288</v>
      </c>
      <c r="F642" s="14" t="s">
        <v>699</v>
      </c>
      <c r="G642" s="15" t="s">
        <v>153</v>
      </c>
      <c r="H642" s="14" t="s">
        <v>1165</v>
      </c>
      <c r="I642" t="s">
        <v>1289</v>
      </c>
      <c r="J642">
        <v>36.516666666666602</v>
      </c>
      <c r="K642">
        <v>138.35</v>
      </c>
      <c r="L642">
        <v>1750</v>
      </c>
      <c r="M642" t="s">
        <v>1145</v>
      </c>
      <c r="O642">
        <v>1995</v>
      </c>
      <c r="X642" s="9" t="s">
        <v>1290</v>
      </c>
      <c r="Z642">
        <v>16</v>
      </c>
      <c r="AF642" s="14" t="s">
        <v>1165</v>
      </c>
      <c r="AI642" t="s">
        <v>153</v>
      </c>
      <c r="AJ642" s="15" t="s">
        <v>1148</v>
      </c>
      <c r="AK642" s="15">
        <v>0.5</v>
      </c>
      <c r="AL642" s="14" t="s">
        <v>1263</v>
      </c>
      <c r="AM642" s="14">
        <v>0.2</v>
      </c>
      <c r="AN642" s="15">
        <v>5</v>
      </c>
      <c r="AO642" s="15">
        <v>40</v>
      </c>
      <c r="AP642" s="15">
        <v>40</v>
      </c>
      <c r="AQ642" s="14" t="s">
        <v>1299</v>
      </c>
      <c r="AR642" s="15" t="s">
        <v>1298</v>
      </c>
    </row>
    <row r="643" spans="1:45" x14ac:dyDescent="0.2">
      <c r="A643" s="14" t="s">
        <v>1102</v>
      </c>
      <c r="B643" s="15" t="s">
        <v>1146</v>
      </c>
      <c r="C643" s="15" t="s">
        <v>1149</v>
      </c>
      <c r="D643" s="14" t="s">
        <v>798</v>
      </c>
      <c r="E643" s="14" t="s">
        <v>1288</v>
      </c>
      <c r="F643" s="14" t="s">
        <v>699</v>
      </c>
      <c r="G643" s="15" t="s">
        <v>153</v>
      </c>
      <c r="H643" s="14" t="s">
        <v>1165</v>
      </c>
      <c r="I643" t="s">
        <v>1289</v>
      </c>
      <c r="J643">
        <v>36.516666666666602</v>
      </c>
      <c r="K643">
        <v>138.35</v>
      </c>
      <c r="L643">
        <v>1750</v>
      </c>
      <c r="M643" t="s">
        <v>1145</v>
      </c>
      <c r="O643">
        <v>1995</v>
      </c>
      <c r="X643" s="9" t="s">
        <v>1291</v>
      </c>
      <c r="Z643">
        <v>16</v>
      </c>
      <c r="AF643" s="14" t="s">
        <v>1165</v>
      </c>
      <c r="AI643" t="s">
        <v>153</v>
      </c>
      <c r="AJ643" s="15" t="s">
        <v>1148</v>
      </c>
      <c r="AK643" s="15">
        <v>7.5</v>
      </c>
      <c r="AL643" s="14" t="s">
        <v>1263</v>
      </c>
      <c r="AM643" s="14">
        <v>1.8</v>
      </c>
      <c r="AN643" s="15">
        <v>5</v>
      </c>
      <c r="AO643" s="15">
        <v>40</v>
      </c>
      <c r="AP643" s="15">
        <v>40</v>
      </c>
      <c r="AQ643" s="14" t="s">
        <v>1299</v>
      </c>
      <c r="AR643" s="15" t="s">
        <v>1298</v>
      </c>
    </row>
    <row r="644" spans="1:45" x14ac:dyDescent="0.2">
      <c r="A644" s="14" t="s">
        <v>1102</v>
      </c>
      <c r="B644" s="15" t="s">
        <v>1146</v>
      </c>
      <c r="C644" s="15" t="s">
        <v>1149</v>
      </c>
      <c r="D644" s="14" t="s">
        <v>798</v>
      </c>
      <c r="E644" s="14" t="s">
        <v>1288</v>
      </c>
      <c r="F644" s="14" t="s">
        <v>699</v>
      </c>
      <c r="G644" s="15" t="s">
        <v>153</v>
      </c>
      <c r="H644" s="14" t="s">
        <v>1165</v>
      </c>
      <c r="I644" t="s">
        <v>1289</v>
      </c>
      <c r="J644">
        <v>36.516666666666602</v>
      </c>
      <c r="K644">
        <v>138.35</v>
      </c>
      <c r="L644">
        <v>1750</v>
      </c>
      <c r="M644" t="s">
        <v>1145</v>
      </c>
      <c r="O644">
        <v>1995</v>
      </c>
      <c r="X644" s="9" t="s">
        <v>1292</v>
      </c>
      <c r="Z644">
        <v>16</v>
      </c>
      <c r="AF644" s="14" t="s">
        <v>1165</v>
      </c>
      <c r="AI644" t="s">
        <v>153</v>
      </c>
      <c r="AJ644" s="15" t="s">
        <v>1148</v>
      </c>
      <c r="AK644" s="15">
        <v>23</v>
      </c>
      <c r="AL644" s="14" t="s">
        <v>1263</v>
      </c>
      <c r="AM644" s="14">
        <v>1.7</v>
      </c>
      <c r="AN644" s="15">
        <v>5</v>
      </c>
      <c r="AO644" s="15">
        <v>40</v>
      </c>
      <c r="AP644" s="15">
        <v>40</v>
      </c>
      <c r="AQ644" s="14" t="s">
        <v>1299</v>
      </c>
      <c r="AR644" s="15" t="s">
        <v>1298</v>
      </c>
    </row>
    <row r="645" spans="1:45" x14ac:dyDescent="0.2">
      <c r="A645" s="14" t="s">
        <v>1102</v>
      </c>
      <c r="B645" s="15" t="s">
        <v>1146</v>
      </c>
      <c r="C645" s="15" t="s">
        <v>1149</v>
      </c>
      <c r="D645" s="14" t="s">
        <v>798</v>
      </c>
      <c r="E645" s="14" t="s">
        <v>1288</v>
      </c>
      <c r="F645" s="14" t="s">
        <v>699</v>
      </c>
      <c r="G645" s="15" t="s">
        <v>153</v>
      </c>
      <c r="H645" s="14" t="s">
        <v>1165</v>
      </c>
      <c r="I645" t="s">
        <v>1289</v>
      </c>
      <c r="J645">
        <v>36.516666666666602</v>
      </c>
      <c r="K645">
        <v>138.35</v>
      </c>
      <c r="L645">
        <v>1750</v>
      </c>
      <c r="M645" t="s">
        <v>1145</v>
      </c>
      <c r="O645">
        <v>1995</v>
      </c>
      <c r="X645" s="9" t="s">
        <v>1201</v>
      </c>
      <c r="Z645">
        <v>16</v>
      </c>
      <c r="AF645" s="14" t="s">
        <v>1165</v>
      </c>
      <c r="AI645" t="s">
        <v>153</v>
      </c>
      <c r="AJ645" s="15" t="s">
        <v>1148</v>
      </c>
      <c r="AK645" s="15">
        <v>64</v>
      </c>
      <c r="AL645" s="14" t="s">
        <v>1263</v>
      </c>
      <c r="AM645" s="14">
        <v>2.4</v>
      </c>
      <c r="AN645" s="15">
        <v>5</v>
      </c>
      <c r="AO645" s="15">
        <v>40</v>
      </c>
      <c r="AP645" s="15">
        <v>40</v>
      </c>
      <c r="AQ645" s="14" t="s">
        <v>1299</v>
      </c>
      <c r="AR645" s="15" t="s">
        <v>1298</v>
      </c>
    </row>
    <row r="646" spans="1:45" x14ac:dyDescent="0.2">
      <c r="A646" s="14" t="s">
        <v>1102</v>
      </c>
      <c r="B646" s="15" t="s">
        <v>1146</v>
      </c>
      <c r="C646" s="15" t="s">
        <v>1149</v>
      </c>
      <c r="D646" s="14" t="s">
        <v>798</v>
      </c>
      <c r="E646" s="14" t="s">
        <v>1288</v>
      </c>
      <c r="F646" s="14" t="s">
        <v>699</v>
      </c>
      <c r="G646" s="15" t="s">
        <v>153</v>
      </c>
      <c r="H646" s="14" t="s">
        <v>1165</v>
      </c>
      <c r="I646" t="s">
        <v>1289</v>
      </c>
      <c r="J646">
        <v>36.516666666666602</v>
      </c>
      <c r="K646">
        <v>138.35</v>
      </c>
      <c r="L646">
        <v>1750</v>
      </c>
      <c r="M646" t="s">
        <v>1145</v>
      </c>
      <c r="O646">
        <v>1995</v>
      </c>
      <c r="X646" s="9" t="s">
        <v>1293</v>
      </c>
      <c r="Z646">
        <v>16</v>
      </c>
      <c r="AF646" s="14" t="s">
        <v>1165</v>
      </c>
      <c r="AI646" t="s">
        <v>153</v>
      </c>
      <c r="AJ646" s="15" t="s">
        <v>1148</v>
      </c>
      <c r="AK646" s="15">
        <v>74</v>
      </c>
      <c r="AL646" s="14" t="s">
        <v>1263</v>
      </c>
      <c r="AM646" s="14">
        <v>2.1</v>
      </c>
      <c r="AN646" s="15">
        <v>5</v>
      </c>
      <c r="AO646" s="15">
        <v>40</v>
      </c>
      <c r="AP646" s="15">
        <v>40</v>
      </c>
      <c r="AQ646" s="14" t="s">
        <v>1299</v>
      </c>
      <c r="AR646" s="15" t="s">
        <v>1298</v>
      </c>
    </row>
    <row r="647" spans="1:45" x14ac:dyDescent="0.2">
      <c r="A647" s="14" t="s">
        <v>1102</v>
      </c>
      <c r="B647" s="15" t="s">
        <v>1146</v>
      </c>
      <c r="C647" s="15" t="s">
        <v>1149</v>
      </c>
      <c r="D647" s="14" t="s">
        <v>798</v>
      </c>
      <c r="E647" s="14" t="s">
        <v>1288</v>
      </c>
      <c r="F647" s="14" t="s">
        <v>699</v>
      </c>
      <c r="G647" s="15" t="s">
        <v>153</v>
      </c>
      <c r="H647" s="14" t="s">
        <v>1165</v>
      </c>
      <c r="I647" t="s">
        <v>1289</v>
      </c>
      <c r="J647">
        <v>36.516666666666602</v>
      </c>
      <c r="K647">
        <v>138.35</v>
      </c>
      <c r="L647">
        <v>1750</v>
      </c>
      <c r="M647" t="s">
        <v>1145</v>
      </c>
      <c r="O647">
        <v>1995</v>
      </c>
      <c r="X647" s="9" t="s">
        <v>1294</v>
      </c>
      <c r="Z647">
        <v>16</v>
      </c>
      <c r="AF647" s="14" t="s">
        <v>1165</v>
      </c>
      <c r="AI647" t="s">
        <v>153</v>
      </c>
      <c r="AJ647" s="15" t="s">
        <v>1148</v>
      </c>
      <c r="AK647" s="15">
        <v>77</v>
      </c>
      <c r="AL647" s="14" t="s">
        <v>1263</v>
      </c>
      <c r="AM647" s="14">
        <v>1.2</v>
      </c>
      <c r="AN647" s="15">
        <v>5</v>
      </c>
      <c r="AO647" s="15">
        <v>40</v>
      </c>
      <c r="AP647" s="15">
        <v>40</v>
      </c>
      <c r="AQ647" s="14" t="s">
        <v>1299</v>
      </c>
      <c r="AR647" s="15" t="s">
        <v>1298</v>
      </c>
      <c r="AS647" t="s">
        <v>1297</v>
      </c>
    </row>
    <row r="648" spans="1:45" x14ac:dyDescent="0.2">
      <c r="A648" s="14" t="s">
        <v>1102</v>
      </c>
      <c r="B648" s="15" t="s">
        <v>1146</v>
      </c>
      <c r="C648" s="15" t="s">
        <v>1149</v>
      </c>
      <c r="D648" s="14" t="s">
        <v>798</v>
      </c>
      <c r="E648" s="14" t="s">
        <v>1288</v>
      </c>
      <c r="F648" s="14" t="s">
        <v>699</v>
      </c>
      <c r="G648" s="15" t="s">
        <v>153</v>
      </c>
      <c r="H648" s="14" t="s">
        <v>1165</v>
      </c>
      <c r="I648" t="s">
        <v>1289</v>
      </c>
      <c r="J648">
        <v>36.516666666666602</v>
      </c>
      <c r="K648">
        <v>138.35</v>
      </c>
      <c r="L648">
        <v>1750</v>
      </c>
      <c r="M648" t="s">
        <v>1145</v>
      </c>
      <c r="O648">
        <v>1995</v>
      </c>
      <c r="X648" s="9" t="s">
        <v>1295</v>
      </c>
      <c r="Z648">
        <v>16</v>
      </c>
      <c r="AF648" s="14" t="s">
        <v>1165</v>
      </c>
      <c r="AI648" t="s">
        <v>153</v>
      </c>
      <c r="AJ648" s="15" t="s">
        <v>1148</v>
      </c>
      <c r="AK648" s="15">
        <v>89</v>
      </c>
      <c r="AL648" s="14" t="s">
        <v>1263</v>
      </c>
      <c r="AM648" s="14">
        <v>1.5</v>
      </c>
      <c r="AN648" s="15">
        <v>5</v>
      </c>
      <c r="AO648" s="15">
        <v>40</v>
      </c>
      <c r="AP648" s="15">
        <v>40</v>
      </c>
      <c r="AQ648" s="14" t="s">
        <v>1299</v>
      </c>
      <c r="AR648" s="15" t="s">
        <v>1298</v>
      </c>
      <c r="AS648" t="s">
        <v>1297</v>
      </c>
    </row>
    <row r="649" spans="1:45" x14ac:dyDescent="0.2">
      <c r="A649" s="14" t="s">
        <v>1102</v>
      </c>
      <c r="B649" s="15" t="s">
        <v>1146</v>
      </c>
      <c r="C649" s="15" t="s">
        <v>1149</v>
      </c>
      <c r="D649" s="14" t="s">
        <v>798</v>
      </c>
      <c r="E649" s="14" t="s">
        <v>1288</v>
      </c>
      <c r="F649" s="14" t="s">
        <v>699</v>
      </c>
      <c r="G649" s="15" t="s">
        <v>153</v>
      </c>
      <c r="H649" s="14" t="s">
        <v>1165</v>
      </c>
      <c r="I649" t="s">
        <v>1289</v>
      </c>
      <c r="J649">
        <v>36.516666666666602</v>
      </c>
      <c r="K649">
        <v>138.35</v>
      </c>
      <c r="L649">
        <v>1750</v>
      </c>
      <c r="M649" t="s">
        <v>1145</v>
      </c>
      <c r="O649">
        <v>1995</v>
      </c>
      <c r="X649" s="9" t="s">
        <v>1296</v>
      </c>
      <c r="Z649">
        <v>16</v>
      </c>
      <c r="AF649" s="14" t="s">
        <v>1165</v>
      </c>
      <c r="AI649" t="s">
        <v>153</v>
      </c>
      <c r="AJ649" s="15" t="s">
        <v>1148</v>
      </c>
      <c r="AK649" s="15">
        <v>89</v>
      </c>
      <c r="AL649" s="14" t="s">
        <v>1263</v>
      </c>
      <c r="AM649" s="14">
        <v>0.9</v>
      </c>
      <c r="AN649" s="15">
        <v>5</v>
      </c>
      <c r="AO649" s="15">
        <v>40</v>
      </c>
      <c r="AP649" s="15">
        <v>40</v>
      </c>
      <c r="AQ649" s="14" t="s">
        <v>1299</v>
      </c>
      <c r="AR649" s="15" t="s">
        <v>1298</v>
      </c>
      <c r="AS649" t="s">
        <v>1297</v>
      </c>
    </row>
    <row r="650" spans="1:45" x14ac:dyDescent="0.2">
      <c r="A650" s="14" t="s">
        <v>1102</v>
      </c>
      <c r="B650" s="15" t="s">
        <v>1146</v>
      </c>
      <c r="C650" s="15" t="s">
        <v>1149</v>
      </c>
      <c r="D650" s="14" t="s">
        <v>798</v>
      </c>
      <c r="E650" s="14" t="s">
        <v>1300</v>
      </c>
      <c r="F650" s="14"/>
      <c r="G650" s="15" t="s">
        <v>153</v>
      </c>
      <c r="H650" s="14" t="s">
        <v>1165</v>
      </c>
      <c r="I650" t="s">
        <v>1289</v>
      </c>
      <c r="J650">
        <v>36.516666666666602</v>
      </c>
      <c r="K650">
        <v>138.35</v>
      </c>
      <c r="L650">
        <v>2050</v>
      </c>
      <c r="M650" t="s">
        <v>1145</v>
      </c>
      <c r="O650">
        <v>1995</v>
      </c>
      <c r="X650" s="9" t="s">
        <v>1290</v>
      </c>
      <c r="Z650">
        <v>16</v>
      </c>
      <c r="AF650" s="14" t="s">
        <v>1165</v>
      </c>
      <c r="AI650" t="s">
        <v>153</v>
      </c>
      <c r="AJ650" s="15" t="s">
        <v>1148</v>
      </c>
      <c r="AK650" s="15">
        <v>0</v>
      </c>
      <c r="AL650" s="14" t="s">
        <v>1263</v>
      </c>
      <c r="AM650" s="14">
        <v>0</v>
      </c>
      <c r="AN650" s="15">
        <v>5</v>
      </c>
      <c r="AO650" s="15">
        <v>40</v>
      </c>
      <c r="AP650" s="15">
        <v>40</v>
      </c>
      <c r="AQ650" s="14" t="s">
        <v>1299</v>
      </c>
      <c r="AR650" s="15" t="s">
        <v>1298</v>
      </c>
    </row>
    <row r="651" spans="1:45" x14ac:dyDescent="0.2">
      <c r="A651" s="14" t="s">
        <v>1102</v>
      </c>
      <c r="B651" s="15" t="s">
        <v>1146</v>
      </c>
      <c r="C651" s="15" t="s">
        <v>1149</v>
      </c>
      <c r="D651" s="14" t="s">
        <v>798</v>
      </c>
      <c r="E651" s="14" t="s">
        <v>1300</v>
      </c>
      <c r="F651" s="14"/>
      <c r="G651" s="15" t="s">
        <v>153</v>
      </c>
      <c r="H651" s="14" t="s">
        <v>1165</v>
      </c>
      <c r="I651" t="s">
        <v>1289</v>
      </c>
      <c r="J651">
        <v>36.516666666666602</v>
      </c>
      <c r="K651">
        <v>138.35</v>
      </c>
      <c r="L651">
        <v>2050</v>
      </c>
      <c r="M651" t="s">
        <v>1145</v>
      </c>
      <c r="O651">
        <v>1995</v>
      </c>
      <c r="X651" s="9" t="s">
        <v>1291</v>
      </c>
      <c r="Z651">
        <v>16</v>
      </c>
      <c r="AF651" s="14" t="s">
        <v>1165</v>
      </c>
      <c r="AI651" t="s">
        <v>153</v>
      </c>
      <c r="AJ651" s="15" t="s">
        <v>1148</v>
      </c>
      <c r="AK651" s="15">
        <v>0</v>
      </c>
      <c r="AL651" s="14" t="s">
        <v>1263</v>
      </c>
      <c r="AM651" s="14">
        <v>0</v>
      </c>
      <c r="AN651" s="15">
        <v>5</v>
      </c>
      <c r="AO651" s="15">
        <v>40</v>
      </c>
      <c r="AP651" s="15">
        <v>40</v>
      </c>
      <c r="AQ651" s="14" t="s">
        <v>1299</v>
      </c>
      <c r="AR651" s="15" t="s">
        <v>1298</v>
      </c>
    </row>
    <row r="652" spans="1:45" x14ac:dyDescent="0.2">
      <c r="A652" s="14" t="s">
        <v>1102</v>
      </c>
      <c r="B652" s="15" t="s">
        <v>1146</v>
      </c>
      <c r="C652" s="15" t="s">
        <v>1149</v>
      </c>
      <c r="D652" s="14" t="s">
        <v>798</v>
      </c>
      <c r="E652" s="14" t="s">
        <v>1300</v>
      </c>
      <c r="F652" s="14"/>
      <c r="G652" s="15" t="s">
        <v>153</v>
      </c>
      <c r="H652" s="14" t="s">
        <v>1165</v>
      </c>
      <c r="I652" t="s">
        <v>1289</v>
      </c>
      <c r="J652">
        <v>36.516666666666602</v>
      </c>
      <c r="K652">
        <v>138.35</v>
      </c>
      <c r="L652">
        <v>2050</v>
      </c>
      <c r="M652" t="s">
        <v>1145</v>
      </c>
      <c r="O652">
        <v>1995</v>
      </c>
      <c r="X652" s="9" t="s">
        <v>1292</v>
      </c>
      <c r="Z652">
        <v>16</v>
      </c>
      <c r="AF652" s="14" t="s">
        <v>1165</v>
      </c>
      <c r="AI652" t="s">
        <v>153</v>
      </c>
      <c r="AJ652" s="15" t="s">
        <v>1148</v>
      </c>
      <c r="AK652" s="15">
        <v>0</v>
      </c>
      <c r="AL652" s="14" t="s">
        <v>1263</v>
      </c>
      <c r="AM652" s="14">
        <v>0</v>
      </c>
      <c r="AN652" s="15">
        <v>5</v>
      </c>
      <c r="AO652" s="15">
        <v>40</v>
      </c>
      <c r="AP652" s="15">
        <v>40</v>
      </c>
      <c r="AQ652" s="14" t="s">
        <v>1299</v>
      </c>
      <c r="AR652" s="15" t="s">
        <v>1298</v>
      </c>
    </row>
    <row r="653" spans="1:45" x14ac:dyDescent="0.2">
      <c r="A653" s="14" t="s">
        <v>1102</v>
      </c>
      <c r="B653" s="15" t="s">
        <v>1146</v>
      </c>
      <c r="C653" s="15" t="s">
        <v>1149</v>
      </c>
      <c r="D653" s="14" t="s">
        <v>798</v>
      </c>
      <c r="E653" s="14" t="s">
        <v>1300</v>
      </c>
      <c r="F653" s="14"/>
      <c r="G653" s="15" t="s">
        <v>153</v>
      </c>
      <c r="H653" s="14" t="s">
        <v>1165</v>
      </c>
      <c r="I653" t="s">
        <v>1289</v>
      </c>
      <c r="J653">
        <v>36.516666666666602</v>
      </c>
      <c r="K653">
        <v>138.35</v>
      </c>
      <c r="L653">
        <v>2050</v>
      </c>
      <c r="M653" t="s">
        <v>1145</v>
      </c>
      <c r="O653">
        <v>1995</v>
      </c>
      <c r="X653" s="9" t="s">
        <v>1201</v>
      </c>
      <c r="Z653">
        <v>16</v>
      </c>
      <c r="AF653" s="14" t="s">
        <v>1165</v>
      </c>
      <c r="AI653" t="s">
        <v>153</v>
      </c>
      <c r="AJ653" s="15" t="s">
        <v>1148</v>
      </c>
      <c r="AK653" s="15">
        <v>13</v>
      </c>
      <c r="AL653" s="14" t="s">
        <v>1263</v>
      </c>
      <c r="AM653" s="14">
        <v>0.9</v>
      </c>
      <c r="AN653" s="15">
        <v>5</v>
      </c>
      <c r="AO653" s="15">
        <v>40</v>
      </c>
      <c r="AP653" s="15">
        <v>40</v>
      </c>
      <c r="AQ653" s="14" t="s">
        <v>1299</v>
      </c>
      <c r="AR653" s="15" t="s">
        <v>1298</v>
      </c>
    </row>
    <row r="654" spans="1:45" x14ac:dyDescent="0.2">
      <c r="A654" s="14" t="s">
        <v>1102</v>
      </c>
      <c r="B654" s="15" t="s">
        <v>1146</v>
      </c>
      <c r="C654" s="15" t="s">
        <v>1149</v>
      </c>
      <c r="D654" s="14" t="s">
        <v>798</v>
      </c>
      <c r="E654" s="14" t="s">
        <v>1300</v>
      </c>
      <c r="F654" s="14"/>
      <c r="G654" s="15" t="s">
        <v>153</v>
      </c>
      <c r="H654" s="14" t="s">
        <v>1165</v>
      </c>
      <c r="I654" t="s">
        <v>1289</v>
      </c>
      <c r="J654">
        <v>36.516666666666602</v>
      </c>
      <c r="K654">
        <v>138.35</v>
      </c>
      <c r="L654">
        <v>2050</v>
      </c>
      <c r="M654" t="s">
        <v>1145</v>
      </c>
      <c r="O654">
        <v>1995</v>
      </c>
      <c r="X654" s="9" t="s">
        <v>1293</v>
      </c>
      <c r="Z654">
        <v>16</v>
      </c>
      <c r="AF654" s="14" t="s">
        <v>1165</v>
      </c>
      <c r="AI654" t="s">
        <v>153</v>
      </c>
      <c r="AJ654" s="15" t="s">
        <v>1148</v>
      </c>
      <c r="AK654" s="15">
        <v>42.5</v>
      </c>
      <c r="AL654" s="14" t="s">
        <v>1263</v>
      </c>
      <c r="AM654" s="14">
        <v>2</v>
      </c>
      <c r="AN654" s="15">
        <v>5</v>
      </c>
      <c r="AO654" s="15">
        <v>40</v>
      </c>
      <c r="AP654" s="15">
        <v>40</v>
      </c>
      <c r="AQ654" s="14" t="s">
        <v>1299</v>
      </c>
      <c r="AR654" s="15" t="s">
        <v>1298</v>
      </c>
    </row>
    <row r="655" spans="1:45" x14ac:dyDescent="0.2">
      <c r="A655" s="14" t="s">
        <v>1102</v>
      </c>
      <c r="B655" s="15" t="s">
        <v>1146</v>
      </c>
      <c r="C655" s="15" t="s">
        <v>1149</v>
      </c>
      <c r="D655" s="14" t="s">
        <v>798</v>
      </c>
      <c r="E655" s="14" t="s">
        <v>1300</v>
      </c>
      <c r="F655" s="14"/>
      <c r="G655" s="15" t="s">
        <v>153</v>
      </c>
      <c r="H655" s="14" t="s">
        <v>1165</v>
      </c>
      <c r="I655" t="s">
        <v>1289</v>
      </c>
      <c r="J655">
        <v>36.516666666666602</v>
      </c>
      <c r="K655">
        <v>138.35</v>
      </c>
      <c r="L655">
        <v>2050</v>
      </c>
      <c r="M655" t="s">
        <v>1145</v>
      </c>
      <c r="O655">
        <v>1995</v>
      </c>
      <c r="X655" s="9" t="s">
        <v>1294</v>
      </c>
      <c r="Z655">
        <v>16</v>
      </c>
      <c r="AF655" s="14" t="s">
        <v>1165</v>
      </c>
      <c r="AI655" t="s">
        <v>153</v>
      </c>
      <c r="AJ655" s="15" t="s">
        <v>1148</v>
      </c>
      <c r="AK655" s="15">
        <v>29</v>
      </c>
      <c r="AL655" s="14" t="s">
        <v>1263</v>
      </c>
      <c r="AM655" s="14">
        <v>4.5</v>
      </c>
      <c r="AN655" s="15">
        <v>5</v>
      </c>
      <c r="AO655" s="15">
        <v>40</v>
      </c>
      <c r="AP655" s="15">
        <v>40</v>
      </c>
      <c r="AQ655" s="14" t="s">
        <v>1299</v>
      </c>
      <c r="AR655" s="15" t="s">
        <v>1298</v>
      </c>
      <c r="AS655" t="s">
        <v>1297</v>
      </c>
    </row>
    <row r="656" spans="1:45" x14ac:dyDescent="0.2">
      <c r="A656" s="14" t="s">
        <v>1102</v>
      </c>
      <c r="B656" s="15" t="s">
        <v>1146</v>
      </c>
      <c r="C656" s="15" t="s">
        <v>1149</v>
      </c>
      <c r="D656" s="14" t="s">
        <v>798</v>
      </c>
      <c r="E656" s="14" t="s">
        <v>1300</v>
      </c>
      <c r="F656" s="14"/>
      <c r="G656" s="15" t="s">
        <v>153</v>
      </c>
      <c r="H656" s="14" t="s">
        <v>1165</v>
      </c>
      <c r="I656" t="s">
        <v>1289</v>
      </c>
      <c r="J656">
        <v>36.516666666666602</v>
      </c>
      <c r="K656">
        <v>138.35</v>
      </c>
      <c r="L656">
        <v>2050</v>
      </c>
      <c r="M656" t="s">
        <v>1145</v>
      </c>
      <c r="O656">
        <v>1995</v>
      </c>
      <c r="X656" s="9" t="s">
        <v>1295</v>
      </c>
      <c r="Z656">
        <v>16</v>
      </c>
      <c r="AF656" s="14" t="s">
        <v>1165</v>
      </c>
      <c r="AI656" t="s">
        <v>153</v>
      </c>
      <c r="AJ656" s="15" t="s">
        <v>1148</v>
      </c>
      <c r="AK656" s="15">
        <v>35</v>
      </c>
      <c r="AL656" s="14" t="s">
        <v>1263</v>
      </c>
      <c r="AM656" s="14">
        <v>6.2</v>
      </c>
      <c r="AN656" s="15">
        <v>5</v>
      </c>
      <c r="AO656" s="15">
        <v>40</v>
      </c>
      <c r="AP656" s="15">
        <v>40</v>
      </c>
      <c r="AQ656" s="14" t="s">
        <v>1299</v>
      </c>
      <c r="AR656" s="15" t="s">
        <v>1298</v>
      </c>
      <c r="AS656" t="s">
        <v>1297</v>
      </c>
    </row>
    <row r="657" spans="1:45" x14ac:dyDescent="0.2">
      <c r="A657" s="14" t="s">
        <v>1102</v>
      </c>
      <c r="B657" s="15" t="s">
        <v>1146</v>
      </c>
      <c r="C657" s="15" t="s">
        <v>1149</v>
      </c>
      <c r="D657" s="14" t="s">
        <v>798</v>
      </c>
      <c r="E657" s="14" t="s">
        <v>1300</v>
      </c>
      <c r="F657" s="14"/>
      <c r="G657" s="15" t="s">
        <v>153</v>
      </c>
      <c r="H657" s="14" t="s">
        <v>1165</v>
      </c>
      <c r="I657" t="s">
        <v>1289</v>
      </c>
      <c r="J657">
        <v>36.516666666666602</v>
      </c>
      <c r="K657">
        <v>138.35</v>
      </c>
      <c r="L657">
        <v>2050</v>
      </c>
      <c r="M657" t="s">
        <v>1145</v>
      </c>
      <c r="O657">
        <v>1995</v>
      </c>
      <c r="X657" s="9" t="s">
        <v>1296</v>
      </c>
      <c r="Z657">
        <v>16</v>
      </c>
      <c r="AF657" s="14" t="s">
        <v>1165</v>
      </c>
      <c r="AI657" t="s">
        <v>153</v>
      </c>
      <c r="AJ657" s="15" t="s">
        <v>1148</v>
      </c>
      <c r="AK657" s="15">
        <v>82</v>
      </c>
      <c r="AL657" s="14" t="s">
        <v>1263</v>
      </c>
      <c r="AM657" s="14">
        <v>5.5</v>
      </c>
      <c r="AN657" s="15">
        <v>5</v>
      </c>
      <c r="AO657" s="15">
        <v>40</v>
      </c>
      <c r="AP657" s="15">
        <v>40</v>
      </c>
      <c r="AQ657" s="14" t="s">
        <v>1299</v>
      </c>
      <c r="AR657" s="15" t="s">
        <v>1298</v>
      </c>
      <c r="AS657" t="s">
        <v>1297</v>
      </c>
    </row>
    <row r="658" spans="1:45" x14ac:dyDescent="0.2">
      <c r="A658" s="14" t="s">
        <v>1102</v>
      </c>
      <c r="B658" s="15" t="s">
        <v>1146</v>
      </c>
      <c r="C658" s="15" t="s">
        <v>1149</v>
      </c>
      <c r="D658" s="14" t="s">
        <v>798</v>
      </c>
      <c r="E658" s="14" t="s">
        <v>1288</v>
      </c>
      <c r="F658" s="14" t="s">
        <v>699</v>
      </c>
      <c r="G658" s="15" t="s">
        <v>153</v>
      </c>
      <c r="H658" s="14" t="s">
        <v>1165</v>
      </c>
      <c r="I658" t="s">
        <v>1289</v>
      </c>
      <c r="J658">
        <v>36.516666666666602</v>
      </c>
      <c r="K658">
        <v>138.35</v>
      </c>
      <c r="L658">
        <v>1750</v>
      </c>
      <c r="M658" t="s">
        <v>1145</v>
      </c>
      <c r="O658">
        <v>1995</v>
      </c>
      <c r="U658" t="s">
        <v>1246</v>
      </c>
      <c r="V658" s="9" t="s">
        <v>1247</v>
      </c>
      <c r="W658">
        <v>134</v>
      </c>
      <c r="X658" s="9" t="s">
        <v>1290</v>
      </c>
      <c r="Z658">
        <v>16</v>
      </c>
      <c r="AF658" s="14" t="s">
        <v>1165</v>
      </c>
      <c r="AI658" t="s">
        <v>153</v>
      </c>
      <c r="AJ658" s="15" t="s">
        <v>1148</v>
      </c>
      <c r="AK658" s="15">
        <v>0</v>
      </c>
      <c r="AL658" s="14" t="s">
        <v>1263</v>
      </c>
      <c r="AM658" s="14">
        <v>0</v>
      </c>
      <c r="AN658" s="15">
        <v>5</v>
      </c>
      <c r="AO658" s="15">
        <v>40</v>
      </c>
      <c r="AP658" s="15">
        <v>40</v>
      </c>
      <c r="AQ658" s="14" t="s">
        <v>1301</v>
      </c>
      <c r="AR658" s="15" t="s">
        <v>1249</v>
      </c>
    </row>
    <row r="659" spans="1:45" x14ac:dyDescent="0.2">
      <c r="A659" s="14" t="s">
        <v>1102</v>
      </c>
      <c r="B659" s="15" t="s">
        <v>1146</v>
      </c>
      <c r="C659" s="15" t="s">
        <v>1149</v>
      </c>
      <c r="D659" s="14" t="s">
        <v>798</v>
      </c>
      <c r="E659" s="14" t="s">
        <v>1288</v>
      </c>
      <c r="F659" s="14" t="s">
        <v>699</v>
      </c>
      <c r="G659" s="15" t="s">
        <v>153</v>
      </c>
      <c r="H659" s="14" t="s">
        <v>1165</v>
      </c>
      <c r="I659" t="s">
        <v>1289</v>
      </c>
      <c r="J659">
        <v>36.516666666666602</v>
      </c>
      <c r="K659">
        <v>138.35</v>
      </c>
      <c r="L659">
        <v>1750</v>
      </c>
      <c r="M659" t="s">
        <v>1145</v>
      </c>
      <c r="O659">
        <v>1995</v>
      </c>
      <c r="U659" t="s">
        <v>1246</v>
      </c>
      <c r="V659" s="9" t="s">
        <v>1247</v>
      </c>
      <c r="W659">
        <v>134</v>
      </c>
      <c r="X659" s="9" t="s">
        <v>1291</v>
      </c>
      <c r="Z659">
        <v>16</v>
      </c>
      <c r="AF659" s="14" t="s">
        <v>1165</v>
      </c>
      <c r="AI659" t="s">
        <v>153</v>
      </c>
      <c r="AJ659" s="15" t="s">
        <v>1148</v>
      </c>
      <c r="AK659" s="15">
        <v>56</v>
      </c>
      <c r="AL659" s="14" t="s">
        <v>1263</v>
      </c>
      <c r="AM659" s="14">
        <v>5.2</v>
      </c>
      <c r="AN659" s="15">
        <v>5</v>
      </c>
      <c r="AO659" s="15">
        <v>40</v>
      </c>
      <c r="AP659" s="15">
        <v>40</v>
      </c>
      <c r="AQ659" s="14" t="s">
        <v>1301</v>
      </c>
      <c r="AR659" s="15" t="s">
        <v>1249</v>
      </c>
    </row>
    <row r="660" spans="1:45" x14ac:dyDescent="0.2">
      <c r="A660" s="14" t="s">
        <v>1102</v>
      </c>
      <c r="B660" s="15" t="s">
        <v>1146</v>
      </c>
      <c r="C660" s="15" t="s">
        <v>1149</v>
      </c>
      <c r="D660" s="14" t="s">
        <v>798</v>
      </c>
      <c r="E660" s="14" t="s">
        <v>1288</v>
      </c>
      <c r="F660" s="14" t="s">
        <v>699</v>
      </c>
      <c r="G660" s="15" t="s">
        <v>153</v>
      </c>
      <c r="H660" s="14" t="s">
        <v>1165</v>
      </c>
      <c r="I660" t="s">
        <v>1289</v>
      </c>
      <c r="J660">
        <v>36.516666666666602</v>
      </c>
      <c r="K660">
        <v>138.35</v>
      </c>
      <c r="L660">
        <v>1750</v>
      </c>
      <c r="M660" t="s">
        <v>1145</v>
      </c>
      <c r="O660">
        <v>1995</v>
      </c>
      <c r="U660" t="s">
        <v>1246</v>
      </c>
      <c r="V660" s="9" t="s">
        <v>1247</v>
      </c>
      <c r="W660">
        <v>134</v>
      </c>
      <c r="X660" s="9" t="s">
        <v>1292</v>
      </c>
      <c r="Z660">
        <v>16</v>
      </c>
      <c r="AF660" s="14" t="s">
        <v>1165</v>
      </c>
      <c r="AI660" t="s">
        <v>153</v>
      </c>
      <c r="AJ660" s="15" t="s">
        <v>1148</v>
      </c>
      <c r="AK660" s="15">
        <v>79.3</v>
      </c>
      <c r="AL660" s="14" t="s">
        <v>1263</v>
      </c>
      <c r="AM660" s="14">
        <v>2.8</v>
      </c>
      <c r="AN660" s="15">
        <v>5</v>
      </c>
      <c r="AO660" s="15">
        <v>40</v>
      </c>
      <c r="AP660" s="15">
        <v>40</v>
      </c>
      <c r="AQ660" s="14" t="s">
        <v>1301</v>
      </c>
      <c r="AR660" s="15" t="s">
        <v>1249</v>
      </c>
    </row>
    <row r="661" spans="1:45" x14ac:dyDescent="0.2">
      <c r="A661" s="14" t="s">
        <v>1102</v>
      </c>
      <c r="B661" s="15" t="s">
        <v>1146</v>
      </c>
      <c r="C661" s="15" t="s">
        <v>1149</v>
      </c>
      <c r="D661" s="14" t="s">
        <v>798</v>
      </c>
      <c r="E661" s="14" t="s">
        <v>1288</v>
      </c>
      <c r="F661" s="14" t="s">
        <v>699</v>
      </c>
      <c r="G661" s="15" t="s">
        <v>153</v>
      </c>
      <c r="H661" s="14" t="s">
        <v>1165</v>
      </c>
      <c r="I661" t="s">
        <v>1289</v>
      </c>
      <c r="J661">
        <v>36.516666666666602</v>
      </c>
      <c r="K661">
        <v>138.35</v>
      </c>
      <c r="L661">
        <v>1750</v>
      </c>
      <c r="M661" t="s">
        <v>1145</v>
      </c>
      <c r="O661">
        <v>1995</v>
      </c>
      <c r="U661" t="s">
        <v>1246</v>
      </c>
      <c r="V661" s="9" t="s">
        <v>1247</v>
      </c>
      <c r="W661">
        <v>134</v>
      </c>
      <c r="X661" s="9" t="s">
        <v>1201</v>
      </c>
      <c r="Z661">
        <v>16</v>
      </c>
      <c r="AF661" s="14" t="s">
        <v>1165</v>
      </c>
      <c r="AI661" t="s">
        <v>153</v>
      </c>
      <c r="AJ661" s="15" t="s">
        <v>1148</v>
      </c>
      <c r="AK661" s="15">
        <v>92.7</v>
      </c>
      <c r="AL661" s="14" t="s">
        <v>1263</v>
      </c>
      <c r="AM661" s="14">
        <v>1</v>
      </c>
      <c r="AN661" s="15">
        <v>5</v>
      </c>
      <c r="AO661" s="15">
        <v>40</v>
      </c>
      <c r="AP661" s="15">
        <v>40</v>
      </c>
      <c r="AQ661" s="14" t="s">
        <v>1301</v>
      </c>
      <c r="AR661" s="15" t="s">
        <v>1249</v>
      </c>
    </row>
    <row r="662" spans="1:45" x14ac:dyDescent="0.2">
      <c r="A662" s="14" t="s">
        <v>1102</v>
      </c>
      <c r="B662" s="15" t="s">
        <v>1146</v>
      </c>
      <c r="C662" s="15" t="s">
        <v>1149</v>
      </c>
      <c r="D662" s="14" t="s">
        <v>798</v>
      </c>
      <c r="E662" s="14" t="s">
        <v>1288</v>
      </c>
      <c r="F662" s="14" t="s">
        <v>699</v>
      </c>
      <c r="G662" s="15" t="s">
        <v>153</v>
      </c>
      <c r="H662" s="14" t="s">
        <v>1165</v>
      </c>
      <c r="I662" t="s">
        <v>1289</v>
      </c>
      <c r="J662">
        <v>36.516666666666602</v>
      </c>
      <c r="K662">
        <v>138.35</v>
      </c>
      <c r="L662">
        <v>1750</v>
      </c>
      <c r="M662" t="s">
        <v>1145</v>
      </c>
      <c r="O662">
        <v>1995</v>
      </c>
      <c r="U662" t="s">
        <v>1246</v>
      </c>
      <c r="V662" s="9" t="s">
        <v>1247</v>
      </c>
      <c r="W662">
        <v>134</v>
      </c>
      <c r="X662" s="9" t="s">
        <v>1293</v>
      </c>
      <c r="Z662">
        <v>16</v>
      </c>
      <c r="AF662" s="14" t="s">
        <v>1165</v>
      </c>
      <c r="AI662" t="s">
        <v>153</v>
      </c>
      <c r="AJ662" s="15" t="s">
        <v>1148</v>
      </c>
      <c r="AK662" s="15">
        <v>92.7</v>
      </c>
      <c r="AL662" s="14" t="s">
        <v>1263</v>
      </c>
      <c r="AM662" s="14">
        <v>1.2</v>
      </c>
      <c r="AN662" s="15">
        <v>5</v>
      </c>
      <c r="AO662" s="15">
        <v>40</v>
      </c>
      <c r="AP662" s="15">
        <v>40</v>
      </c>
      <c r="AQ662" s="14" t="s">
        <v>1301</v>
      </c>
      <c r="AR662" s="15" t="s">
        <v>1249</v>
      </c>
    </row>
    <row r="663" spans="1:45" x14ac:dyDescent="0.2">
      <c r="A663" s="14" t="s">
        <v>1102</v>
      </c>
      <c r="B663" s="15" t="s">
        <v>1146</v>
      </c>
      <c r="C663" s="15" t="s">
        <v>1149</v>
      </c>
      <c r="D663" s="14" t="s">
        <v>798</v>
      </c>
      <c r="E663" s="14" t="s">
        <v>1288</v>
      </c>
      <c r="F663" s="14" t="s">
        <v>699</v>
      </c>
      <c r="G663" s="15" t="s">
        <v>153</v>
      </c>
      <c r="H663" s="14" t="s">
        <v>1165</v>
      </c>
      <c r="I663" t="s">
        <v>1289</v>
      </c>
      <c r="J663">
        <v>36.516666666666602</v>
      </c>
      <c r="K663">
        <v>138.35</v>
      </c>
      <c r="L663">
        <v>1750</v>
      </c>
      <c r="M663" t="s">
        <v>1145</v>
      </c>
      <c r="O663">
        <v>1995</v>
      </c>
      <c r="U663" t="s">
        <v>1246</v>
      </c>
      <c r="V663" s="9" t="s">
        <v>1247</v>
      </c>
      <c r="W663">
        <v>134</v>
      </c>
      <c r="X663" s="9" t="s">
        <v>1294</v>
      </c>
      <c r="Z663">
        <v>16</v>
      </c>
      <c r="AF663" s="14" t="s">
        <v>1165</v>
      </c>
      <c r="AI663" t="s">
        <v>153</v>
      </c>
      <c r="AJ663" s="15" t="s">
        <v>1148</v>
      </c>
      <c r="AK663" s="15">
        <v>90</v>
      </c>
      <c r="AL663" s="14" t="s">
        <v>1263</v>
      </c>
      <c r="AM663" s="14">
        <v>0.8</v>
      </c>
      <c r="AN663" s="15">
        <v>5</v>
      </c>
      <c r="AO663" s="15">
        <v>40</v>
      </c>
      <c r="AP663" s="15">
        <v>40</v>
      </c>
      <c r="AQ663" s="14" t="s">
        <v>1301</v>
      </c>
      <c r="AR663" s="15" t="s">
        <v>1249</v>
      </c>
      <c r="AS663" t="s">
        <v>1297</v>
      </c>
    </row>
    <row r="664" spans="1:45" x14ac:dyDescent="0.2">
      <c r="A664" s="14" t="s">
        <v>1102</v>
      </c>
      <c r="B664" s="15" t="s">
        <v>1146</v>
      </c>
      <c r="C664" s="15" t="s">
        <v>1149</v>
      </c>
      <c r="D664" s="14" t="s">
        <v>798</v>
      </c>
      <c r="E664" s="14" t="s">
        <v>1288</v>
      </c>
      <c r="F664" s="14" t="s">
        <v>699</v>
      </c>
      <c r="G664" s="15" t="s">
        <v>153</v>
      </c>
      <c r="H664" s="14" t="s">
        <v>1165</v>
      </c>
      <c r="I664" t="s">
        <v>1289</v>
      </c>
      <c r="J664">
        <v>36.516666666666602</v>
      </c>
      <c r="K664">
        <v>138.35</v>
      </c>
      <c r="L664">
        <v>1750</v>
      </c>
      <c r="M664" t="s">
        <v>1145</v>
      </c>
      <c r="O664">
        <v>1995</v>
      </c>
      <c r="U664" t="s">
        <v>1246</v>
      </c>
      <c r="V664" s="9" t="s">
        <v>1247</v>
      </c>
      <c r="W664">
        <v>134</v>
      </c>
      <c r="X664" s="9" t="s">
        <v>1295</v>
      </c>
      <c r="Z664">
        <v>16</v>
      </c>
      <c r="AF664" s="14" t="s">
        <v>1165</v>
      </c>
      <c r="AI664" t="s">
        <v>153</v>
      </c>
      <c r="AJ664" s="15" t="s">
        <v>1148</v>
      </c>
      <c r="AK664" s="15">
        <v>88.7</v>
      </c>
      <c r="AL664" s="14" t="s">
        <v>1263</v>
      </c>
      <c r="AM664" s="14">
        <v>1.4</v>
      </c>
      <c r="AN664" s="15">
        <v>5</v>
      </c>
      <c r="AO664" s="15">
        <v>40</v>
      </c>
      <c r="AP664" s="15">
        <v>40</v>
      </c>
      <c r="AQ664" s="14" t="s">
        <v>1301</v>
      </c>
      <c r="AR664" s="15" t="s">
        <v>1249</v>
      </c>
      <c r="AS664" t="s">
        <v>1297</v>
      </c>
    </row>
    <row r="665" spans="1:45" x14ac:dyDescent="0.2">
      <c r="A665" s="14" t="s">
        <v>1102</v>
      </c>
      <c r="B665" s="15" t="s">
        <v>1146</v>
      </c>
      <c r="C665" s="15" t="s">
        <v>1149</v>
      </c>
      <c r="D665" s="14" t="s">
        <v>798</v>
      </c>
      <c r="E665" s="14" t="s">
        <v>1288</v>
      </c>
      <c r="F665" s="14" t="s">
        <v>699</v>
      </c>
      <c r="G665" s="15" t="s">
        <v>153</v>
      </c>
      <c r="H665" s="14" t="s">
        <v>1165</v>
      </c>
      <c r="I665" t="s">
        <v>1289</v>
      </c>
      <c r="J665">
        <v>36.516666666666602</v>
      </c>
      <c r="K665">
        <v>138.35</v>
      </c>
      <c r="L665">
        <v>1750</v>
      </c>
      <c r="M665" t="s">
        <v>1145</v>
      </c>
      <c r="O665">
        <v>1995</v>
      </c>
      <c r="U665" t="s">
        <v>1246</v>
      </c>
      <c r="V665" s="9" t="s">
        <v>1247</v>
      </c>
      <c r="W665">
        <v>134</v>
      </c>
      <c r="X665" s="9" t="s">
        <v>1296</v>
      </c>
      <c r="Z665">
        <v>16</v>
      </c>
      <c r="AF665" s="14" t="s">
        <v>1165</v>
      </c>
      <c r="AI665" t="s">
        <v>153</v>
      </c>
      <c r="AJ665" s="15" t="s">
        <v>1148</v>
      </c>
      <c r="AK665" s="15">
        <v>96.7</v>
      </c>
      <c r="AL665" s="14" t="s">
        <v>1263</v>
      </c>
      <c r="AM665" s="14">
        <v>0.7</v>
      </c>
      <c r="AN665" s="15">
        <v>5</v>
      </c>
      <c r="AO665" s="15">
        <v>40</v>
      </c>
      <c r="AP665" s="15">
        <v>40</v>
      </c>
      <c r="AQ665" s="14" t="s">
        <v>1301</v>
      </c>
      <c r="AR665" s="15" t="s">
        <v>1249</v>
      </c>
      <c r="AS665" t="s">
        <v>1297</v>
      </c>
    </row>
    <row r="666" spans="1:45" x14ac:dyDescent="0.2">
      <c r="A666" s="14" t="s">
        <v>1102</v>
      </c>
      <c r="B666" s="15" t="s">
        <v>1146</v>
      </c>
      <c r="C666" s="15" t="s">
        <v>1149</v>
      </c>
      <c r="D666" s="14" t="s">
        <v>798</v>
      </c>
      <c r="E666" s="14" t="s">
        <v>1300</v>
      </c>
      <c r="F666" s="14"/>
      <c r="G666" s="15" t="s">
        <v>153</v>
      </c>
      <c r="H666" s="14" t="s">
        <v>1165</v>
      </c>
      <c r="I666" t="s">
        <v>1289</v>
      </c>
      <c r="J666">
        <v>36.516666666666602</v>
      </c>
      <c r="K666">
        <v>138.35</v>
      </c>
      <c r="L666">
        <v>2050</v>
      </c>
      <c r="M666" t="s">
        <v>1145</v>
      </c>
      <c r="O666">
        <v>1995</v>
      </c>
      <c r="U666" t="s">
        <v>1246</v>
      </c>
      <c r="V666" s="9" t="s">
        <v>1247</v>
      </c>
      <c r="W666">
        <v>134</v>
      </c>
      <c r="X666" s="9" t="s">
        <v>1290</v>
      </c>
      <c r="Z666">
        <v>16</v>
      </c>
      <c r="AF666" s="14" t="s">
        <v>1165</v>
      </c>
      <c r="AI666" t="s">
        <v>153</v>
      </c>
      <c r="AJ666" s="15" t="s">
        <v>1148</v>
      </c>
      <c r="AK666" s="15">
        <v>0</v>
      </c>
      <c r="AL666" s="14" t="s">
        <v>1263</v>
      </c>
      <c r="AM666" s="14">
        <v>0</v>
      </c>
      <c r="AN666" s="15">
        <v>5</v>
      </c>
      <c r="AO666" s="15">
        <v>40</v>
      </c>
      <c r="AP666" s="15">
        <v>40</v>
      </c>
      <c r="AQ666" s="14" t="s">
        <v>1301</v>
      </c>
      <c r="AR666" s="15" t="s">
        <v>1249</v>
      </c>
    </row>
    <row r="667" spans="1:45" x14ac:dyDescent="0.2">
      <c r="A667" s="14" t="s">
        <v>1102</v>
      </c>
      <c r="B667" s="15" t="s">
        <v>1146</v>
      </c>
      <c r="C667" s="15" t="s">
        <v>1149</v>
      </c>
      <c r="D667" s="14" t="s">
        <v>798</v>
      </c>
      <c r="E667" s="14" t="s">
        <v>1300</v>
      </c>
      <c r="F667" s="14"/>
      <c r="G667" s="15" t="s">
        <v>153</v>
      </c>
      <c r="H667" s="14" t="s">
        <v>1165</v>
      </c>
      <c r="I667" t="s">
        <v>1289</v>
      </c>
      <c r="J667">
        <v>36.516666666666602</v>
      </c>
      <c r="K667">
        <v>138.35</v>
      </c>
      <c r="L667">
        <v>2050</v>
      </c>
      <c r="M667" t="s">
        <v>1145</v>
      </c>
      <c r="O667">
        <v>1995</v>
      </c>
      <c r="U667" t="s">
        <v>1246</v>
      </c>
      <c r="V667" s="9" t="s">
        <v>1247</v>
      </c>
      <c r="W667">
        <v>134</v>
      </c>
      <c r="X667" s="9" t="s">
        <v>1291</v>
      </c>
      <c r="Z667">
        <v>16</v>
      </c>
      <c r="AF667" s="14" t="s">
        <v>1165</v>
      </c>
      <c r="AI667" t="s">
        <v>153</v>
      </c>
      <c r="AJ667" s="15" t="s">
        <v>1148</v>
      </c>
      <c r="AK667" s="15">
        <v>66</v>
      </c>
      <c r="AL667" s="14" t="s">
        <v>1263</v>
      </c>
      <c r="AM667" s="14">
        <v>7.8</v>
      </c>
      <c r="AN667" s="15">
        <v>5</v>
      </c>
      <c r="AO667" s="15">
        <v>40</v>
      </c>
      <c r="AP667" s="15">
        <v>40</v>
      </c>
      <c r="AQ667" s="14" t="s">
        <v>1301</v>
      </c>
      <c r="AR667" s="15" t="s">
        <v>1249</v>
      </c>
    </row>
    <row r="668" spans="1:45" x14ac:dyDescent="0.2">
      <c r="A668" s="14" t="s">
        <v>1102</v>
      </c>
      <c r="B668" s="15" t="s">
        <v>1146</v>
      </c>
      <c r="C668" s="15" t="s">
        <v>1149</v>
      </c>
      <c r="D668" s="14" t="s">
        <v>798</v>
      </c>
      <c r="E668" s="14" t="s">
        <v>1300</v>
      </c>
      <c r="F668" s="14"/>
      <c r="G668" s="15" t="s">
        <v>153</v>
      </c>
      <c r="H668" s="14" t="s">
        <v>1165</v>
      </c>
      <c r="I668" t="s">
        <v>1289</v>
      </c>
      <c r="J668">
        <v>36.516666666666602</v>
      </c>
      <c r="K668">
        <v>138.35</v>
      </c>
      <c r="L668">
        <v>2050</v>
      </c>
      <c r="M668" t="s">
        <v>1145</v>
      </c>
      <c r="O668">
        <v>1995</v>
      </c>
      <c r="U668" t="s">
        <v>1246</v>
      </c>
      <c r="V668" s="9" t="s">
        <v>1247</v>
      </c>
      <c r="W668">
        <v>134</v>
      </c>
      <c r="X668" s="9" t="s">
        <v>1292</v>
      </c>
      <c r="Z668">
        <v>16</v>
      </c>
      <c r="AF668" s="14" t="s">
        <v>1165</v>
      </c>
      <c r="AI668" t="s">
        <v>153</v>
      </c>
      <c r="AJ668" s="15" t="s">
        <v>1148</v>
      </c>
      <c r="AK668" s="15">
        <v>43</v>
      </c>
      <c r="AL668" s="14" t="s">
        <v>1263</v>
      </c>
      <c r="AM668" s="14">
        <v>8.6</v>
      </c>
      <c r="AN668" s="15">
        <v>5</v>
      </c>
      <c r="AO668" s="15">
        <v>40</v>
      </c>
      <c r="AP668" s="15">
        <v>40</v>
      </c>
      <c r="AQ668" s="14" t="s">
        <v>1301</v>
      </c>
      <c r="AR668" s="15" t="s">
        <v>1249</v>
      </c>
    </row>
    <row r="669" spans="1:45" x14ac:dyDescent="0.2">
      <c r="A669" s="14" t="s">
        <v>1102</v>
      </c>
      <c r="B669" s="15" t="s">
        <v>1146</v>
      </c>
      <c r="C669" s="15" t="s">
        <v>1149</v>
      </c>
      <c r="D669" s="14" t="s">
        <v>798</v>
      </c>
      <c r="E669" s="14" t="s">
        <v>1300</v>
      </c>
      <c r="F669" s="14"/>
      <c r="G669" s="15" t="s">
        <v>153</v>
      </c>
      <c r="H669" s="14" t="s">
        <v>1165</v>
      </c>
      <c r="I669" t="s">
        <v>1289</v>
      </c>
      <c r="J669">
        <v>36.516666666666602</v>
      </c>
      <c r="K669">
        <v>138.35</v>
      </c>
      <c r="L669">
        <v>2050</v>
      </c>
      <c r="M669" t="s">
        <v>1145</v>
      </c>
      <c r="O669">
        <v>1995</v>
      </c>
      <c r="U669" t="s">
        <v>1246</v>
      </c>
      <c r="V669" s="9" t="s">
        <v>1247</v>
      </c>
      <c r="W669">
        <v>134</v>
      </c>
      <c r="X669" s="9" t="s">
        <v>1201</v>
      </c>
      <c r="Z669">
        <v>16</v>
      </c>
      <c r="AF669" s="14" t="s">
        <v>1165</v>
      </c>
      <c r="AI669" t="s">
        <v>153</v>
      </c>
      <c r="AJ669" s="15" t="s">
        <v>1148</v>
      </c>
      <c r="AK669" s="15">
        <v>81</v>
      </c>
      <c r="AL669" s="14" t="s">
        <v>1263</v>
      </c>
      <c r="AM669" s="14">
        <v>4.0999999999999996</v>
      </c>
      <c r="AN669" s="15">
        <v>5</v>
      </c>
      <c r="AO669" s="15">
        <v>40</v>
      </c>
      <c r="AP669" s="15">
        <v>40</v>
      </c>
      <c r="AQ669" s="14" t="s">
        <v>1301</v>
      </c>
      <c r="AR669" s="15" t="s">
        <v>1249</v>
      </c>
    </row>
    <row r="670" spans="1:45" x14ac:dyDescent="0.2">
      <c r="A670" s="14" t="s">
        <v>1102</v>
      </c>
      <c r="B670" s="15" t="s">
        <v>1146</v>
      </c>
      <c r="C670" s="15" t="s">
        <v>1149</v>
      </c>
      <c r="D670" s="14" t="s">
        <v>798</v>
      </c>
      <c r="E670" s="14" t="s">
        <v>1300</v>
      </c>
      <c r="F670" s="14"/>
      <c r="G670" s="15" t="s">
        <v>153</v>
      </c>
      <c r="H670" s="14" t="s">
        <v>1165</v>
      </c>
      <c r="I670" t="s">
        <v>1289</v>
      </c>
      <c r="J670">
        <v>36.516666666666602</v>
      </c>
      <c r="K670">
        <v>138.35</v>
      </c>
      <c r="L670">
        <v>2050</v>
      </c>
      <c r="M670" t="s">
        <v>1145</v>
      </c>
      <c r="O670">
        <v>1995</v>
      </c>
      <c r="U670" t="s">
        <v>1246</v>
      </c>
      <c r="V670" s="9" t="s">
        <v>1247</v>
      </c>
      <c r="W670">
        <v>134</v>
      </c>
      <c r="X670" s="9" t="s">
        <v>1293</v>
      </c>
      <c r="Z670">
        <v>16</v>
      </c>
      <c r="AF670" s="14" t="s">
        <v>1165</v>
      </c>
      <c r="AI670" t="s">
        <v>153</v>
      </c>
      <c r="AJ670" s="15" t="s">
        <v>1148</v>
      </c>
      <c r="AK670" s="15">
        <v>80</v>
      </c>
      <c r="AL670" s="14" t="s">
        <v>1263</v>
      </c>
      <c r="AM670" s="14">
        <v>1.7</v>
      </c>
      <c r="AN670" s="15">
        <v>5</v>
      </c>
      <c r="AO670" s="15">
        <v>40</v>
      </c>
      <c r="AP670" s="15">
        <v>40</v>
      </c>
      <c r="AQ670" s="14" t="s">
        <v>1301</v>
      </c>
      <c r="AR670" s="15" t="s">
        <v>1249</v>
      </c>
    </row>
    <row r="671" spans="1:45" x14ac:dyDescent="0.2">
      <c r="A671" s="14" t="s">
        <v>1102</v>
      </c>
      <c r="B671" s="15" t="s">
        <v>1146</v>
      </c>
      <c r="C671" s="15" t="s">
        <v>1149</v>
      </c>
      <c r="D671" s="14" t="s">
        <v>798</v>
      </c>
      <c r="E671" s="14" t="s">
        <v>1300</v>
      </c>
      <c r="F671" s="14"/>
      <c r="G671" s="15" t="s">
        <v>153</v>
      </c>
      <c r="H671" s="14" t="s">
        <v>1165</v>
      </c>
      <c r="I671" t="s">
        <v>1289</v>
      </c>
      <c r="J671">
        <v>36.516666666666602</v>
      </c>
      <c r="K671">
        <v>138.35</v>
      </c>
      <c r="L671">
        <v>2050</v>
      </c>
      <c r="M671" t="s">
        <v>1145</v>
      </c>
      <c r="O671">
        <v>1995</v>
      </c>
      <c r="U671" t="s">
        <v>1246</v>
      </c>
      <c r="V671" s="9" t="s">
        <v>1247</v>
      </c>
      <c r="W671">
        <v>134</v>
      </c>
      <c r="X671" s="9" t="s">
        <v>1294</v>
      </c>
      <c r="Z671">
        <v>16</v>
      </c>
      <c r="AF671" s="14" t="s">
        <v>1165</v>
      </c>
      <c r="AI671" t="s">
        <v>153</v>
      </c>
      <c r="AJ671" s="15" t="s">
        <v>1148</v>
      </c>
      <c r="AK671" s="15">
        <v>88</v>
      </c>
      <c r="AL671" s="14" t="s">
        <v>1263</v>
      </c>
      <c r="AM671" s="14">
        <v>1.1000000000000001</v>
      </c>
      <c r="AN671" s="15">
        <v>5</v>
      </c>
      <c r="AO671" s="15">
        <v>40</v>
      </c>
      <c r="AP671" s="15">
        <v>40</v>
      </c>
      <c r="AQ671" s="14" t="s">
        <v>1301</v>
      </c>
      <c r="AR671" s="15" t="s">
        <v>1249</v>
      </c>
      <c r="AS671" t="s">
        <v>1297</v>
      </c>
    </row>
    <row r="672" spans="1:45" x14ac:dyDescent="0.2">
      <c r="A672" s="14" t="s">
        <v>1102</v>
      </c>
      <c r="B672" s="15" t="s">
        <v>1146</v>
      </c>
      <c r="C672" s="15" t="s">
        <v>1149</v>
      </c>
      <c r="D672" s="14" t="s">
        <v>798</v>
      </c>
      <c r="E672" s="14" t="s">
        <v>1300</v>
      </c>
      <c r="F672" s="14"/>
      <c r="G672" s="15" t="s">
        <v>153</v>
      </c>
      <c r="H672" s="14" t="s">
        <v>1165</v>
      </c>
      <c r="I672" t="s">
        <v>1289</v>
      </c>
      <c r="J672">
        <v>36.516666666666602</v>
      </c>
      <c r="K672">
        <v>138.35</v>
      </c>
      <c r="L672">
        <v>2050</v>
      </c>
      <c r="M672" t="s">
        <v>1145</v>
      </c>
      <c r="O672">
        <v>1995</v>
      </c>
      <c r="U672" t="s">
        <v>1246</v>
      </c>
      <c r="V672" s="9" t="s">
        <v>1247</v>
      </c>
      <c r="W672">
        <v>134</v>
      </c>
      <c r="X672" s="9" t="s">
        <v>1295</v>
      </c>
      <c r="Z672">
        <v>16</v>
      </c>
      <c r="AF672" s="14" t="s">
        <v>1165</v>
      </c>
      <c r="AI672" t="s">
        <v>153</v>
      </c>
      <c r="AJ672" s="15" t="s">
        <v>1148</v>
      </c>
      <c r="AK672" s="15">
        <v>88</v>
      </c>
      <c r="AL672" s="14" t="s">
        <v>1263</v>
      </c>
      <c r="AM672" s="14">
        <v>2.7</v>
      </c>
      <c r="AN672" s="15">
        <v>5</v>
      </c>
      <c r="AO672" s="15">
        <v>40</v>
      </c>
      <c r="AP672" s="15">
        <v>40</v>
      </c>
      <c r="AQ672" s="14" t="s">
        <v>1301</v>
      </c>
      <c r="AR672" s="15" t="s">
        <v>1249</v>
      </c>
      <c r="AS672" t="s">
        <v>1297</v>
      </c>
    </row>
    <row r="673" spans="1:45" x14ac:dyDescent="0.2">
      <c r="A673" s="14" t="s">
        <v>1102</v>
      </c>
      <c r="B673" s="15" t="s">
        <v>1146</v>
      </c>
      <c r="C673" s="15" t="s">
        <v>1149</v>
      </c>
      <c r="D673" s="14" t="s">
        <v>798</v>
      </c>
      <c r="E673" s="14" t="s">
        <v>1300</v>
      </c>
      <c r="F673" s="14"/>
      <c r="G673" s="15" t="s">
        <v>153</v>
      </c>
      <c r="H673" s="14" t="s">
        <v>1165</v>
      </c>
      <c r="I673" t="s">
        <v>1289</v>
      </c>
      <c r="J673">
        <v>36.516666666666602</v>
      </c>
      <c r="K673">
        <v>138.35</v>
      </c>
      <c r="L673">
        <v>2050</v>
      </c>
      <c r="M673" t="s">
        <v>1145</v>
      </c>
      <c r="O673">
        <v>1995</v>
      </c>
      <c r="U673" t="s">
        <v>1246</v>
      </c>
      <c r="V673" s="9" t="s">
        <v>1247</v>
      </c>
      <c r="W673">
        <v>134</v>
      </c>
      <c r="X673" s="9" t="s">
        <v>1296</v>
      </c>
      <c r="Z673">
        <v>16</v>
      </c>
      <c r="AF673" s="14" t="s">
        <v>1165</v>
      </c>
      <c r="AI673" t="s">
        <v>153</v>
      </c>
      <c r="AJ673" s="15" t="s">
        <v>1148</v>
      </c>
      <c r="AK673" s="15">
        <v>92</v>
      </c>
      <c r="AL673" s="14" t="s">
        <v>1263</v>
      </c>
      <c r="AM673" s="14">
        <v>0.5</v>
      </c>
      <c r="AN673" s="15">
        <v>5</v>
      </c>
      <c r="AO673" s="15">
        <v>40</v>
      </c>
      <c r="AP673" s="15">
        <v>40</v>
      </c>
      <c r="AQ673" s="14" t="s">
        <v>1301</v>
      </c>
      <c r="AR673" s="15" t="s">
        <v>1249</v>
      </c>
      <c r="AS673" t="s">
        <v>1297</v>
      </c>
    </row>
    <row r="674" spans="1:45" x14ac:dyDescent="0.2">
      <c r="A674" t="s">
        <v>1127</v>
      </c>
      <c r="B674" s="15" t="s">
        <v>1146</v>
      </c>
      <c r="C674" s="15" t="s">
        <v>1149</v>
      </c>
      <c r="D674" t="s">
        <v>1125</v>
      </c>
      <c r="E674" t="s">
        <v>1126</v>
      </c>
      <c r="F674" t="s">
        <v>1311</v>
      </c>
      <c r="G674" s="15" t="s">
        <v>1165</v>
      </c>
      <c r="H674" s="14" t="s">
        <v>1165</v>
      </c>
      <c r="I674" s="16" t="s">
        <v>1312</v>
      </c>
      <c r="M674" t="s">
        <v>1145</v>
      </c>
      <c r="O674">
        <v>2011</v>
      </c>
      <c r="R674">
        <v>30</v>
      </c>
      <c r="T674" t="s">
        <v>1313</v>
      </c>
      <c r="U674" t="s">
        <v>1246</v>
      </c>
      <c r="V674" s="9" t="s">
        <v>1313</v>
      </c>
      <c r="W674">
        <v>70</v>
      </c>
      <c r="X674" s="9" t="s">
        <v>1291</v>
      </c>
      <c r="Y674" t="s">
        <v>1315</v>
      </c>
      <c r="Z674">
        <v>24</v>
      </c>
      <c r="AF674" s="14" t="s">
        <v>153</v>
      </c>
      <c r="AG674" t="s">
        <v>1314</v>
      </c>
      <c r="AH674">
        <v>10</v>
      </c>
      <c r="AI674" t="s">
        <v>153</v>
      </c>
      <c r="AJ674" s="15" t="s">
        <v>1148</v>
      </c>
      <c r="AK674" s="15">
        <v>0</v>
      </c>
      <c r="AL674" s="14" t="s">
        <v>1263</v>
      </c>
      <c r="AM674" s="14">
        <v>0</v>
      </c>
      <c r="AN674" s="15">
        <v>4</v>
      </c>
      <c r="AO674" s="15">
        <v>50</v>
      </c>
      <c r="AP674" s="15">
        <v>0</v>
      </c>
      <c r="AQ674" s="14" t="s">
        <v>1284</v>
      </c>
      <c r="AR674" s="15" t="s">
        <v>1316</v>
      </c>
    </row>
    <row r="675" spans="1:45" x14ac:dyDescent="0.2">
      <c r="A675" t="s">
        <v>1127</v>
      </c>
      <c r="B675" s="15" t="s">
        <v>1146</v>
      </c>
      <c r="C675" s="15" t="s">
        <v>1149</v>
      </c>
      <c r="D675" t="s">
        <v>1125</v>
      </c>
      <c r="E675" t="s">
        <v>1126</v>
      </c>
      <c r="F675" t="s">
        <v>1311</v>
      </c>
      <c r="G675" s="15" t="s">
        <v>1165</v>
      </c>
      <c r="H675" s="14" t="s">
        <v>1165</v>
      </c>
      <c r="I675" s="16" t="s">
        <v>1312</v>
      </c>
      <c r="M675" t="s">
        <v>1145</v>
      </c>
      <c r="O675">
        <v>2011</v>
      </c>
      <c r="R675">
        <v>30</v>
      </c>
      <c r="T675" t="s">
        <v>1313</v>
      </c>
      <c r="U675" t="s">
        <v>1246</v>
      </c>
      <c r="V675" s="9" t="s">
        <v>1313</v>
      </c>
      <c r="W675">
        <v>70</v>
      </c>
      <c r="X675" s="9" t="s">
        <v>1292</v>
      </c>
      <c r="Y675" t="s">
        <v>1315</v>
      </c>
      <c r="Z675">
        <v>24</v>
      </c>
      <c r="AF675" s="14" t="s">
        <v>153</v>
      </c>
      <c r="AG675" t="s">
        <v>1314</v>
      </c>
      <c r="AH675">
        <v>10</v>
      </c>
      <c r="AI675" t="s">
        <v>153</v>
      </c>
      <c r="AJ675" s="15" t="s">
        <v>1148</v>
      </c>
      <c r="AK675" s="15">
        <v>0</v>
      </c>
      <c r="AL675" s="14" t="s">
        <v>1263</v>
      </c>
      <c r="AM675" s="14">
        <v>0</v>
      </c>
      <c r="AN675" s="15">
        <v>4</v>
      </c>
      <c r="AO675" s="15">
        <v>50</v>
      </c>
      <c r="AP675" s="15">
        <v>0</v>
      </c>
      <c r="AQ675" s="14" t="s">
        <v>1284</v>
      </c>
      <c r="AR675" s="15" t="s">
        <v>1316</v>
      </c>
    </row>
    <row r="676" spans="1:45" x14ac:dyDescent="0.2">
      <c r="A676" t="s">
        <v>1127</v>
      </c>
      <c r="B676" s="15" t="s">
        <v>1146</v>
      </c>
      <c r="C676" s="15" t="s">
        <v>1149</v>
      </c>
      <c r="D676" t="s">
        <v>1125</v>
      </c>
      <c r="E676" t="s">
        <v>1126</v>
      </c>
      <c r="F676" t="s">
        <v>1311</v>
      </c>
      <c r="G676" s="15" t="s">
        <v>1165</v>
      </c>
      <c r="H676" s="14" t="s">
        <v>1165</v>
      </c>
      <c r="I676" s="16" t="s">
        <v>1312</v>
      </c>
      <c r="M676" t="s">
        <v>1145</v>
      </c>
      <c r="O676">
        <v>2011</v>
      </c>
      <c r="R676">
        <v>30</v>
      </c>
      <c r="T676" t="s">
        <v>1313</v>
      </c>
      <c r="U676" t="s">
        <v>1246</v>
      </c>
      <c r="V676" s="9" t="s">
        <v>1313</v>
      </c>
      <c r="W676">
        <v>70</v>
      </c>
      <c r="X676" s="9" t="s">
        <v>1201</v>
      </c>
      <c r="Y676" t="s">
        <v>1315</v>
      </c>
      <c r="Z676">
        <v>24</v>
      </c>
      <c r="AF676" s="14" t="s">
        <v>153</v>
      </c>
      <c r="AG676" t="s">
        <v>1314</v>
      </c>
      <c r="AH676">
        <v>10</v>
      </c>
      <c r="AI676" t="s">
        <v>153</v>
      </c>
      <c r="AJ676" s="15" t="s">
        <v>1148</v>
      </c>
      <c r="AK676" s="15">
        <v>0</v>
      </c>
      <c r="AL676" s="14" t="s">
        <v>1263</v>
      </c>
      <c r="AM676" s="14">
        <v>0</v>
      </c>
      <c r="AN676" s="15">
        <v>4</v>
      </c>
      <c r="AO676" s="15">
        <v>50</v>
      </c>
      <c r="AP676" s="15">
        <v>0</v>
      </c>
      <c r="AQ676" s="14" t="s">
        <v>1284</v>
      </c>
      <c r="AR676" s="15" t="s">
        <v>1316</v>
      </c>
    </row>
    <row r="677" spans="1:45" x14ac:dyDescent="0.2">
      <c r="A677" t="s">
        <v>1127</v>
      </c>
      <c r="B677" s="15" t="s">
        <v>1146</v>
      </c>
      <c r="C677" s="15" t="s">
        <v>1149</v>
      </c>
      <c r="D677" t="s">
        <v>1125</v>
      </c>
      <c r="E677" t="s">
        <v>1126</v>
      </c>
      <c r="F677" t="s">
        <v>1311</v>
      </c>
      <c r="G677" s="15" t="s">
        <v>1165</v>
      </c>
      <c r="H677" s="14" t="s">
        <v>1165</v>
      </c>
      <c r="I677" s="16" t="s">
        <v>1312</v>
      </c>
      <c r="M677" t="s">
        <v>1145</v>
      </c>
      <c r="O677">
        <v>2011</v>
      </c>
      <c r="R677">
        <v>30</v>
      </c>
      <c r="T677" t="s">
        <v>1313</v>
      </c>
      <c r="U677" t="s">
        <v>1246</v>
      </c>
      <c r="V677" s="9" t="s">
        <v>1313</v>
      </c>
      <c r="W677">
        <v>70</v>
      </c>
      <c r="X677" s="9" t="s">
        <v>1293</v>
      </c>
      <c r="Y677" t="s">
        <v>1315</v>
      </c>
      <c r="Z677">
        <v>24</v>
      </c>
      <c r="AF677" s="14" t="s">
        <v>153</v>
      </c>
      <c r="AG677" t="s">
        <v>1314</v>
      </c>
      <c r="AH677">
        <v>10</v>
      </c>
      <c r="AI677" t="s">
        <v>153</v>
      </c>
      <c r="AJ677" s="15" t="s">
        <v>1148</v>
      </c>
      <c r="AK677" s="15">
        <v>0</v>
      </c>
      <c r="AL677" s="14" t="s">
        <v>1263</v>
      </c>
      <c r="AM677" s="14">
        <v>0</v>
      </c>
      <c r="AN677" s="15">
        <v>4</v>
      </c>
      <c r="AO677" s="15">
        <v>50</v>
      </c>
      <c r="AP677" s="15">
        <v>0</v>
      </c>
      <c r="AQ677" s="14" t="s">
        <v>1284</v>
      </c>
      <c r="AR677" s="15" t="s">
        <v>1316</v>
      </c>
    </row>
    <row r="678" spans="1:45" x14ac:dyDescent="0.2">
      <c r="A678" t="s">
        <v>1127</v>
      </c>
      <c r="B678" s="15" t="s">
        <v>1146</v>
      </c>
      <c r="C678" s="15" t="s">
        <v>1149</v>
      </c>
      <c r="D678" t="s">
        <v>1125</v>
      </c>
      <c r="E678" t="s">
        <v>1126</v>
      </c>
      <c r="F678" t="s">
        <v>1311</v>
      </c>
      <c r="G678" s="15" t="s">
        <v>1165</v>
      </c>
      <c r="H678" s="14" t="s">
        <v>1165</v>
      </c>
      <c r="I678" s="16" t="s">
        <v>1312</v>
      </c>
      <c r="M678" t="s">
        <v>1145</v>
      </c>
      <c r="O678">
        <v>2011</v>
      </c>
      <c r="R678">
        <v>30</v>
      </c>
      <c r="T678" t="s">
        <v>1313</v>
      </c>
      <c r="U678" t="s">
        <v>1246</v>
      </c>
      <c r="V678" s="9" t="s">
        <v>1313</v>
      </c>
      <c r="W678">
        <v>70</v>
      </c>
      <c r="X678" s="9" t="s">
        <v>1291</v>
      </c>
      <c r="Y678" t="s">
        <v>1315</v>
      </c>
      <c r="Z678">
        <v>24</v>
      </c>
      <c r="AF678" s="14" t="s">
        <v>153</v>
      </c>
      <c r="AG678" t="s">
        <v>1314</v>
      </c>
      <c r="AH678">
        <v>10</v>
      </c>
      <c r="AI678" t="s">
        <v>153</v>
      </c>
      <c r="AJ678" s="15" t="s">
        <v>1148</v>
      </c>
      <c r="AK678" s="15">
        <v>0</v>
      </c>
      <c r="AL678" s="14" t="s">
        <v>1263</v>
      </c>
      <c r="AM678" s="14">
        <v>0</v>
      </c>
      <c r="AN678" s="15">
        <v>4</v>
      </c>
      <c r="AO678" s="15">
        <v>50</v>
      </c>
      <c r="AP678" s="15">
        <v>7</v>
      </c>
      <c r="AQ678" s="14" t="s">
        <v>1284</v>
      </c>
      <c r="AR678" s="15" t="s">
        <v>1316</v>
      </c>
    </row>
    <row r="679" spans="1:45" x14ac:dyDescent="0.2">
      <c r="A679" t="s">
        <v>1127</v>
      </c>
      <c r="B679" s="15" t="s">
        <v>1146</v>
      </c>
      <c r="C679" s="15" t="s">
        <v>1149</v>
      </c>
      <c r="D679" t="s">
        <v>1125</v>
      </c>
      <c r="E679" t="s">
        <v>1126</v>
      </c>
      <c r="F679" t="s">
        <v>1311</v>
      </c>
      <c r="G679" s="15" t="s">
        <v>1165</v>
      </c>
      <c r="H679" s="14" t="s">
        <v>1165</v>
      </c>
      <c r="I679" s="16" t="s">
        <v>1312</v>
      </c>
      <c r="M679" t="s">
        <v>1145</v>
      </c>
      <c r="O679">
        <v>2011</v>
      </c>
      <c r="R679">
        <v>30</v>
      </c>
      <c r="T679" t="s">
        <v>1313</v>
      </c>
      <c r="U679" t="s">
        <v>1246</v>
      </c>
      <c r="V679" s="9" t="s">
        <v>1313</v>
      </c>
      <c r="W679">
        <v>70</v>
      </c>
      <c r="X679" s="9" t="s">
        <v>1292</v>
      </c>
      <c r="Y679" t="s">
        <v>1315</v>
      </c>
      <c r="Z679">
        <v>24</v>
      </c>
      <c r="AF679" s="14" t="s">
        <v>153</v>
      </c>
      <c r="AG679" t="s">
        <v>1314</v>
      </c>
      <c r="AH679">
        <v>10</v>
      </c>
      <c r="AI679" t="s">
        <v>153</v>
      </c>
      <c r="AJ679" s="15" t="s">
        <v>1148</v>
      </c>
      <c r="AK679" s="15">
        <v>0</v>
      </c>
      <c r="AL679" s="14" t="s">
        <v>1263</v>
      </c>
      <c r="AM679" s="14">
        <v>0</v>
      </c>
      <c r="AN679" s="15">
        <v>4</v>
      </c>
      <c r="AO679" s="15">
        <v>50</v>
      </c>
      <c r="AP679" s="15">
        <v>7</v>
      </c>
      <c r="AQ679" s="14" t="s">
        <v>1284</v>
      </c>
      <c r="AR679" s="15" t="s">
        <v>1316</v>
      </c>
    </row>
    <row r="680" spans="1:45" x14ac:dyDescent="0.2">
      <c r="A680" t="s">
        <v>1127</v>
      </c>
      <c r="B680" s="15" t="s">
        <v>1146</v>
      </c>
      <c r="C680" s="15" t="s">
        <v>1149</v>
      </c>
      <c r="D680" t="s">
        <v>1125</v>
      </c>
      <c r="E680" t="s">
        <v>1126</v>
      </c>
      <c r="F680" t="s">
        <v>1311</v>
      </c>
      <c r="G680" s="15" t="s">
        <v>1165</v>
      </c>
      <c r="H680" s="14" t="s">
        <v>1165</v>
      </c>
      <c r="I680" s="16" t="s">
        <v>1312</v>
      </c>
      <c r="M680" t="s">
        <v>1145</v>
      </c>
      <c r="O680">
        <v>2011</v>
      </c>
      <c r="R680">
        <v>30</v>
      </c>
      <c r="T680" t="s">
        <v>1313</v>
      </c>
      <c r="U680" t="s">
        <v>1246</v>
      </c>
      <c r="V680" s="9" t="s">
        <v>1313</v>
      </c>
      <c r="W680">
        <v>70</v>
      </c>
      <c r="X680" s="9" t="s">
        <v>1201</v>
      </c>
      <c r="Y680" t="s">
        <v>1315</v>
      </c>
      <c r="Z680">
        <v>24</v>
      </c>
      <c r="AF680" s="14" t="s">
        <v>153</v>
      </c>
      <c r="AG680" t="s">
        <v>1314</v>
      </c>
      <c r="AH680">
        <v>10</v>
      </c>
      <c r="AI680" t="s">
        <v>153</v>
      </c>
      <c r="AJ680" s="15" t="s">
        <v>1148</v>
      </c>
      <c r="AK680" s="15">
        <v>0</v>
      </c>
      <c r="AL680" s="14" t="s">
        <v>1263</v>
      </c>
      <c r="AM680" s="14">
        <v>0</v>
      </c>
      <c r="AN680" s="15">
        <v>4</v>
      </c>
      <c r="AO680" s="15">
        <v>50</v>
      </c>
      <c r="AP680" s="15">
        <v>7</v>
      </c>
      <c r="AQ680" s="14" t="s">
        <v>1284</v>
      </c>
      <c r="AR680" s="15" t="s">
        <v>1316</v>
      </c>
    </row>
    <row r="681" spans="1:45" x14ac:dyDescent="0.2">
      <c r="A681" t="s">
        <v>1127</v>
      </c>
      <c r="B681" s="15" t="s">
        <v>1146</v>
      </c>
      <c r="C681" s="15" t="s">
        <v>1149</v>
      </c>
      <c r="D681" t="s">
        <v>1125</v>
      </c>
      <c r="E681" t="s">
        <v>1126</v>
      </c>
      <c r="F681" t="s">
        <v>1311</v>
      </c>
      <c r="G681" s="15" t="s">
        <v>1165</v>
      </c>
      <c r="H681" s="14" t="s">
        <v>1165</v>
      </c>
      <c r="I681" s="16" t="s">
        <v>1312</v>
      </c>
      <c r="M681" t="s">
        <v>1145</v>
      </c>
      <c r="O681">
        <v>2011</v>
      </c>
      <c r="R681">
        <v>30</v>
      </c>
      <c r="T681" t="s">
        <v>1313</v>
      </c>
      <c r="U681" t="s">
        <v>1246</v>
      </c>
      <c r="V681" s="9" t="s">
        <v>1313</v>
      </c>
      <c r="W681">
        <v>70</v>
      </c>
      <c r="X681" s="9" t="s">
        <v>1293</v>
      </c>
      <c r="Y681" t="s">
        <v>1315</v>
      </c>
      <c r="Z681">
        <v>24</v>
      </c>
      <c r="AF681" s="14" t="s">
        <v>153</v>
      </c>
      <c r="AG681" t="s">
        <v>1314</v>
      </c>
      <c r="AH681">
        <v>10</v>
      </c>
      <c r="AI681" t="s">
        <v>153</v>
      </c>
      <c r="AJ681" s="15" t="s">
        <v>1148</v>
      </c>
      <c r="AK681" s="15">
        <v>0</v>
      </c>
      <c r="AL681" s="14" t="s">
        <v>1263</v>
      </c>
      <c r="AM681">
        <v>0</v>
      </c>
      <c r="AN681" s="15">
        <v>4</v>
      </c>
      <c r="AO681" s="15">
        <v>50</v>
      </c>
      <c r="AP681" s="15">
        <v>7</v>
      </c>
      <c r="AQ681" s="14" t="s">
        <v>1284</v>
      </c>
      <c r="AR681" s="15" t="s">
        <v>1316</v>
      </c>
    </row>
    <row r="682" spans="1:45" x14ac:dyDescent="0.2">
      <c r="A682" t="s">
        <v>1127</v>
      </c>
      <c r="B682" s="15" t="s">
        <v>1146</v>
      </c>
      <c r="C682" s="15" t="s">
        <v>1149</v>
      </c>
      <c r="D682" t="s">
        <v>1125</v>
      </c>
      <c r="E682" t="s">
        <v>1126</v>
      </c>
      <c r="F682" t="s">
        <v>1311</v>
      </c>
      <c r="G682" s="15" t="s">
        <v>1165</v>
      </c>
      <c r="H682" s="14" t="s">
        <v>1165</v>
      </c>
      <c r="I682" s="16" t="s">
        <v>1312</v>
      </c>
      <c r="M682" t="s">
        <v>1145</v>
      </c>
      <c r="O682">
        <v>2011</v>
      </c>
      <c r="R682">
        <v>30</v>
      </c>
      <c r="T682" t="s">
        <v>1313</v>
      </c>
      <c r="U682" t="s">
        <v>1246</v>
      </c>
      <c r="V682" s="9" t="s">
        <v>1313</v>
      </c>
      <c r="W682">
        <v>70</v>
      </c>
      <c r="X682" s="9" t="s">
        <v>1291</v>
      </c>
      <c r="Y682" t="s">
        <v>1315</v>
      </c>
      <c r="Z682">
        <v>24</v>
      </c>
      <c r="AF682" s="14" t="s">
        <v>153</v>
      </c>
      <c r="AG682" t="s">
        <v>1314</v>
      </c>
      <c r="AH682">
        <v>10</v>
      </c>
      <c r="AI682" t="s">
        <v>153</v>
      </c>
      <c r="AJ682" s="15" t="s">
        <v>1148</v>
      </c>
      <c r="AK682" s="15">
        <v>0</v>
      </c>
      <c r="AL682" s="14" t="s">
        <v>1263</v>
      </c>
      <c r="AM682" s="14">
        <v>0</v>
      </c>
      <c r="AN682" s="15">
        <v>4</v>
      </c>
      <c r="AO682" s="15">
        <v>50</v>
      </c>
      <c r="AP682" s="15">
        <v>14</v>
      </c>
      <c r="AQ682" s="14" t="s">
        <v>1284</v>
      </c>
      <c r="AR682" s="15" t="s">
        <v>1316</v>
      </c>
    </row>
    <row r="683" spans="1:45" x14ac:dyDescent="0.2">
      <c r="A683" t="s">
        <v>1127</v>
      </c>
      <c r="B683" s="15" t="s">
        <v>1146</v>
      </c>
      <c r="C683" s="15" t="s">
        <v>1149</v>
      </c>
      <c r="D683" t="s">
        <v>1125</v>
      </c>
      <c r="E683" t="s">
        <v>1126</v>
      </c>
      <c r="F683" t="s">
        <v>1311</v>
      </c>
      <c r="G683" s="15" t="s">
        <v>1165</v>
      </c>
      <c r="H683" s="14" t="s">
        <v>1165</v>
      </c>
      <c r="I683" s="16" t="s">
        <v>1312</v>
      </c>
      <c r="M683" t="s">
        <v>1145</v>
      </c>
      <c r="O683">
        <v>2011</v>
      </c>
      <c r="R683">
        <v>30</v>
      </c>
      <c r="T683" t="s">
        <v>1313</v>
      </c>
      <c r="U683" t="s">
        <v>1246</v>
      </c>
      <c r="V683" s="9" t="s">
        <v>1313</v>
      </c>
      <c r="W683">
        <v>70</v>
      </c>
      <c r="X683" s="9" t="s">
        <v>1292</v>
      </c>
      <c r="Y683" t="s">
        <v>1315</v>
      </c>
      <c r="Z683">
        <v>24</v>
      </c>
      <c r="AF683" s="14" t="s">
        <v>153</v>
      </c>
      <c r="AG683" t="s">
        <v>1314</v>
      </c>
      <c r="AH683">
        <v>10</v>
      </c>
      <c r="AI683" t="s">
        <v>153</v>
      </c>
      <c r="AJ683" s="15" t="s">
        <v>1148</v>
      </c>
      <c r="AK683" s="15">
        <v>0</v>
      </c>
      <c r="AL683" s="14" t="s">
        <v>1263</v>
      </c>
      <c r="AM683" s="14">
        <v>0</v>
      </c>
      <c r="AN683" s="15">
        <v>4</v>
      </c>
      <c r="AO683" s="15">
        <v>50</v>
      </c>
      <c r="AP683" s="15">
        <v>14</v>
      </c>
      <c r="AQ683" s="14" t="s">
        <v>1284</v>
      </c>
      <c r="AR683" s="15" t="s">
        <v>1316</v>
      </c>
    </row>
    <row r="684" spans="1:45" x14ac:dyDescent="0.2">
      <c r="A684" t="s">
        <v>1127</v>
      </c>
      <c r="B684" s="15" t="s">
        <v>1146</v>
      </c>
      <c r="C684" s="15" t="s">
        <v>1149</v>
      </c>
      <c r="D684" t="s">
        <v>1125</v>
      </c>
      <c r="E684" t="s">
        <v>1126</v>
      </c>
      <c r="F684" t="s">
        <v>1311</v>
      </c>
      <c r="G684" s="15" t="s">
        <v>1165</v>
      </c>
      <c r="H684" s="14" t="s">
        <v>1165</v>
      </c>
      <c r="I684" s="16" t="s">
        <v>1312</v>
      </c>
      <c r="M684" t="s">
        <v>1145</v>
      </c>
      <c r="O684">
        <v>2011</v>
      </c>
      <c r="R684">
        <v>30</v>
      </c>
      <c r="T684" t="s">
        <v>1313</v>
      </c>
      <c r="U684" t="s">
        <v>1246</v>
      </c>
      <c r="V684" s="9" t="s">
        <v>1313</v>
      </c>
      <c r="W684">
        <v>70</v>
      </c>
      <c r="X684" s="9" t="s">
        <v>1201</v>
      </c>
      <c r="Y684" t="s">
        <v>1315</v>
      </c>
      <c r="Z684">
        <v>24</v>
      </c>
      <c r="AF684" s="14" t="s">
        <v>153</v>
      </c>
      <c r="AG684" t="s">
        <v>1314</v>
      </c>
      <c r="AH684">
        <v>10</v>
      </c>
      <c r="AI684" t="s">
        <v>153</v>
      </c>
      <c r="AJ684" s="15" t="s">
        <v>1148</v>
      </c>
      <c r="AK684" s="15">
        <v>0</v>
      </c>
      <c r="AL684" s="14" t="s">
        <v>1263</v>
      </c>
      <c r="AM684" s="14">
        <v>0</v>
      </c>
      <c r="AN684" s="15">
        <v>4</v>
      </c>
      <c r="AO684" s="15">
        <v>50</v>
      </c>
      <c r="AP684" s="15">
        <v>14</v>
      </c>
      <c r="AQ684" s="14" t="s">
        <v>1284</v>
      </c>
      <c r="AR684" s="15" t="s">
        <v>1316</v>
      </c>
    </row>
    <row r="685" spans="1:45" x14ac:dyDescent="0.2">
      <c r="A685" t="s">
        <v>1127</v>
      </c>
      <c r="B685" s="15" t="s">
        <v>1146</v>
      </c>
      <c r="C685" s="15" t="s">
        <v>1149</v>
      </c>
      <c r="D685" t="s">
        <v>1125</v>
      </c>
      <c r="E685" t="s">
        <v>1126</v>
      </c>
      <c r="F685" t="s">
        <v>1311</v>
      </c>
      <c r="G685" s="15" t="s">
        <v>1165</v>
      </c>
      <c r="H685" s="14" t="s">
        <v>1165</v>
      </c>
      <c r="I685" s="16" t="s">
        <v>1312</v>
      </c>
      <c r="M685" t="s">
        <v>1145</v>
      </c>
      <c r="O685">
        <v>2011</v>
      </c>
      <c r="R685">
        <v>30</v>
      </c>
      <c r="T685" t="s">
        <v>1313</v>
      </c>
      <c r="U685" t="s">
        <v>1246</v>
      </c>
      <c r="V685" s="9" t="s">
        <v>1313</v>
      </c>
      <c r="W685">
        <v>70</v>
      </c>
      <c r="X685" s="9" t="s">
        <v>1293</v>
      </c>
      <c r="Y685" t="s">
        <v>1315</v>
      </c>
      <c r="Z685">
        <v>24</v>
      </c>
      <c r="AF685" s="14" t="s">
        <v>153</v>
      </c>
      <c r="AG685" t="s">
        <v>1314</v>
      </c>
      <c r="AH685">
        <v>10</v>
      </c>
      <c r="AI685" t="s">
        <v>153</v>
      </c>
      <c r="AJ685" s="15" t="s">
        <v>1148</v>
      </c>
      <c r="AK685" s="15">
        <v>0</v>
      </c>
      <c r="AL685" s="14" t="s">
        <v>1263</v>
      </c>
      <c r="AM685">
        <v>0</v>
      </c>
      <c r="AN685" s="15">
        <v>4</v>
      </c>
      <c r="AO685" s="15">
        <v>50</v>
      </c>
      <c r="AP685" s="15">
        <v>14</v>
      </c>
      <c r="AQ685" s="14" t="s">
        <v>1284</v>
      </c>
      <c r="AR685" s="15" t="s">
        <v>1316</v>
      </c>
    </row>
    <row r="686" spans="1:45" x14ac:dyDescent="0.2">
      <c r="A686" t="s">
        <v>1127</v>
      </c>
      <c r="B686" s="15" t="s">
        <v>1146</v>
      </c>
      <c r="C686" s="15" t="s">
        <v>1149</v>
      </c>
      <c r="D686" t="s">
        <v>1125</v>
      </c>
      <c r="E686" t="s">
        <v>1126</v>
      </c>
      <c r="F686" t="s">
        <v>1311</v>
      </c>
      <c r="G686" s="15" t="s">
        <v>1165</v>
      </c>
      <c r="H686" s="14" t="s">
        <v>1165</v>
      </c>
      <c r="I686" s="16" t="s">
        <v>1312</v>
      </c>
      <c r="M686" t="s">
        <v>1145</v>
      </c>
      <c r="O686">
        <v>2011</v>
      </c>
      <c r="R686">
        <v>30</v>
      </c>
      <c r="T686" t="s">
        <v>1313</v>
      </c>
      <c r="U686" t="s">
        <v>1246</v>
      </c>
      <c r="V686" s="9" t="s">
        <v>1313</v>
      </c>
      <c r="W686">
        <v>70</v>
      </c>
      <c r="X686" s="9" t="s">
        <v>1291</v>
      </c>
      <c r="Y686" t="s">
        <v>1315</v>
      </c>
      <c r="Z686">
        <v>24</v>
      </c>
      <c r="AF686" s="14" t="s">
        <v>153</v>
      </c>
      <c r="AG686" t="s">
        <v>1314</v>
      </c>
      <c r="AH686">
        <v>10</v>
      </c>
      <c r="AI686" t="s">
        <v>153</v>
      </c>
      <c r="AJ686" s="15" t="s">
        <v>1148</v>
      </c>
      <c r="AK686" s="15">
        <v>0</v>
      </c>
      <c r="AL686" s="14" t="s">
        <v>1263</v>
      </c>
      <c r="AM686" s="14">
        <v>0</v>
      </c>
      <c r="AN686" s="15">
        <v>4</v>
      </c>
      <c r="AO686" s="15">
        <v>50</v>
      </c>
      <c r="AP686" s="15">
        <v>21</v>
      </c>
      <c r="AQ686" s="14" t="s">
        <v>1284</v>
      </c>
      <c r="AR686" s="15" t="s">
        <v>1316</v>
      </c>
    </row>
    <row r="687" spans="1:45" x14ac:dyDescent="0.2">
      <c r="A687" t="s">
        <v>1127</v>
      </c>
      <c r="B687" s="15" t="s">
        <v>1146</v>
      </c>
      <c r="C687" s="15" t="s">
        <v>1149</v>
      </c>
      <c r="D687" t="s">
        <v>1125</v>
      </c>
      <c r="E687" t="s">
        <v>1126</v>
      </c>
      <c r="F687" t="s">
        <v>1311</v>
      </c>
      <c r="G687" s="15" t="s">
        <v>1165</v>
      </c>
      <c r="H687" s="14" t="s">
        <v>1165</v>
      </c>
      <c r="I687" s="16" t="s">
        <v>1312</v>
      </c>
      <c r="M687" t="s">
        <v>1145</v>
      </c>
      <c r="O687">
        <v>2011</v>
      </c>
      <c r="R687">
        <v>30</v>
      </c>
      <c r="T687" t="s">
        <v>1313</v>
      </c>
      <c r="U687" t="s">
        <v>1246</v>
      </c>
      <c r="V687" s="9" t="s">
        <v>1313</v>
      </c>
      <c r="W687">
        <v>70</v>
      </c>
      <c r="X687" s="9" t="s">
        <v>1292</v>
      </c>
      <c r="Y687" t="s">
        <v>1315</v>
      </c>
      <c r="Z687">
        <v>24</v>
      </c>
      <c r="AF687" s="14" t="s">
        <v>153</v>
      </c>
      <c r="AG687" t="s">
        <v>1314</v>
      </c>
      <c r="AH687">
        <v>10</v>
      </c>
      <c r="AI687" t="s">
        <v>153</v>
      </c>
      <c r="AJ687" s="15" t="s">
        <v>1148</v>
      </c>
      <c r="AK687" s="15">
        <v>0</v>
      </c>
      <c r="AL687" s="14" t="s">
        <v>1263</v>
      </c>
      <c r="AM687" s="14">
        <v>0</v>
      </c>
      <c r="AN687" s="15">
        <v>4</v>
      </c>
      <c r="AO687" s="15">
        <v>50</v>
      </c>
      <c r="AP687" s="15">
        <v>21</v>
      </c>
      <c r="AQ687" s="14" t="s">
        <v>1284</v>
      </c>
      <c r="AR687" s="15" t="s">
        <v>1316</v>
      </c>
    </row>
    <row r="688" spans="1:45" x14ac:dyDescent="0.2">
      <c r="A688" t="s">
        <v>1127</v>
      </c>
      <c r="B688" s="15" t="s">
        <v>1146</v>
      </c>
      <c r="C688" s="15" t="s">
        <v>1149</v>
      </c>
      <c r="D688" t="s">
        <v>1125</v>
      </c>
      <c r="E688" t="s">
        <v>1126</v>
      </c>
      <c r="F688" t="s">
        <v>1311</v>
      </c>
      <c r="G688" s="15" t="s">
        <v>1165</v>
      </c>
      <c r="H688" s="14" t="s">
        <v>1165</v>
      </c>
      <c r="I688" s="16" t="s">
        <v>1312</v>
      </c>
      <c r="M688" t="s">
        <v>1145</v>
      </c>
      <c r="O688">
        <v>2011</v>
      </c>
      <c r="R688">
        <v>30</v>
      </c>
      <c r="T688" t="s">
        <v>1313</v>
      </c>
      <c r="U688" t="s">
        <v>1246</v>
      </c>
      <c r="V688" s="9" t="s">
        <v>1313</v>
      </c>
      <c r="W688">
        <v>70</v>
      </c>
      <c r="X688" s="9" t="s">
        <v>1201</v>
      </c>
      <c r="Y688" t="s">
        <v>1315</v>
      </c>
      <c r="Z688">
        <v>24</v>
      </c>
      <c r="AF688" s="14" t="s">
        <v>153</v>
      </c>
      <c r="AG688" t="s">
        <v>1314</v>
      </c>
      <c r="AH688">
        <v>10</v>
      </c>
      <c r="AI688" t="s">
        <v>153</v>
      </c>
      <c r="AJ688" s="15" t="s">
        <v>1148</v>
      </c>
      <c r="AK688" s="15">
        <v>0</v>
      </c>
      <c r="AL688" s="14" t="s">
        <v>1263</v>
      </c>
      <c r="AM688" s="14">
        <v>0</v>
      </c>
      <c r="AN688" s="15">
        <v>4</v>
      </c>
      <c r="AO688" s="15">
        <v>50</v>
      </c>
      <c r="AP688" s="15">
        <v>21</v>
      </c>
      <c r="AQ688" s="14" t="s">
        <v>1284</v>
      </c>
      <c r="AR688" s="15" t="s">
        <v>1316</v>
      </c>
    </row>
    <row r="689" spans="1:44" x14ac:dyDescent="0.2">
      <c r="A689" t="s">
        <v>1127</v>
      </c>
      <c r="B689" s="15" t="s">
        <v>1146</v>
      </c>
      <c r="C689" s="15" t="s">
        <v>1149</v>
      </c>
      <c r="D689" t="s">
        <v>1125</v>
      </c>
      <c r="E689" t="s">
        <v>1126</v>
      </c>
      <c r="F689" t="s">
        <v>1311</v>
      </c>
      <c r="G689" s="15" t="s">
        <v>1165</v>
      </c>
      <c r="H689" s="14" t="s">
        <v>1165</v>
      </c>
      <c r="I689" s="16" t="s">
        <v>1312</v>
      </c>
      <c r="M689" t="s">
        <v>1145</v>
      </c>
      <c r="O689">
        <v>2011</v>
      </c>
      <c r="R689">
        <v>30</v>
      </c>
      <c r="T689" t="s">
        <v>1313</v>
      </c>
      <c r="U689" t="s">
        <v>1246</v>
      </c>
      <c r="V689" s="9" t="s">
        <v>1313</v>
      </c>
      <c r="W689">
        <v>70</v>
      </c>
      <c r="X689" s="9" t="s">
        <v>1293</v>
      </c>
      <c r="Y689" t="s">
        <v>1315</v>
      </c>
      <c r="Z689">
        <v>24</v>
      </c>
      <c r="AF689" s="14" t="s">
        <v>153</v>
      </c>
      <c r="AG689" t="s">
        <v>1314</v>
      </c>
      <c r="AH689">
        <v>10</v>
      </c>
      <c r="AI689" t="s">
        <v>153</v>
      </c>
      <c r="AJ689" s="15" t="s">
        <v>1148</v>
      </c>
      <c r="AK689" s="15">
        <v>0</v>
      </c>
      <c r="AL689" s="14" t="s">
        <v>1263</v>
      </c>
      <c r="AM689">
        <v>0</v>
      </c>
      <c r="AN689" s="15">
        <v>4</v>
      </c>
      <c r="AO689" s="15">
        <v>50</v>
      </c>
      <c r="AP689" s="15">
        <v>21</v>
      </c>
      <c r="AQ689" s="14" t="s">
        <v>1284</v>
      </c>
      <c r="AR689" s="15" t="s">
        <v>1316</v>
      </c>
    </row>
    <row r="690" spans="1:44" x14ac:dyDescent="0.2">
      <c r="A690" t="s">
        <v>1127</v>
      </c>
      <c r="B690" s="15" t="s">
        <v>1146</v>
      </c>
      <c r="C690" s="15" t="s">
        <v>1149</v>
      </c>
      <c r="D690" t="s">
        <v>1125</v>
      </c>
      <c r="E690" t="s">
        <v>1126</v>
      </c>
      <c r="F690" t="s">
        <v>1311</v>
      </c>
      <c r="G690" s="15" t="s">
        <v>1165</v>
      </c>
      <c r="H690" s="14" t="s">
        <v>1165</v>
      </c>
      <c r="I690" s="16" t="s">
        <v>1312</v>
      </c>
      <c r="M690" t="s">
        <v>1145</v>
      </c>
      <c r="O690">
        <v>2011</v>
      </c>
      <c r="R690">
        <v>30</v>
      </c>
      <c r="T690" t="s">
        <v>1313</v>
      </c>
      <c r="U690" t="s">
        <v>1246</v>
      </c>
      <c r="V690" s="9" t="s">
        <v>1313</v>
      </c>
      <c r="W690">
        <v>70</v>
      </c>
      <c r="X690" s="9" t="s">
        <v>1291</v>
      </c>
      <c r="Y690" t="s">
        <v>1315</v>
      </c>
      <c r="Z690">
        <v>24</v>
      </c>
      <c r="AF690" s="14" t="s">
        <v>153</v>
      </c>
      <c r="AG690" t="s">
        <v>1314</v>
      </c>
      <c r="AH690">
        <v>10</v>
      </c>
      <c r="AI690" t="s">
        <v>153</v>
      </c>
      <c r="AJ690" s="15" t="s">
        <v>1148</v>
      </c>
      <c r="AK690" s="15">
        <v>0</v>
      </c>
      <c r="AL690" s="14" t="s">
        <v>1263</v>
      </c>
      <c r="AM690" s="14">
        <v>0</v>
      </c>
      <c r="AN690" s="15">
        <v>4</v>
      </c>
      <c r="AO690" s="15">
        <v>50</v>
      </c>
      <c r="AP690" s="15">
        <v>28</v>
      </c>
      <c r="AQ690" s="14" t="s">
        <v>1284</v>
      </c>
      <c r="AR690" s="15" t="s">
        <v>1316</v>
      </c>
    </row>
    <row r="691" spans="1:44" x14ac:dyDescent="0.2">
      <c r="A691" t="s">
        <v>1127</v>
      </c>
      <c r="B691" s="15" t="s">
        <v>1146</v>
      </c>
      <c r="C691" s="15" t="s">
        <v>1149</v>
      </c>
      <c r="D691" t="s">
        <v>1125</v>
      </c>
      <c r="E691" t="s">
        <v>1126</v>
      </c>
      <c r="F691" t="s">
        <v>1311</v>
      </c>
      <c r="G691" s="15" t="s">
        <v>1165</v>
      </c>
      <c r="H691" s="14" t="s">
        <v>1165</v>
      </c>
      <c r="I691" s="16" t="s">
        <v>1312</v>
      </c>
      <c r="M691" t="s">
        <v>1145</v>
      </c>
      <c r="O691">
        <v>2011</v>
      </c>
      <c r="R691">
        <v>30</v>
      </c>
      <c r="T691" t="s">
        <v>1313</v>
      </c>
      <c r="U691" t="s">
        <v>1246</v>
      </c>
      <c r="V691" s="9" t="s">
        <v>1313</v>
      </c>
      <c r="W691">
        <v>70</v>
      </c>
      <c r="X691" s="9" t="s">
        <v>1292</v>
      </c>
      <c r="Y691" t="s">
        <v>1315</v>
      </c>
      <c r="Z691">
        <v>24</v>
      </c>
      <c r="AF691" s="14" t="s">
        <v>153</v>
      </c>
      <c r="AG691" t="s">
        <v>1314</v>
      </c>
      <c r="AH691">
        <v>10</v>
      </c>
      <c r="AI691" t="s">
        <v>153</v>
      </c>
      <c r="AJ691" s="15" t="s">
        <v>1148</v>
      </c>
      <c r="AK691" s="15">
        <v>0</v>
      </c>
      <c r="AL691" s="14" t="s">
        <v>1263</v>
      </c>
      <c r="AM691" s="14">
        <v>0</v>
      </c>
      <c r="AN691" s="15">
        <v>4</v>
      </c>
      <c r="AO691" s="15">
        <v>50</v>
      </c>
      <c r="AP691" s="15">
        <v>28</v>
      </c>
      <c r="AQ691" s="14" t="s">
        <v>1284</v>
      </c>
      <c r="AR691" s="15" t="s">
        <v>1316</v>
      </c>
    </row>
    <row r="692" spans="1:44" x14ac:dyDescent="0.2">
      <c r="A692" t="s">
        <v>1127</v>
      </c>
      <c r="B692" s="15" t="s">
        <v>1146</v>
      </c>
      <c r="C692" s="15" t="s">
        <v>1149</v>
      </c>
      <c r="D692" t="s">
        <v>1125</v>
      </c>
      <c r="E692" t="s">
        <v>1126</v>
      </c>
      <c r="F692" t="s">
        <v>1311</v>
      </c>
      <c r="G692" s="15" t="s">
        <v>1165</v>
      </c>
      <c r="H692" s="14" t="s">
        <v>1165</v>
      </c>
      <c r="I692" s="16" t="s">
        <v>1312</v>
      </c>
      <c r="M692" t="s">
        <v>1145</v>
      </c>
      <c r="O692">
        <v>2011</v>
      </c>
      <c r="R692">
        <v>30</v>
      </c>
      <c r="T692" t="s">
        <v>1313</v>
      </c>
      <c r="U692" t="s">
        <v>1246</v>
      </c>
      <c r="V692" s="9" t="s">
        <v>1313</v>
      </c>
      <c r="W692">
        <v>70</v>
      </c>
      <c r="X692" s="9" t="s">
        <v>1201</v>
      </c>
      <c r="Y692" t="s">
        <v>1315</v>
      </c>
      <c r="Z692">
        <v>24</v>
      </c>
      <c r="AF692" s="14" t="s">
        <v>153</v>
      </c>
      <c r="AG692" t="s">
        <v>1314</v>
      </c>
      <c r="AH692">
        <v>10</v>
      </c>
      <c r="AI692" t="s">
        <v>153</v>
      </c>
      <c r="AJ692" s="15" t="s">
        <v>1148</v>
      </c>
      <c r="AK692" s="15">
        <v>0</v>
      </c>
      <c r="AL692" s="14" t="s">
        <v>1263</v>
      </c>
      <c r="AM692" s="14">
        <v>0</v>
      </c>
      <c r="AN692" s="15">
        <v>4</v>
      </c>
      <c r="AO692" s="15">
        <v>50</v>
      </c>
      <c r="AP692" s="15">
        <v>28</v>
      </c>
      <c r="AQ692" s="14" t="s">
        <v>1284</v>
      </c>
      <c r="AR692" s="15" t="s">
        <v>1316</v>
      </c>
    </row>
    <row r="693" spans="1:44" x14ac:dyDescent="0.2">
      <c r="A693" t="s">
        <v>1127</v>
      </c>
      <c r="B693" s="15" t="s">
        <v>1146</v>
      </c>
      <c r="C693" s="15" t="s">
        <v>1149</v>
      </c>
      <c r="D693" t="s">
        <v>1125</v>
      </c>
      <c r="E693" t="s">
        <v>1126</v>
      </c>
      <c r="F693" t="s">
        <v>1311</v>
      </c>
      <c r="G693" s="15" t="s">
        <v>1165</v>
      </c>
      <c r="H693" s="14" t="s">
        <v>1165</v>
      </c>
      <c r="I693" s="16" t="s">
        <v>1312</v>
      </c>
      <c r="M693" t="s">
        <v>1145</v>
      </c>
      <c r="O693">
        <v>2011</v>
      </c>
      <c r="R693">
        <v>30</v>
      </c>
      <c r="T693" t="s">
        <v>1313</v>
      </c>
      <c r="U693" t="s">
        <v>1246</v>
      </c>
      <c r="V693" s="9" t="s">
        <v>1313</v>
      </c>
      <c r="W693">
        <v>70</v>
      </c>
      <c r="X693" s="9" t="s">
        <v>1293</v>
      </c>
      <c r="Y693" t="s">
        <v>1315</v>
      </c>
      <c r="Z693">
        <v>24</v>
      </c>
      <c r="AF693" s="14" t="s">
        <v>153</v>
      </c>
      <c r="AG693" t="s">
        <v>1314</v>
      </c>
      <c r="AH693">
        <v>10</v>
      </c>
      <c r="AI693" t="s">
        <v>153</v>
      </c>
      <c r="AJ693" s="15" t="s">
        <v>1148</v>
      </c>
      <c r="AK693" s="15">
        <v>0</v>
      </c>
      <c r="AL693" s="14" t="s">
        <v>1263</v>
      </c>
      <c r="AM693">
        <v>0</v>
      </c>
      <c r="AN693" s="15">
        <v>4</v>
      </c>
      <c r="AO693" s="15">
        <v>50</v>
      </c>
      <c r="AP693" s="15">
        <v>28</v>
      </c>
      <c r="AQ693" s="14" t="s">
        <v>1284</v>
      </c>
      <c r="AR693" s="15" t="s">
        <v>1316</v>
      </c>
    </row>
    <row r="694" spans="1:44" x14ac:dyDescent="0.2">
      <c r="A694" t="s">
        <v>1127</v>
      </c>
      <c r="B694" s="15" t="s">
        <v>1146</v>
      </c>
      <c r="C694" s="15" t="s">
        <v>1149</v>
      </c>
      <c r="D694" t="s">
        <v>1125</v>
      </c>
      <c r="E694" t="s">
        <v>1126</v>
      </c>
      <c r="F694" t="s">
        <v>1311</v>
      </c>
      <c r="G694" s="15" t="s">
        <v>1165</v>
      </c>
      <c r="H694" s="14" t="s">
        <v>1165</v>
      </c>
      <c r="I694" s="16" t="s">
        <v>1312</v>
      </c>
      <c r="M694" t="s">
        <v>1145</v>
      </c>
      <c r="O694">
        <v>2011</v>
      </c>
      <c r="R694">
        <v>30</v>
      </c>
      <c r="T694" t="s">
        <v>1313</v>
      </c>
      <c r="U694" t="s">
        <v>1246</v>
      </c>
      <c r="V694" s="9" t="s">
        <v>1313</v>
      </c>
      <c r="W694">
        <v>70</v>
      </c>
      <c r="X694" s="9" t="s">
        <v>1291</v>
      </c>
      <c r="Y694" t="s">
        <v>1315</v>
      </c>
      <c r="Z694">
        <v>24</v>
      </c>
      <c r="AF694" s="14" t="s">
        <v>153</v>
      </c>
      <c r="AG694" t="s">
        <v>1314</v>
      </c>
      <c r="AH694">
        <v>10</v>
      </c>
      <c r="AI694" t="s">
        <v>153</v>
      </c>
      <c r="AJ694" s="15" t="s">
        <v>1148</v>
      </c>
      <c r="AK694" s="15">
        <v>0</v>
      </c>
      <c r="AL694" s="14" t="s">
        <v>1263</v>
      </c>
      <c r="AM694" s="14">
        <v>0</v>
      </c>
      <c r="AN694" s="15">
        <v>4</v>
      </c>
      <c r="AO694" s="15">
        <v>50</v>
      </c>
      <c r="AP694" s="15">
        <v>35</v>
      </c>
      <c r="AQ694" s="14" t="s">
        <v>1284</v>
      </c>
      <c r="AR694" s="15" t="s">
        <v>1316</v>
      </c>
    </row>
    <row r="695" spans="1:44" x14ac:dyDescent="0.2">
      <c r="A695" t="s">
        <v>1127</v>
      </c>
      <c r="B695" s="15" t="s">
        <v>1146</v>
      </c>
      <c r="C695" s="15" t="s">
        <v>1149</v>
      </c>
      <c r="D695" t="s">
        <v>1125</v>
      </c>
      <c r="E695" t="s">
        <v>1126</v>
      </c>
      <c r="F695" t="s">
        <v>1311</v>
      </c>
      <c r="G695" s="15" t="s">
        <v>1165</v>
      </c>
      <c r="H695" s="14" t="s">
        <v>1165</v>
      </c>
      <c r="I695" s="16" t="s">
        <v>1312</v>
      </c>
      <c r="M695" t="s">
        <v>1145</v>
      </c>
      <c r="O695">
        <v>2011</v>
      </c>
      <c r="R695">
        <v>30</v>
      </c>
      <c r="T695" t="s">
        <v>1313</v>
      </c>
      <c r="U695" t="s">
        <v>1246</v>
      </c>
      <c r="V695" s="9" t="s">
        <v>1313</v>
      </c>
      <c r="W695">
        <v>70</v>
      </c>
      <c r="X695" s="9" t="s">
        <v>1292</v>
      </c>
      <c r="Y695" t="s">
        <v>1315</v>
      </c>
      <c r="Z695">
        <v>24</v>
      </c>
      <c r="AF695" s="14" t="s">
        <v>153</v>
      </c>
      <c r="AG695" t="s">
        <v>1314</v>
      </c>
      <c r="AH695">
        <v>10</v>
      </c>
      <c r="AI695" t="s">
        <v>153</v>
      </c>
      <c r="AJ695" s="15" t="s">
        <v>1148</v>
      </c>
      <c r="AK695" s="15">
        <v>0</v>
      </c>
      <c r="AL695" s="14" t="s">
        <v>1263</v>
      </c>
      <c r="AM695" s="14">
        <v>0</v>
      </c>
      <c r="AN695" s="15">
        <v>4</v>
      </c>
      <c r="AO695" s="15">
        <v>50</v>
      </c>
      <c r="AP695" s="15">
        <v>35</v>
      </c>
      <c r="AQ695" s="14" t="s">
        <v>1284</v>
      </c>
      <c r="AR695" s="15" t="s">
        <v>1316</v>
      </c>
    </row>
    <row r="696" spans="1:44" x14ac:dyDescent="0.2">
      <c r="A696" t="s">
        <v>1127</v>
      </c>
      <c r="B696" s="15" t="s">
        <v>1146</v>
      </c>
      <c r="C696" s="15" t="s">
        <v>1149</v>
      </c>
      <c r="D696" t="s">
        <v>1125</v>
      </c>
      <c r="E696" t="s">
        <v>1126</v>
      </c>
      <c r="F696" t="s">
        <v>1311</v>
      </c>
      <c r="G696" s="15" t="s">
        <v>1165</v>
      </c>
      <c r="H696" s="14" t="s">
        <v>1165</v>
      </c>
      <c r="I696" s="16" t="s">
        <v>1312</v>
      </c>
      <c r="M696" t="s">
        <v>1145</v>
      </c>
      <c r="O696">
        <v>2011</v>
      </c>
      <c r="R696">
        <v>30</v>
      </c>
      <c r="T696" t="s">
        <v>1313</v>
      </c>
      <c r="U696" t="s">
        <v>1246</v>
      </c>
      <c r="V696" s="9" t="s">
        <v>1313</v>
      </c>
      <c r="W696">
        <v>70</v>
      </c>
      <c r="X696" s="9" t="s">
        <v>1201</v>
      </c>
      <c r="Y696" t="s">
        <v>1315</v>
      </c>
      <c r="Z696">
        <v>24</v>
      </c>
      <c r="AF696" s="14" t="s">
        <v>153</v>
      </c>
      <c r="AG696" t="s">
        <v>1314</v>
      </c>
      <c r="AH696">
        <v>10</v>
      </c>
      <c r="AI696" t="s">
        <v>153</v>
      </c>
      <c r="AJ696" s="15" t="s">
        <v>1148</v>
      </c>
      <c r="AK696" s="15">
        <v>0</v>
      </c>
      <c r="AL696" s="14" t="s">
        <v>1263</v>
      </c>
      <c r="AM696" s="14">
        <v>0</v>
      </c>
      <c r="AN696" s="15">
        <v>4</v>
      </c>
      <c r="AO696" s="15">
        <v>50</v>
      </c>
      <c r="AP696" s="15">
        <v>35</v>
      </c>
      <c r="AQ696" s="14" t="s">
        <v>1284</v>
      </c>
      <c r="AR696" s="15" t="s">
        <v>1316</v>
      </c>
    </row>
    <row r="697" spans="1:44" x14ac:dyDescent="0.2">
      <c r="A697" t="s">
        <v>1127</v>
      </c>
      <c r="B697" s="15" t="s">
        <v>1146</v>
      </c>
      <c r="C697" s="15" t="s">
        <v>1149</v>
      </c>
      <c r="D697" t="s">
        <v>1125</v>
      </c>
      <c r="E697" t="s">
        <v>1126</v>
      </c>
      <c r="F697" t="s">
        <v>1311</v>
      </c>
      <c r="G697" s="15" t="s">
        <v>1165</v>
      </c>
      <c r="H697" s="14" t="s">
        <v>1165</v>
      </c>
      <c r="I697" s="16" t="s">
        <v>1312</v>
      </c>
      <c r="M697" t="s">
        <v>1145</v>
      </c>
      <c r="O697">
        <v>2011</v>
      </c>
      <c r="R697">
        <v>30</v>
      </c>
      <c r="T697" t="s">
        <v>1313</v>
      </c>
      <c r="U697" t="s">
        <v>1246</v>
      </c>
      <c r="V697" s="9" t="s">
        <v>1313</v>
      </c>
      <c r="W697">
        <v>70</v>
      </c>
      <c r="X697" s="9" t="s">
        <v>1293</v>
      </c>
      <c r="Y697" t="s">
        <v>1315</v>
      </c>
      <c r="Z697">
        <v>24</v>
      </c>
      <c r="AF697" s="14" t="s">
        <v>153</v>
      </c>
      <c r="AG697" t="s">
        <v>1314</v>
      </c>
      <c r="AH697">
        <v>10</v>
      </c>
      <c r="AI697" t="s">
        <v>153</v>
      </c>
      <c r="AJ697" s="15" t="s">
        <v>1148</v>
      </c>
      <c r="AK697" s="15">
        <v>0</v>
      </c>
      <c r="AL697" s="14" t="s">
        <v>1263</v>
      </c>
      <c r="AM697">
        <v>0</v>
      </c>
      <c r="AN697" s="15">
        <v>4</v>
      </c>
      <c r="AO697" s="15">
        <v>50</v>
      </c>
      <c r="AP697" s="15">
        <v>35</v>
      </c>
      <c r="AQ697" s="14" t="s">
        <v>1284</v>
      </c>
      <c r="AR697" s="15" t="s">
        <v>1316</v>
      </c>
    </row>
    <row r="698" spans="1:44" x14ac:dyDescent="0.2">
      <c r="A698" t="s">
        <v>1127</v>
      </c>
      <c r="B698" s="15" t="s">
        <v>1146</v>
      </c>
      <c r="C698" s="15" t="s">
        <v>1149</v>
      </c>
      <c r="D698" t="s">
        <v>1125</v>
      </c>
      <c r="E698" t="s">
        <v>1126</v>
      </c>
      <c r="F698" t="s">
        <v>1311</v>
      </c>
      <c r="G698" s="15" t="s">
        <v>1165</v>
      </c>
      <c r="H698" s="14" t="s">
        <v>1165</v>
      </c>
      <c r="I698" s="16" t="s">
        <v>1312</v>
      </c>
      <c r="M698" t="s">
        <v>1145</v>
      </c>
      <c r="O698">
        <v>2011</v>
      </c>
      <c r="R698">
        <v>30</v>
      </c>
      <c r="T698" t="s">
        <v>1313</v>
      </c>
      <c r="U698" t="s">
        <v>1246</v>
      </c>
      <c r="V698" s="9" t="s">
        <v>1313</v>
      </c>
      <c r="W698">
        <v>70</v>
      </c>
      <c r="X698" s="9" t="s">
        <v>1291</v>
      </c>
      <c r="Y698" t="s">
        <v>1315</v>
      </c>
      <c r="Z698">
        <v>24</v>
      </c>
      <c r="AF698" s="14" t="s">
        <v>153</v>
      </c>
      <c r="AG698" t="s">
        <v>1314</v>
      </c>
      <c r="AH698">
        <v>10</v>
      </c>
      <c r="AI698" t="s">
        <v>153</v>
      </c>
      <c r="AJ698" s="15" t="s">
        <v>1148</v>
      </c>
      <c r="AK698" s="15">
        <v>0</v>
      </c>
      <c r="AL698" s="14" t="s">
        <v>1263</v>
      </c>
      <c r="AM698" s="14">
        <v>0</v>
      </c>
      <c r="AN698" s="15">
        <v>4</v>
      </c>
      <c r="AO698" s="15">
        <v>50</v>
      </c>
      <c r="AP698" s="15">
        <v>42</v>
      </c>
      <c r="AQ698" s="14" t="s">
        <v>1284</v>
      </c>
      <c r="AR698" s="15" t="s">
        <v>1316</v>
      </c>
    </row>
    <row r="699" spans="1:44" x14ac:dyDescent="0.2">
      <c r="A699" t="s">
        <v>1127</v>
      </c>
      <c r="B699" s="15" t="s">
        <v>1146</v>
      </c>
      <c r="C699" s="15" t="s">
        <v>1149</v>
      </c>
      <c r="D699" t="s">
        <v>1125</v>
      </c>
      <c r="E699" t="s">
        <v>1126</v>
      </c>
      <c r="F699" t="s">
        <v>1311</v>
      </c>
      <c r="G699" s="15" t="s">
        <v>1165</v>
      </c>
      <c r="H699" s="14" t="s">
        <v>1165</v>
      </c>
      <c r="I699" s="16" t="s">
        <v>1312</v>
      </c>
      <c r="M699" t="s">
        <v>1145</v>
      </c>
      <c r="O699">
        <v>2011</v>
      </c>
      <c r="R699">
        <v>30</v>
      </c>
      <c r="T699" t="s">
        <v>1313</v>
      </c>
      <c r="U699" t="s">
        <v>1246</v>
      </c>
      <c r="V699" s="9" t="s">
        <v>1313</v>
      </c>
      <c r="W699">
        <v>70</v>
      </c>
      <c r="X699" s="9" t="s">
        <v>1292</v>
      </c>
      <c r="Y699" t="s">
        <v>1315</v>
      </c>
      <c r="Z699">
        <v>24</v>
      </c>
      <c r="AF699" s="14" t="s">
        <v>153</v>
      </c>
      <c r="AG699" t="s">
        <v>1314</v>
      </c>
      <c r="AH699">
        <v>10</v>
      </c>
      <c r="AI699" t="s">
        <v>153</v>
      </c>
      <c r="AJ699" s="15" t="s">
        <v>1148</v>
      </c>
      <c r="AK699" s="15">
        <v>0</v>
      </c>
      <c r="AL699" s="14" t="s">
        <v>1263</v>
      </c>
      <c r="AM699" s="14">
        <v>0</v>
      </c>
      <c r="AN699" s="15">
        <v>4</v>
      </c>
      <c r="AO699" s="15">
        <v>50</v>
      </c>
      <c r="AP699" s="15">
        <v>42</v>
      </c>
      <c r="AQ699" s="14" t="s">
        <v>1284</v>
      </c>
      <c r="AR699" s="15" t="s">
        <v>1316</v>
      </c>
    </row>
    <row r="700" spans="1:44" x14ac:dyDescent="0.2">
      <c r="A700" t="s">
        <v>1127</v>
      </c>
      <c r="B700" s="15" t="s">
        <v>1146</v>
      </c>
      <c r="C700" s="15" t="s">
        <v>1149</v>
      </c>
      <c r="D700" t="s">
        <v>1125</v>
      </c>
      <c r="E700" t="s">
        <v>1126</v>
      </c>
      <c r="F700" t="s">
        <v>1311</v>
      </c>
      <c r="G700" s="15" t="s">
        <v>1165</v>
      </c>
      <c r="H700" s="14" t="s">
        <v>1165</v>
      </c>
      <c r="I700" s="16" t="s">
        <v>1312</v>
      </c>
      <c r="M700" t="s">
        <v>1145</v>
      </c>
      <c r="O700">
        <v>2011</v>
      </c>
      <c r="R700">
        <v>30</v>
      </c>
      <c r="T700" t="s">
        <v>1313</v>
      </c>
      <c r="U700" t="s">
        <v>1246</v>
      </c>
      <c r="V700" s="9" t="s">
        <v>1313</v>
      </c>
      <c r="W700">
        <v>70</v>
      </c>
      <c r="X700" s="9" t="s">
        <v>1201</v>
      </c>
      <c r="Y700" t="s">
        <v>1315</v>
      </c>
      <c r="Z700">
        <v>24</v>
      </c>
      <c r="AF700" s="14" t="s">
        <v>153</v>
      </c>
      <c r="AG700" t="s">
        <v>1314</v>
      </c>
      <c r="AH700">
        <v>10</v>
      </c>
      <c r="AI700" t="s">
        <v>153</v>
      </c>
      <c r="AJ700" s="15" t="s">
        <v>1148</v>
      </c>
      <c r="AK700" s="15">
        <v>0</v>
      </c>
      <c r="AL700" s="14" t="s">
        <v>1263</v>
      </c>
      <c r="AM700" s="14">
        <v>0</v>
      </c>
      <c r="AN700" s="15">
        <v>4</v>
      </c>
      <c r="AO700" s="15">
        <v>50</v>
      </c>
      <c r="AP700" s="15">
        <v>42</v>
      </c>
      <c r="AQ700" s="14" t="s">
        <v>1284</v>
      </c>
      <c r="AR700" s="15" t="s">
        <v>1316</v>
      </c>
    </row>
    <row r="701" spans="1:44" x14ac:dyDescent="0.2">
      <c r="A701" t="s">
        <v>1127</v>
      </c>
      <c r="B701" s="15" t="s">
        <v>1146</v>
      </c>
      <c r="C701" s="15" t="s">
        <v>1149</v>
      </c>
      <c r="D701" t="s">
        <v>1125</v>
      </c>
      <c r="E701" t="s">
        <v>1126</v>
      </c>
      <c r="F701" t="s">
        <v>1311</v>
      </c>
      <c r="G701" s="15" t="s">
        <v>1165</v>
      </c>
      <c r="H701" s="14" t="s">
        <v>1165</v>
      </c>
      <c r="I701" s="16" t="s">
        <v>1312</v>
      </c>
      <c r="M701" t="s">
        <v>1145</v>
      </c>
      <c r="O701">
        <v>2011</v>
      </c>
      <c r="R701">
        <v>30</v>
      </c>
      <c r="T701" t="s">
        <v>1313</v>
      </c>
      <c r="U701" t="s">
        <v>1246</v>
      </c>
      <c r="V701" s="9" t="s">
        <v>1313</v>
      </c>
      <c r="W701">
        <v>70</v>
      </c>
      <c r="X701" s="9" t="s">
        <v>1293</v>
      </c>
      <c r="Y701" t="s">
        <v>1315</v>
      </c>
      <c r="Z701">
        <v>24</v>
      </c>
      <c r="AF701" s="14" t="s">
        <v>153</v>
      </c>
      <c r="AG701" t="s">
        <v>1314</v>
      </c>
      <c r="AH701">
        <v>10</v>
      </c>
      <c r="AI701" t="s">
        <v>153</v>
      </c>
      <c r="AJ701" s="15" t="s">
        <v>1148</v>
      </c>
      <c r="AK701" s="15">
        <v>0</v>
      </c>
      <c r="AL701" s="14" t="s">
        <v>1263</v>
      </c>
      <c r="AM701">
        <v>0</v>
      </c>
      <c r="AN701" s="15">
        <v>4</v>
      </c>
      <c r="AO701" s="15">
        <v>50</v>
      </c>
      <c r="AP701" s="15">
        <v>42</v>
      </c>
      <c r="AQ701" s="14" t="s">
        <v>1284</v>
      </c>
      <c r="AR701" s="15" t="s">
        <v>1316</v>
      </c>
    </row>
    <row r="702" spans="1:44" x14ac:dyDescent="0.2">
      <c r="A702" t="s">
        <v>1127</v>
      </c>
      <c r="B702" s="15" t="s">
        <v>1146</v>
      </c>
      <c r="C702" s="15" t="s">
        <v>1149</v>
      </c>
      <c r="D702" t="s">
        <v>1125</v>
      </c>
      <c r="E702" t="s">
        <v>1126</v>
      </c>
      <c r="F702" t="s">
        <v>1311</v>
      </c>
      <c r="G702" s="15" t="s">
        <v>1165</v>
      </c>
      <c r="H702" s="14" t="s">
        <v>1165</v>
      </c>
      <c r="I702" s="16" t="s">
        <v>1312</v>
      </c>
      <c r="M702" t="s">
        <v>1145</v>
      </c>
      <c r="O702">
        <v>2011</v>
      </c>
      <c r="R702">
        <v>30</v>
      </c>
      <c r="T702" t="s">
        <v>1313</v>
      </c>
      <c r="U702" t="s">
        <v>1246</v>
      </c>
      <c r="V702" s="9" t="s">
        <v>1313</v>
      </c>
      <c r="W702">
        <v>70</v>
      </c>
      <c r="X702" s="9" t="s">
        <v>1291</v>
      </c>
      <c r="Y702" t="s">
        <v>1315</v>
      </c>
      <c r="Z702">
        <v>24</v>
      </c>
      <c r="AF702" s="14" t="s">
        <v>153</v>
      </c>
      <c r="AG702" t="s">
        <v>1314</v>
      </c>
      <c r="AH702">
        <v>10</v>
      </c>
      <c r="AI702" t="s">
        <v>153</v>
      </c>
      <c r="AJ702" s="15" t="s">
        <v>1148</v>
      </c>
      <c r="AK702" s="15">
        <v>0</v>
      </c>
      <c r="AL702" s="14" t="s">
        <v>1263</v>
      </c>
      <c r="AM702" s="14">
        <v>0</v>
      </c>
      <c r="AN702" s="15">
        <v>4</v>
      </c>
      <c r="AO702" s="15">
        <v>50</v>
      </c>
      <c r="AP702" s="15">
        <v>49</v>
      </c>
      <c r="AQ702" s="14" t="s">
        <v>1284</v>
      </c>
      <c r="AR702" s="15" t="s">
        <v>1316</v>
      </c>
    </row>
    <row r="703" spans="1:44" x14ac:dyDescent="0.2">
      <c r="A703" t="s">
        <v>1127</v>
      </c>
      <c r="B703" s="15" t="s">
        <v>1146</v>
      </c>
      <c r="C703" s="15" t="s">
        <v>1149</v>
      </c>
      <c r="D703" t="s">
        <v>1125</v>
      </c>
      <c r="E703" t="s">
        <v>1126</v>
      </c>
      <c r="F703" t="s">
        <v>1311</v>
      </c>
      <c r="G703" s="15" t="s">
        <v>1165</v>
      </c>
      <c r="H703" s="14" t="s">
        <v>1165</v>
      </c>
      <c r="I703" s="16" t="s">
        <v>1312</v>
      </c>
      <c r="M703" t="s">
        <v>1145</v>
      </c>
      <c r="O703">
        <v>2011</v>
      </c>
      <c r="R703">
        <v>30</v>
      </c>
      <c r="T703" t="s">
        <v>1313</v>
      </c>
      <c r="U703" t="s">
        <v>1246</v>
      </c>
      <c r="V703" s="9" t="s">
        <v>1313</v>
      </c>
      <c r="W703">
        <v>70</v>
      </c>
      <c r="X703" s="9" t="s">
        <v>1292</v>
      </c>
      <c r="Y703" t="s">
        <v>1315</v>
      </c>
      <c r="Z703">
        <v>24</v>
      </c>
      <c r="AF703" s="14" t="s">
        <v>153</v>
      </c>
      <c r="AG703" t="s">
        <v>1314</v>
      </c>
      <c r="AH703">
        <v>10</v>
      </c>
      <c r="AI703" t="s">
        <v>153</v>
      </c>
      <c r="AJ703" s="15" t="s">
        <v>1148</v>
      </c>
      <c r="AK703" s="15">
        <v>0</v>
      </c>
      <c r="AL703" s="14" t="s">
        <v>1263</v>
      </c>
      <c r="AM703" s="14">
        <v>0</v>
      </c>
      <c r="AN703" s="15">
        <v>4</v>
      </c>
      <c r="AO703" s="15">
        <v>50</v>
      </c>
      <c r="AP703" s="15">
        <v>49</v>
      </c>
      <c r="AQ703" s="14" t="s">
        <v>1284</v>
      </c>
      <c r="AR703" s="15" t="s">
        <v>1316</v>
      </c>
    </row>
    <row r="704" spans="1:44" x14ac:dyDescent="0.2">
      <c r="A704" t="s">
        <v>1127</v>
      </c>
      <c r="B704" s="15" t="s">
        <v>1146</v>
      </c>
      <c r="C704" s="15" t="s">
        <v>1149</v>
      </c>
      <c r="D704" t="s">
        <v>1125</v>
      </c>
      <c r="E704" t="s">
        <v>1126</v>
      </c>
      <c r="F704" t="s">
        <v>1311</v>
      </c>
      <c r="G704" s="15" t="s">
        <v>1165</v>
      </c>
      <c r="H704" s="14" t="s">
        <v>1165</v>
      </c>
      <c r="I704" s="16" t="s">
        <v>1312</v>
      </c>
      <c r="M704" t="s">
        <v>1145</v>
      </c>
      <c r="O704">
        <v>2011</v>
      </c>
      <c r="R704">
        <v>30</v>
      </c>
      <c r="T704" t="s">
        <v>1313</v>
      </c>
      <c r="U704" t="s">
        <v>1246</v>
      </c>
      <c r="V704" s="9" t="s">
        <v>1313</v>
      </c>
      <c r="W704">
        <v>70</v>
      </c>
      <c r="X704" s="9" t="s">
        <v>1201</v>
      </c>
      <c r="Y704" t="s">
        <v>1315</v>
      </c>
      <c r="Z704">
        <v>24</v>
      </c>
      <c r="AF704" s="14" t="s">
        <v>153</v>
      </c>
      <c r="AG704" t="s">
        <v>1314</v>
      </c>
      <c r="AH704">
        <v>10</v>
      </c>
      <c r="AI704" t="s">
        <v>153</v>
      </c>
      <c r="AJ704" s="15" t="s">
        <v>1148</v>
      </c>
      <c r="AK704" s="15">
        <v>0</v>
      </c>
      <c r="AL704" s="14" t="s">
        <v>1263</v>
      </c>
      <c r="AM704" s="14">
        <v>0</v>
      </c>
      <c r="AN704" s="15">
        <v>4</v>
      </c>
      <c r="AO704" s="15">
        <v>50</v>
      </c>
      <c r="AP704" s="15">
        <v>49</v>
      </c>
      <c r="AQ704" s="14" t="s">
        <v>1284</v>
      </c>
      <c r="AR704" s="15" t="s">
        <v>1316</v>
      </c>
    </row>
    <row r="705" spans="1:44" x14ac:dyDescent="0.2">
      <c r="A705" t="s">
        <v>1127</v>
      </c>
      <c r="B705" s="15" t="s">
        <v>1146</v>
      </c>
      <c r="C705" s="15" t="s">
        <v>1149</v>
      </c>
      <c r="D705" t="s">
        <v>1125</v>
      </c>
      <c r="E705" t="s">
        <v>1126</v>
      </c>
      <c r="F705" t="s">
        <v>1311</v>
      </c>
      <c r="G705" s="15" t="s">
        <v>1165</v>
      </c>
      <c r="H705" s="14" t="s">
        <v>1165</v>
      </c>
      <c r="I705" s="16" t="s">
        <v>1312</v>
      </c>
      <c r="M705" t="s">
        <v>1145</v>
      </c>
      <c r="O705">
        <v>2011</v>
      </c>
      <c r="R705">
        <v>30</v>
      </c>
      <c r="T705" t="s">
        <v>1313</v>
      </c>
      <c r="U705" t="s">
        <v>1246</v>
      </c>
      <c r="V705" s="9" t="s">
        <v>1313</v>
      </c>
      <c r="W705">
        <v>70</v>
      </c>
      <c r="X705" s="9" t="s">
        <v>1293</v>
      </c>
      <c r="Y705" t="s">
        <v>1315</v>
      </c>
      <c r="Z705">
        <v>24</v>
      </c>
      <c r="AF705" s="14" t="s">
        <v>153</v>
      </c>
      <c r="AG705" t="s">
        <v>1314</v>
      </c>
      <c r="AH705">
        <v>10</v>
      </c>
      <c r="AI705" t="s">
        <v>153</v>
      </c>
      <c r="AJ705" s="15" t="s">
        <v>1148</v>
      </c>
      <c r="AK705" s="15">
        <v>0</v>
      </c>
      <c r="AL705" s="14" t="s">
        <v>1263</v>
      </c>
      <c r="AM705">
        <v>0</v>
      </c>
      <c r="AN705" s="15">
        <v>4</v>
      </c>
      <c r="AO705" s="15">
        <v>50</v>
      </c>
      <c r="AP705" s="15">
        <v>49</v>
      </c>
      <c r="AQ705" s="14" t="s">
        <v>1284</v>
      </c>
      <c r="AR705" s="15" t="s">
        <v>1316</v>
      </c>
    </row>
    <row r="706" spans="1:44" x14ac:dyDescent="0.2">
      <c r="A706" t="s">
        <v>1127</v>
      </c>
      <c r="B706" s="15" t="s">
        <v>1146</v>
      </c>
      <c r="C706" s="15" t="s">
        <v>1149</v>
      </c>
      <c r="D706" t="s">
        <v>1125</v>
      </c>
      <c r="E706" t="s">
        <v>1126</v>
      </c>
      <c r="F706" t="s">
        <v>1311</v>
      </c>
      <c r="G706" s="15" t="s">
        <v>1165</v>
      </c>
      <c r="H706" s="14" t="s">
        <v>1165</v>
      </c>
      <c r="I706" s="16" t="s">
        <v>1312</v>
      </c>
      <c r="M706" t="s">
        <v>1145</v>
      </c>
      <c r="O706">
        <v>2011</v>
      </c>
      <c r="R706">
        <v>30</v>
      </c>
      <c r="T706" t="s">
        <v>1313</v>
      </c>
      <c r="U706" t="s">
        <v>1246</v>
      </c>
      <c r="V706" s="9" t="s">
        <v>1313</v>
      </c>
      <c r="W706">
        <v>70</v>
      </c>
      <c r="X706" s="9" t="s">
        <v>1291</v>
      </c>
      <c r="Y706" t="s">
        <v>1315</v>
      </c>
      <c r="Z706">
        <v>24</v>
      </c>
      <c r="AF706" s="14" t="s">
        <v>153</v>
      </c>
      <c r="AG706" t="s">
        <v>1314</v>
      </c>
      <c r="AH706">
        <v>10</v>
      </c>
      <c r="AI706" t="s">
        <v>153</v>
      </c>
      <c r="AJ706" s="15" t="s">
        <v>1148</v>
      </c>
      <c r="AK706" s="15">
        <v>0</v>
      </c>
      <c r="AL706" s="14" t="s">
        <v>1263</v>
      </c>
      <c r="AM706" s="14">
        <v>0</v>
      </c>
      <c r="AN706" s="15">
        <v>4</v>
      </c>
      <c r="AO706" s="15">
        <v>50</v>
      </c>
      <c r="AP706" s="15">
        <v>56</v>
      </c>
      <c r="AQ706" s="14" t="s">
        <v>1284</v>
      </c>
      <c r="AR706" s="15" t="s">
        <v>1316</v>
      </c>
    </row>
    <row r="707" spans="1:44" x14ac:dyDescent="0.2">
      <c r="A707" t="s">
        <v>1127</v>
      </c>
      <c r="B707" s="15" t="s">
        <v>1146</v>
      </c>
      <c r="C707" s="15" t="s">
        <v>1149</v>
      </c>
      <c r="D707" t="s">
        <v>1125</v>
      </c>
      <c r="E707" t="s">
        <v>1126</v>
      </c>
      <c r="F707" t="s">
        <v>1311</v>
      </c>
      <c r="G707" s="15" t="s">
        <v>1165</v>
      </c>
      <c r="H707" s="14" t="s">
        <v>1165</v>
      </c>
      <c r="I707" s="16" t="s">
        <v>1312</v>
      </c>
      <c r="M707" t="s">
        <v>1145</v>
      </c>
      <c r="O707">
        <v>2011</v>
      </c>
      <c r="R707">
        <v>30</v>
      </c>
      <c r="T707" t="s">
        <v>1313</v>
      </c>
      <c r="U707" t="s">
        <v>1246</v>
      </c>
      <c r="V707" s="9" t="s">
        <v>1313</v>
      </c>
      <c r="W707">
        <v>70</v>
      </c>
      <c r="X707" s="9" t="s">
        <v>1292</v>
      </c>
      <c r="Y707" t="s">
        <v>1315</v>
      </c>
      <c r="Z707">
        <v>24</v>
      </c>
      <c r="AF707" s="14" t="s">
        <v>153</v>
      </c>
      <c r="AG707" t="s">
        <v>1314</v>
      </c>
      <c r="AH707">
        <v>10</v>
      </c>
      <c r="AI707" t="s">
        <v>153</v>
      </c>
      <c r="AJ707" s="15" t="s">
        <v>1148</v>
      </c>
      <c r="AK707" s="15">
        <v>0</v>
      </c>
      <c r="AL707" s="14" t="s">
        <v>1263</v>
      </c>
      <c r="AM707" s="14">
        <v>0</v>
      </c>
      <c r="AN707" s="15">
        <v>4</v>
      </c>
      <c r="AO707" s="15">
        <v>50</v>
      </c>
      <c r="AP707" s="15">
        <v>56</v>
      </c>
      <c r="AQ707" s="14" t="s">
        <v>1284</v>
      </c>
      <c r="AR707" s="15" t="s">
        <v>1316</v>
      </c>
    </row>
    <row r="708" spans="1:44" x14ac:dyDescent="0.2">
      <c r="A708" t="s">
        <v>1127</v>
      </c>
      <c r="B708" s="15" t="s">
        <v>1146</v>
      </c>
      <c r="C708" s="15" t="s">
        <v>1149</v>
      </c>
      <c r="D708" t="s">
        <v>1125</v>
      </c>
      <c r="E708" t="s">
        <v>1126</v>
      </c>
      <c r="F708" t="s">
        <v>1311</v>
      </c>
      <c r="G708" s="15" t="s">
        <v>1165</v>
      </c>
      <c r="H708" s="14" t="s">
        <v>1165</v>
      </c>
      <c r="I708" s="16" t="s">
        <v>1312</v>
      </c>
      <c r="M708" t="s">
        <v>1145</v>
      </c>
      <c r="O708">
        <v>2011</v>
      </c>
      <c r="R708">
        <v>30</v>
      </c>
      <c r="T708" t="s">
        <v>1313</v>
      </c>
      <c r="U708" t="s">
        <v>1246</v>
      </c>
      <c r="V708" s="9" t="s">
        <v>1313</v>
      </c>
      <c r="W708">
        <v>70</v>
      </c>
      <c r="X708" s="9" t="s">
        <v>1201</v>
      </c>
      <c r="Y708" t="s">
        <v>1315</v>
      </c>
      <c r="Z708">
        <v>24</v>
      </c>
      <c r="AF708" s="14" t="s">
        <v>153</v>
      </c>
      <c r="AG708" t="s">
        <v>1314</v>
      </c>
      <c r="AH708">
        <v>10</v>
      </c>
      <c r="AI708" t="s">
        <v>153</v>
      </c>
      <c r="AJ708" s="15" t="s">
        <v>1148</v>
      </c>
      <c r="AK708" s="15">
        <v>0</v>
      </c>
      <c r="AL708" s="14" t="s">
        <v>1263</v>
      </c>
      <c r="AM708" s="14">
        <v>0</v>
      </c>
      <c r="AN708" s="15">
        <v>4</v>
      </c>
      <c r="AO708" s="15">
        <v>50</v>
      </c>
      <c r="AP708" s="15">
        <v>56</v>
      </c>
      <c r="AQ708" s="14" t="s">
        <v>1284</v>
      </c>
      <c r="AR708" s="15" t="s">
        <v>1316</v>
      </c>
    </row>
    <row r="709" spans="1:44" x14ac:dyDescent="0.2">
      <c r="A709" t="s">
        <v>1127</v>
      </c>
      <c r="B709" s="15" t="s">
        <v>1146</v>
      </c>
      <c r="C709" s="15" t="s">
        <v>1149</v>
      </c>
      <c r="D709" t="s">
        <v>1125</v>
      </c>
      <c r="E709" t="s">
        <v>1126</v>
      </c>
      <c r="F709" t="s">
        <v>1311</v>
      </c>
      <c r="G709" s="15" t="s">
        <v>1165</v>
      </c>
      <c r="H709" s="14" t="s">
        <v>1165</v>
      </c>
      <c r="I709" s="16" t="s">
        <v>1312</v>
      </c>
      <c r="M709" t="s">
        <v>1145</v>
      </c>
      <c r="O709">
        <v>2011</v>
      </c>
      <c r="R709">
        <v>30</v>
      </c>
      <c r="T709" t="s">
        <v>1313</v>
      </c>
      <c r="U709" t="s">
        <v>1246</v>
      </c>
      <c r="V709" s="9" t="s">
        <v>1313</v>
      </c>
      <c r="W709">
        <v>70</v>
      </c>
      <c r="X709" s="9" t="s">
        <v>1293</v>
      </c>
      <c r="Y709" t="s">
        <v>1315</v>
      </c>
      <c r="Z709">
        <v>24</v>
      </c>
      <c r="AF709" s="14" t="s">
        <v>153</v>
      </c>
      <c r="AG709" t="s">
        <v>1314</v>
      </c>
      <c r="AH709">
        <v>10</v>
      </c>
      <c r="AI709" t="s">
        <v>153</v>
      </c>
      <c r="AJ709" s="15" t="s">
        <v>1148</v>
      </c>
      <c r="AK709" s="15">
        <v>0</v>
      </c>
      <c r="AL709" s="14" t="s">
        <v>1263</v>
      </c>
      <c r="AM709">
        <v>0</v>
      </c>
      <c r="AN709" s="15">
        <v>4</v>
      </c>
      <c r="AO709" s="15">
        <v>50</v>
      </c>
      <c r="AP709" s="15">
        <v>56</v>
      </c>
      <c r="AQ709" s="14" t="s">
        <v>1284</v>
      </c>
      <c r="AR709" s="15" t="s">
        <v>1316</v>
      </c>
    </row>
    <row r="710" spans="1:44" x14ac:dyDescent="0.2">
      <c r="A710" t="s">
        <v>1127</v>
      </c>
      <c r="B710" s="15" t="s">
        <v>1146</v>
      </c>
      <c r="C710" s="15" t="s">
        <v>1149</v>
      </c>
      <c r="D710" t="s">
        <v>1125</v>
      </c>
      <c r="E710" t="s">
        <v>1126</v>
      </c>
      <c r="F710" t="s">
        <v>1311</v>
      </c>
      <c r="G710" s="15" t="s">
        <v>1165</v>
      </c>
      <c r="H710" s="14" t="s">
        <v>1165</v>
      </c>
      <c r="I710" s="16" t="s">
        <v>1312</v>
      </c>
      <c r="M710" t="s">
        <v>1145</v>
      </c>
      <c r="O710">
        <v>2011</v>
      </c>
      <c r="R710">
        <v>30</v>
      </c>
      <c r="T710" t="s">
        <v>1313</v>
      </c>
      <c r="U710" t="s">
        <v>1246</v>
      </c>
      <c r="V710" s="9" t="s">
        <v>1313</v>
      </c>
      <c r="W710">
        <v>70</v>
      </c>
      <c r="X710" s="9" t="s">
        <v>1291</v>
      </c>
      <c r="Y710" t="s">
        <v>1315</v>
      </c>
      <c r="Z710">
        <v>24</v>
      </c>
      <c r="AF710" s="14" t="s">
        <v>153</v>
      </c>
      <c r="AG710" t="s">
        <v>1314</v>
      </c>
      <c r="AH710">
        <v>10</v>
      </c>
      <c r="AI710" t="s">
        <v>153</v>
      </c>
      <c r="AJ710" s="15" t="s">
        <v>1148</v>
      </c>
      <c r="AK710" s="15">
        <v>0</v>
      </c>
      <c r="AL710" s="14" t="s">
        <v>1263</v>
      </c>
      <c r="AM710" s="14">
        <v>0</v>
      </c>
      <c r="AN710" s="15">
        <v>4</v>
      </c>
      <c r="AO710" s="15">
        <v>50</v>
      </c>
      <c r="AP710" s="15">
        <v>63</v>
      </c>
      <c r="AQ710" s="14" t="s">
        <v>1284</v>
      </c>
      <c r="AR710" s="15" t="s">
        <v>1316</v>
      </c>
    </row>
    <row r="711" spans="1:44" x14ac:dyDescent="0.2">
      <c r="A711" t="s">
        <v>1127</v>
      </c>
      <c r="B711" s="15" t="s">
        <v>1146</v>
      </c>
      <c r="C711" s="15" t="s">
        <v>1149</v>
      </c>
      <c r="D711" t="s">
        <v>1125</v>
      </c>
      <c r="E711" t="s">
        <v>1126</v>
      </c>
      <c r="F711" t="s">
        <v>1311</v>
      </c>
      <c r="G711" s="15" t="s">
        <v>1165</v>
      </c>
      <c r="H711" s="14" t="s">
        <v>1165</v>
      </c>
      <c r="I711" s="16" t="s">
        <v>1312</v>
      </c>
      <c r="M711" t="s">
        <v>1145</v>
      </c>
      <c r="O711">
        <v>2011</v>
      </c>
      <c r="R711">
        <v>30</v>
      </c>
      <c r="T711" t="s">
        <v>1313</v>
      </c>
      <c r="U711" t="s">
        <v>1246</v>
      </c>
      <c r="V711" s="9" t="s">
        <v>1313</v>
      </c>
      <c r="W711">
        <v>70</v>
      </c>
      <c r="X711" s="9" t="s">
        <v>1292</v>
      </c>
      <c r="Y711" t="s">
        <v>1315</v>
      </c>
      <c r="Z711">
        <v>24</v>
      </c>
      <c r="AF711" s="14" t="s">
        <v>153</v>
      </c>
      <c r="AG711" t="s">
        <v>1314</v>
      </c>
      <c r="AH711">
        <v>10</v>
      </c>
      <c r="AI711" t="s">
        <v>153</v>
      </c>
      <c r="AJ711" s="15" t="s">
        <v>1148</v>
      </c>
      <c r="AK711" s="15">
        <v>0</v>
      </c>
      <c r="AL711" s="14" t="s">
        <v>1263</v>
      </c>
      <c r="AM711" s="14">
        <v>0</v>
      </c>
      <c r="AN711" s="15">
        <v>4</v>
      </c>
      <c r="AO711" s="15">
        <v>50</v>
      </c>
      <c r="AP711" s="15">
        <v>63</v>
      </c>
      <c r="AQ711" s="14" t="s">
        <v>1284</v>
      </c>
      <c r="AR711" s="15" t="s">
        <v>1316</v>
      </c>
    </row>
    <row r="712" spans="1:44" x14ac:dyDescent="0.2">
      <c r="A712" t="s">
        <v>1127</v>
      </c>
      <c r="B712" s="15" t="s">
        <v>1146</v>
      </c>
      <c r="C712" s="15" t="s">
        <v>1149</v>
      </c>
      <c r="D712" t="s">
        <v>1125</v>
      </c>
      <c r="E712" t="s">
        <v>1126</v>
      </c>
      <c r="F712" t="s">
        <v>1311</v>
      </c>
      <c r="G712" s="15" t="s">
        <v>1165</v>
      </c>
      <c r="H712" s="14" t="s">
        <v>1165</v>
      </c>
      <c r="I712" s="16" t="s">
        <v>1312</v>
      </c>
      <c r="M712" t="s">
        <v>1145</v>
      </c>
      <c r="O712">
        <v>2011</v>
      </c>
      <c r="R712">
        <v>30</v>
      </c>
      <c r="T712" t="s">
        <v>1313</v>
      </c>
      <c r="U712" t="s">
        <v>1246</v>
      </c>
      <c r="V712" s="9" t="s">
        <v>1313</v>
      </c>
      <c r="W712">
        <v>70</v>
      </c>
      <c r="X712" s="9" t="s">
        <v>1201</v>
      </c>
      <c r="Y712" t="s">
        <v>1315</v>
      </c>
      <c r="Z712">
        <v>24</v>
      </c>
      <c r="AF712" s="14" t="s">
        <v>153</v>
      </c>
      <c r="AG712" t="s">
        <v>1314</v>
      </c>
      <c r="AH712">
        <v>10</v>
      </c>
      <c r="AI712" t="s">
        <v>153</v>
      </c>
      <c r="AJ712" s="15" t="s">
        <v>1148</v>
      </c>
      <c r="AK712" s="15">
        <v>0</v>
      </c>
      <c r="AL712" s="14" t="s">
        <v>1263</v>
      </c>
      <c r="AM712" s="14">
        <v>0</v>
      </c>
      <c r="AN712" s="15">
        <v>4</v>
      </c>
      <c r="AO712" s="15">
        <v>50</v>
      </c>
      <c r="AP712" s="15">
        <v>63</v>
      </c>
      <c r="AQ712" s="14" t="s">
        <v>1284</v>
      </c>
      <c r="AR712" s="15" t="s">
        <v>1316</v>
      </c>
    </row>
    <row r="713" spans="1:44" x14ac:dyDescent="0.2">
      <c r="A713" t="s">
        <v>1127</v>
      </c>
      <c r="B713" s="15" t="s">
        <v>1146</v>
      </c>
      <c r="C713" s="15" t="s">
        <v>1149</v>
      </c>
      <c r="D713" t="s">
        <v>1125</v>
      </c>
      <c r="E713" t="s">
        <v>1126</v>
      </c>
      <c r="F713" t="s">
        <v>1311</v>
      </c>
      <c r="G713" s="15" t="s">
        <v>1165</v>
      </c>
      <c r="H713" s="14" t="s">
        <v>1165</v>
      </c>
      <c r="I713" s="16" t="s">
        <v>1312</v>
      </c>
      <c r="M713" t="s">
        <v>1145</v>
      </c>
      <c r="O713">
        <v>2011</v>
      </c>
      <c r="R713">
        <v>30</v>
      </c>
      <c r="T713" t="s">
        <v>1313</v>
      </c>
      <c r="U713" t="s">
        <v>1246</v>
      </c>
      <c r="V713" s="9" t="s">
        <v>1313</v>
      </c>
      <c r="W713">
        <v>70</v>
      </c>
      <c r="X713" s="9" t="s">
        <v>1293</v>
      </c>
      <c r="Y713" t="s">
        <v>1315</v>
      </c>
      <c r="Z713">
        <v>24</v>
      </c>
      <c r="AF713" s="14" t="s">
        <v>153</v>
      </c>
      <c r="AG713" t="s">
        <v>1314</v>
      </c>
      <c r="AH713">
        <v>10</v>
      </c>
      <c r="AI713" t="s">
        <v>153</v>
      </c>
      <c r="AJ713" s="15" t="s">
        <v>1148</v>
      </c>
      <c r="AK713" s="15">
        <v>0</v>
      </c>
      <c r="AL713" s="14" t="s">
        <v>1263</v>
      </c>
      <c r="AM713">
        <v>0</v>
      </c>
      <c r="AN713" s="15">
        <v>4</v>
      </c>
      <c r="AO713" s="15">
        <v>50</v>
      </c>
      <c r="AP713" s="15">
        <v>63</v>
      </c>
      <c r="AQ713" s="14" t="s">
        <v>1284</v>
      </c>
      <c r="AR713" s="15" t="s">
        <v>1316</v>
      </c>
    </row>
    <row r="714" spans="1:44" x14ac:dyDescent="0.2">
      <c r="A714" t="s">
        <v>1127</v>
      </c>
      <c r="B714" s="15" t="s">
        <v>1146</v>
      </c>
      <c r="C714" s="15" t="s">
        <v>1149</v>
      </c>
      <c r="D714" t="s">
        <v>1125</v>
      </c>
      <c r="E714" t="s">
        <v>1126</v>
      </c>
      <c r="F714" t="s">
        <v>1311</v>
      </c>
      <c r="G714" s="15" t="s">
        <v>1165</v>
      </c>
      <c r="H714" s="14" t="s">
        <v>1165</v>
      </c>
      <c r="I714" s="16" t="s">
        <v>1312</v>
      </c>
      <c r="M714" t="s">
        <v>1145</v>
      </c>
      <c r="O714">
        <v>2011</v>
      </c>
      <c r="R714">
        <v>30</v>
      </c>
      <c r="T714" t="s">
        <v>1313</v>
      </c>
      <c r="U714" t="s">
        <v>1246</v>
      </c>
      <c r="V714" s="9" t="s">
        <v>1313</v>
      </c>
      <c r="W714">
        <v>70</v>
      </c>
      <c r="X714" s="9" t="s">
        <v>1291</v>
      </c>
      <c r="Y714" t="s">
        <v>1315</v>
      </c>
      <c r="Z714">
        <v>24</v>
      </c>
      <c r="AF714" s="14" t="s">
        <v>153</v>
      </c>
      <c r="AG714" t="s">
        <v>1314</v>
      </c>
      <c r="AH714">
        <v>10</v>
      </c>
      <c r="AI714" t="s">
        <v>153</v>
      </c>
      <c r="AJ714" s="15" t="s">
        <v>1148</v>
      </c>
      <c r="AK714" s="15">
        <v>0</v>
      </c>
      <c r="AL714" s="14" t="s">
        <v>1263</v>
      </c>
      <c r="AM714" s="14">
        <v>0</v>
      </c>
      <c r="AN714" s="15">
        <v>4</v>
      </c>
      <c r="AO714" s="15">
        <v>50</v>
      </c>
      <c r="AP714" s="15">
        <v>70</v>
      </c>
      <c r="AQ714" s="14" t="s">
        <v>1284</v>
      </c>
      <c r="AR714" s="15" t="s">
        <v>1316</v>
      </c>
    </row>
    <row r="715" spans="1:44" x14ac:dyDescent="0.2">
      <c r="A715" t="s">
        <v>1127</v>
      </c>
      <c r="B715" s="15" t="s">
        <v>1146</v>
      </c>
      <c r="C715" s="15" t="s">
        <v>1149</v>
      </c>
      <c r="D715" t="s">
        <v>1125</v>
      </c>
      <c r="E715" t="s">
        <v>1126</v>
      </c>
      <c r="F715" t="s">
        <v>1311</v>
      </c>
      <c r="G715" s="15" t="s">
        <v>1165</v>
      </c>
      <c r="H715" s="14" t="s">
        <v>1165</v>
      </c>
      <c r="I715" s="16" t="s">
        <v>1312</v>
      </c>
      <c r="M715" t="s">
        <v>1145</v>
      </c>
      <c r="O715">
        <v>2011</v>
      </c>
      <c r="R715">
        <v>30</v>
      </c>
      <c r="T715" t="s">
        <v>1313</v>
      </c>
      <c r="U715" t="s">
        <v>1246</v>
      </c>
      <c r="V715" s="9" t="s">
        <v>1313</v>
      </c>
      <c r="W715">
        <v>70</v>
      </c>
      <c r="X715" s="9" t="s">
        <v>1292</v>
      </c>
      <c r="Y715" t="s">
        <v>1315</v>
      </c>
      <c r="Z715">
        <v>24</v>
      </c>
      <c r="AF715" s="14" t="s">
        <v>153</v>
      </c>
      <c r="AG715" t="s">
        <v>1314</v>
      </c>
      <c r="AH715">
        <v>10</v>
      </c>
      <c r="AI715" t="s">
        <v>153</v>
      </c>
      <c r="AJ715" s="15" t="s">
        <v>1148</v>
      </c>
      <c r="AK715" s="15">
        <v>0</v>
      </c>
      <c r="AL715" s="14" t="s">
        <v>1263</v>
      </c>
      <c r="AM715" s="14">
        <v>0</v>
      </c>
      <c r="AN715" s="15">
        <v>4</v>
      </c>
      <c r="AO715" s="15">
        <v>50</v>
      </c>
      <c r="AP715" s="15">
        <v>70</v>
      </c>
      <c r="AQ715" s="14" t="s">
        <v>1284</v>
      </c>
      <c r="AR715" s="15" t="s">
        <v>1316</v>
      </c>
    </row>
    <row r="716" spans="1:44" x14ac:dyDescent="0.2">
      <c r="A716" t="s">
        <v>1127</v>
      </c>
      <c r="B716" s="15" t="s">
        <v>1146</v>
      </c>
      <c r="C716" s="15" t="s">
        <v>1149</v>
      </c>
      <c r="D716" t="s">
        <v>1125</v>
      </c>
      <c r="E716" t="s">
        <v>1126</v>
      </c>
      <c r="F716" t="s">
        <v>1311</v>
      </c>
      <c r="G716" s="15" t="s">
        <v>1165</v>
      </c>
      <c r="H716" s="14" t="s">
        <v>1165</v>
      </c>
      <c r="I716" s="16" t="s">
        <v>1312</v>
      </c>
      <c r="M716" t="s">
        <v>1145</v>
      </c>
      <c r="O716">
        <v>2011</v>
      </c>
      <c r="R716">
        <v>30</v>
      </c>
      <c r="T716" t="s">
        <v>1313</v>
      </c>
      <c r="U716" t="s">
        <v>1246</v>
      </c>
      <c r="V716" s="9" t="s">
        <v>1313</v>
      </c>
      <c r="W716">
        <v>70</v>
      </c>
      <c r="X716" s="9" t="s">
        <v>1201</v>
      </c>
      <c r="Y716" t="s">
        <v>1315</v>
      </c>
      <c r="Z716">
        <v>24</v>
      </c>
      <c r="AF716" s="14" t="s">
        <v>153</v>
      </c>
      <c r="AG716" t="s">
        <v>1314</v>
      </c>
      <c r="AH716">
        <v>10</v>
      </c>
      <c r="AI716" t="s">
        <v>153</v>
      </c>
      <c r="AJ716" s="15" t="s">
        <v>1148</v>
      </c>
      <c r="AK716" s="15">
        <v>0</v>
      </c>
      <c r="AL716" s="14" t="s">
        <v>1263</v>
      </c>
      <c r="AM716" s="14">
        <v>0</v>
      </c>
      <c r="AN716" s="15">
        <v>4</v>
      </c>
      <c r="AO716" s="15">
        <v>50</v>
      </c>
      <c r="AP716" s="15">
        <v>70</v>
      </c>
      <c r="AQ716" s="14" t="s">
        <v>1284</v>
      </c>
      <c r="AR716" s="15" t="s">
        <v>1316</v>
      </c>
    </row>
    <row r="717" spans="1:44" x14ac:dyDescent="0.2">
      <c r="A717" t="s">
        <v>1127</v>
      </c>
      <c r="B717" s="15" t="s">
        <v>1146</v>
      </c>
      <c r="C717" s="15" t="s">
        <v>1149</v>
      </c>
      <c r="D717" t="s">
        <v>1125</v>
      </c>
      <c r="E717" t="s">
        <v>1126</v>
      </c>
      <c r="F717" t="s">
        <v>1311</v>
      </c>
      <c r="G717" s="15" t="s">
        <v>1165</v>
      </c>
      <c r="H717" s="14" t="s">
        <v>1165</v>
      </c>
      <c r="I717" s="16" t="s">
        <v>1312</v>
      </c>
      <c r="M717" t="s">
        <v>1145</v>
      </c>
      <c r="O717">
        <v>2011</v>
      </c>
      <c r="R717">
        <v>30</v>
      </c>
      <c r="T717" t="s">
        <v>1313</v>
      </c>
      <c r="U717" t="s">
        <v>1246</v>
      </c>
      <c r="V717" s="9" t="s">
        <v>1313</v>
      </c>
      <c r="W717">
        <v>70</v>
      </c>
      <c r="X717" s="9" t="s">
        <v>1293</v>
      </c>
      <c r="Y717" t="s">
        <v>1315</v>
      </c>
      <c r="Z717">
        <v>24</v>
      </c>
      <c r="AF717" s="14" t="s">
        <v>153</v>
      </c>
      <c r="AG717" t="s">
        <v>1314</v>
      </c>
      <c r="AH717">
        <v>10</v>
      </c>
      <c r="AI717" t="s">
        <v>153</v>
      </c>
      <c r="AJ717" s="15" t="s">
        <v>1148</v>
      </c>
      <c r="AK717" s="15">
        <v>0</v>
      </c>
      <c r="AL717" s="14" t="s">
        <v>1263</v>
      </c>
      <c r="AM717">
        <v>0</v>
      </c>
      <c r="AN717" s="15">
        <v>4</v>
      </c>
      <c r="AO717" s="15">
        <v>50</v>
      </c>
      <c r="AP717" s="15">
        <v>70</v>
      </c>
      <c r="AQ717" s="14" t="s">
        <v>1284</v>
      </c>
      <c r="AR717" s="15" t="s">
        <v>1316</v>
      </c>
    </row>
    <row r="718" spans="1:44" x14ac:dyDescent="0.2">
      <c r="A718" t="s">
        <v>1127</v>
      </c>
      <c r="B718" s="15" t="s">
        <v>1146</v>
      </c>
      <c r="C718" s="15" t="s">
        <v>1149</v>
      </c>
      <c r="D718" t="s">
        <v>1125</v>
      </c>
      <c r="E718" t="s">
        <v>1126</v>
      </c>
      <c r="F718" t="s">
        <v>1311</v>
      </c>
      <c r="G718" s="15" t="s">
        <v>1165</v>
      </c>
      <c r="H718" s="14" t="s">
        <v>1165</v>
      </c>
      <c r="I718" s="16" t="s">
        <v>1312</v>
      </c>
      <c r="M718" t="s">
        <v>1145</v>
      </c>
      <c r="O718">
        <v>2011</v>
      </c>
      <c r="R718">
        <v>30</v>
      </c>
      <c r="T718" t="s">
        <v>1313</v>
      </c>
      <c r="U718" t="s">
        <v>1246</v>
      </c>
      <c r="V718" s="9" t="s">
        <v>1313</v>
      </c>
      <c r="W718">
        <v>70</v>
      </c>
      <c r="X718" s="9" t="s">
        <v>1201</v>
      </c>
      <c r="Y718" t="s">
        <v>1315</v>
      </c>
      <c r="Z718">
        <v>24</v>
      </c>
      <c r="AF718" s="14" t="s">
        <v>153</v>
      </c>
      <c r="AG718" t="s">
        <v>1314</v>
      </c>
      <c r="AH718">
        <v>10</v>
      </c>
      <c r="AI718" t="s">
        <v>153</v>
      </c>
      <c r="AJ718" s="15" t="s">
        <v>1148</v>
      </c>
      <c r="AK718" s="15">
        <v>6.3220000000000001</v>
      </c>
      <c r="AL718" s="14" t="s">
        <v>1263</v>
      </c>
      <c r="AM718" s="14">
        <v>2.3109999999999999</v>
      </c>
      <c r="AN718" s="15">
        <v>4</v>
      </c>
      <c r="AO718" s="15">
        <v>50</v>
      </c>
      <c r="AP718" s="15">
        <v>77</v>
      </c>
      <c r="AQ718" s="14" t="s">
        <v>1284</v>
      </c>
      <c r="AR718" s="15" t="s">
        <v>1316</v>
      </c>
    </row>
    <row r="719" spans="1:44" x14ac:dyDescent="0.2">
      <c r="A719" t="s">
        <v>1127</v>
      </c>
      <c r="B719" s="15" t="s">
        <v>1146</v>
      </c>
      <c r="C719" s="15" t="s">
        <v>1149</v>
      </c>
      <c r="D719" t="s">
        <v>1125</v>
      </c>
      <c r="E719" t="s">
        <v>1126</v>
      </c>
      <c r="F719" t="s">
        <v>1311</v>
      </c>
      <c r="G719" s="15" t="s">
        <v>1165</v>
      </c>
      <c r="H719" s="14" t="s">
        <v>1165</v>
      </c>
      <c r="I719" s="16" t="s">
        <v>1312</v>
      </c>
      <c r="M719" t="s">
        <v>1145</v>
      </c>
      <c r="O719">
        <v>2011</v>
      </c>
      <c r="R719">
        <v>30</v>
      </c>
      <c r="T719" t="s">
        <v>1313</v>
      </c>
      <c r="U719" t="s">
        <v>1246</v>
      </c>
      <c r="V719" s="9" t="s">
        <v>1313</v>
      </c>
      <c r="W719">
        <v>70</v>
      </c>
      <c r="X719" s="9" t="s">
        <v>1292</v>
      </c>
      <c r="Y719" t="s">
        <v>1315</v>
      </c>
      <c r="Z719">
        <v>24</v>
      </c>
      <c r="AF719" s="14" t="s">
        <v>153</v>
      </c>
      <c r="AG719" t="s">
        <v>1314</v>
      </c>
      <c r="AH719">
        <v>10</v>
      </c>
      <c r="AI719" t="s">
        <v>153</v>
      </c>
      <c r="AJ719" s="15" t="s">
        <v>1148</v>
      </c>
      <c r="AK719" s="15">
        <v>0</v>
      </c>
      <c r="AL719" s="14" t="s">
        <v>1263</v>
      </c>
      <c r="AM719" s="14">
        <v>0</v>
      </c>
      <c r="AN719" s="15">
        <v>4</v>
      </c>
      <c r="AO719" s="15">
        <v>50</v>
      </c>
      <c r="AP719" s="15">
        <v>77</v>
      </c>
      <c r="AQ719" s="14" t="s">
        <v>1284</v>
      </c>
      <c r="AR719" s="15" t="s">
        <v>1316</v>
      </c>
    </row>
    <row r="720" spans="1:44" x14ac:dyDescent="0.2">
      <c r="A720" t="s">
        <v>1127</v>
      </c>
      <c r="B720" s="15" t="s">
        <v>1146</v>
      </c>
      <c r="C720" s="15" t="s">
        <v>1149</v>
      </c>
      <c r="D720" t="s">
        <v>1125</v>
      </c>
      <c r="E720" t="s">
        <v>1126</v>
      </c>
      <c r="F720" t="s">
        <v>1311</v>
      </c>
      <c r="G720" s="15" t="s">
        <v>1165</v>
      </c>
      <c r="H720" s="14" t="s">
        <v>1165</v>
      </c>
      <c r="I720" s="16" t="s">
        <v>1312</v>
      </c>
      <c r="M720" t="s">
        <v>1145</v>
      </c>
      <c r="O720">
        <v>2011</v>
      </c>
      <c r="R720">
        <v>30</v>
      </c>
      <c r="T720" t="s">
        <v>1313</v>
      </c>
      <c r="U720" t="s">
        <v>1246</v>
      </c>
      <c r="V720" s="9" t="s">
        <v>1313</v>
      </c>
      <c r="W720">
        <v>70</v>
      </c>
      <c r="X720" s="9" t="s">
        <v>1291</v>
      </c>
      <c r="Y720" t="s">
        <v>1315</v>
      </c>
      <c r="Z720">
        <v>24</v>
      </c>
      <c r="AF720" s="14" t="s">
        <v>153</v>
      </c>
      <c r="AG720" t="s">
        <v>1314</v>
      </c>
      <c r="AH720">
        <v>10</v>
      </c>
      <c r="AI720" t="s">
        <v>153</v>
      </c>
      <c r="AJ720" s="15" t="s">
        <v>1148</v>
      </c>
      <c r="AK720" s="15">
        <v>0</v>
      </c>
      <c r="AL720" s="14" t="s">
        <v>1263</v>
      </c>
      <c r="AM720" s="14">
        <v>0</v>
      </c>
      <c r="AN720" s="15">
        <v>4</v>
      </c>
      <c r="AO720" s="15">
        <v>50</v>
      </c>
      <c r="AP720" s="15">
        <v>77</v>
      </c>
      <c r="AQ720" s="14" t="s">
        <v>1284</v>
      </c>
      <c r="AR720" s="15" t="s">
        <v>1316</v>
      </c>
    </row>
    <row r="721" spans="1:44" x14ac:dyDescent="0.2">
      <c r="A721" t="s">
        <v>1127</v>
      </c>
      <c r="B721" s="15" t="s">
        <v>1146</v>
      </c>
      <c r="C721" s="15" t="s">
        <v>1149</v>
      </c>
      <c r="D721" t="s">
        <v>1125</v>
      </c>
      <c r="E721" t="s">
        <v>1126</v>
      </c>
      <c r="F721" t="s">
        <v>1311</v>
      </c>
      <c r="G721" s="15" t="s">
        <v>1165</v>
      </c>
      <c r="H721" s="14" t="s">
        <v>1165</v>
      </c>
      <c r="I721" s="16" t="s">
        <v>1312</v>
      </c>
      <c r="M721" t="s">
        <v>1145</v>
      </c>
      <c r="O721">
        <v>2011</v>
      </c>
      <c r="R721">
        <v>30</v>
      </c>
      <c r="T721" t="s">
        <v>1313</v>
      </c>
      <c r="U721" t="s">
        <v>1246</v>
      </c>
      <c r="V721" s="9" t="s">
        <v>1313</v>
      </c>
      <c r="W721">
        <v>70</v>
      </c>
      <c r="X721" s="9" t="s">
        <v>1293</v>
      </c>
      <c r="Y721" t="s">
        <v>1315</v>
      </c>
      <c r="Z721">
        <v>24</v>
      </c>
      <c r="AF721" s="14" t="s">
        <v>153</v>
      </c>
      <c r="AG721" t="s">
        <v>1314</v>
      </c>
      <c r="AH721">
        <v>10</v>
      </c>
      <c r="AI721" t="s">
        <v>153</v>
      </c>
      <c r="AJ721" s="15" t="s">
        <v>1148</v>
      </c>
      <c r="AK721" s="15">
        <v>0</v>
      </c>
      <c r="AL721" s="14" t="s">
        <v>1263</v>
      </c>
      <c r="AM721">
        <v>0</v>
      </c>
      <c r="AN721" s="15">
        <v>4</v>
      </c>
      <c r="AO721" s="15">
        <v>50</v>
      </c>
      <c r="AP721" s="15">
        <v>77</v>
      </c>
      <c r="AQ721" s="14" t="s">
        <v>1284</v>
      </c>
      <c r="AR721" s="15" t="s">
        <v>1316</v>
      </c>
    </row>
    <row r="722" spans="1:44" x14ac:dyDescent="0.2">
      <c r="A722" t="s">
        <v>1127</v>
      </c>
      <c r="B722" s="15" t="s">
        <v>1146</v>
      </c>
      <c r="C722" s="15" t="s">
        <v>1149</v>
      </c>
      <c r="D722" t="s">
        <v>1125</v>
      </c>
      <c r="E722" t="s">
        <v>1126</v>
      </c>
      <c r="F722" t="s">
        <v>1311</v>
      </c>
      <c r="G722" s="15" t="s">
        <v>1165</v>
      </c>
      <c r="H722" s="14" t="s">
        <v>1165</v>
      </c>
      <c r="I722" s="16" t="s">
        <v>1312</v>
      </c>
      <c r="M722" t="s">
        <v>1145</v>
      </c>
      <c r="O722">
        <v>2011</v>
      </c>
      <c r="R722">
        <v>30</v>
      </c>
      <c r="T722" t="s">
        <v>1313</v>
      </c>
      <c r="U722" t="s">
        <v>1246</v>
      </c>
      <c r="V722" s="9" t="s">
        <v>1313</v>
      </c>
      <c r="W722">
        <v>70</v>
      </c>
      <c r="X722" s="9" t="s">
        <v>1201</v>
      </c>
      <c r="Y722" t="s">
        <v>1315</v>
      </c>
      <c r="Z722">
        <v>24</v>
      </c>
      <c r="AF722" s="14" t="s">
        <v>153</v>
      </c>
      <c r="AG722" t="s">
        <v>1314</v>
      </c>
      <c r="AH722">
        <v>10</v>
      </c>
      <c r="AI722" t="s">
        <v>153</v>
      </c>
      <c r="AJ722" s="15" t="s">
        <v>1148</v>
      </c>
      <c r="AK722" s="15">
        <v>7.4669999999999996</v>
      </c>
      <c r="AL722" s="14" t="s">
        <v>1263</v>
      </c>
      <c r="AM722" s="14">
        <v>2.8450000000000002</v>
      </c>
      <c r="AN722" s="15">
        <v>4</v>
      </c>
      <c r="AO722" s="15">
        <v>50</v>
      </c>
      <c r="AP722" s="15">
        <v>84</v>
      </c>
      <c r="AQ722" s="14" t="s">
        <v>1284</v>
      </c>
      <c r="AR722" s="15" t="s">
        <v>1316</v>
      </c>
    </row>
    <row r="723" spans="1:44" x14ac:dyDescent="0.2">
      <c r="A723" t="s">
        <v>1127</v>
      </c>
      <c r="B723" s="15" t="s">
        <v>1146</v>
      </c>
      <c r="C723" s="15" t="s">
        <v>1149</v>
      </c>
      <c r="D723" t="s">
        <v>1125</v>
      </c>
      <c r="E723" t="s">
        <v>1126</v>
      </c>
      <c r="F723" t="s">
        <v>1311</v>
      </c>
      <c r="G723" s="15" t="s">
        <v>1165</v>
      </c>
      <c r="H723" s="14" t="s">
        <v>1165</v>
      </c>
      <c r="I723" s="16" t="s">
        <v>1312</v>
      </c>
      <c r="M723" t="s">
        <v>1145</v>
      </c>
      <c r="O723">
        <v>2011</v>
      </c>
      <c r="R723">
        <v>30</v>
      </c>
      <c r="T723" t="s">
        <v>1313</v>
      </c>
      <c r="U723" t="s">
        <v>1246</v>
      </c>
      <c r="V723" s="9" t="s">
        <v>1313</v>
      </c>
      <c r="W723">
        <v>70</v>
      </c>
      <c r="X723" s="9" t="s">
        <v>1292</v>
      </c>
      <c r="Y723" t="s">
        <v>1315</v>
      </c>
      <c r="Z723">
        <v>24</v>
      </c>
      <c r="AF723" s="14" t="s">
        <v>153</v>
      </c>
      <c r="AG723" t="s">
        <v>1314</v>
      </c>
      <c r="AH723">
        <v>10</v>
      </c>
      <c r="AI723" t="s">
        <v>153</v>
      </c>
      <c r="AJ723" s="15" t="s">
        <v>1148</v>
      </c>
      <c r="AK723" s="15">
        <v>2.7330000000000001</v>
      </c>
      <c r="AL723" s="14" t="s">
        <v>1263</v>
      </c>
      <c r="AM723" s="14">
        <v>4.8890000000000002</v>
      </c>
      <c r="AN723" s="15">
        <v>4</v>
      </c>
      <c r="AO723" s="15">
        <v>50</v>
      </c>
      <c r="AP723" s="15">
        <v>84</v>
      </c>
      <c r="AQ723" s="14" t="s">
        <v>1284</v>
      </c>
      <c r="AR723" s="15" t="s">
        <v>1316</v>
      </c>
    </row>
    <row r="724" spans="1:44" x14ac:dyDescent="0.2">
      <c r="A724" t="s">
        <v>1127</v>
      </c>
      <c r="B724" s="15" t="s">
        <v>1146</v>
      </c>
      <c r="C724" s="15" t="s">
        <v>1149</v>
      </c>
      <c r="D724" t="s">
        <v>1125</v>
      </c>
      <c r="E724" t="s">
        <v>1126</v>
      </c>
      <c r="F724" t="s">
        <v>1311</v>
      </c>
      <c r="G724" s="15" t="s">
        <v>1165</v>
      </c>
      <c r="H724" s="14" t="s">
        <v>1165</v>
      </c>
      <c r="I724" s="16" t="s">
        <v>1312</v>
      </c>
      <c r="M724" t="s">
        <v>1145</v>
      </c>
      <c r="O724">
        <v>2011</v>
      </c>
      <c r="R724">
        <v>30</v>
      </c>
      <c r="T724" t="s">
        <v>1313</v>
      </c>
      <c r="U724" t="s">
        <v>1246</v>
      </c>
      <c r="V724" s="9" t="s">
        <v>1313</v>
      </c>
      <c r="W724">
        <v>70</v>
      </c>
      <c r="X724" s="9" t="s">
        <v>1291</v>
      </c>
      <c r="Y724" t="s">
        <v>1315</v>
      </c>
      <c r="Z724">
        <v>24</v>
      </c>
      <c r="AF724" s="14" t="s">
        <v>153</v>
      </c>
      <c r="AG724" t="s">
        <v>1314</v>
      </c>
      <c r="AH724">
        <v>10</v>
      </c>
      <c r="AI724" t="s">
        <v>153</v>
      </c>
      <c r="AJ724" s="15" t="s">
        <v>1148</v>
      </c>
      <c r="AK724" s="15">
        <v>0</v>
      </c>
      <c r="AL724" s="14" t="s">
        <v>1263</v>
      </c>
      <c r="AM724" s="14">
        <v>0</v>
      </c>
      <c r="AN724" s="15">
        <v>4</v>
      </c>
      <c r="AO724" s="15">
        <v>50</v>
      </c>
      <c r="AP724" s="15">
        <v>84</v>
      </c>
      <c r="AQ724" s="14" t="s">
        <v>1284</v>
      </c>
      <c r="AR724" s="15" t="s">
        <v>1316</v>
      </c>
    </row>
    <row r="725" spans="1:44" x14ac:dyDescent="0.2">
      <c r="A725" t="s">
        <v>1127</v>
      </c>
      <c r="B725" s="15" t="s">
        <v>1146</v>
      </c>
      <c r="C725" s="15" t="s">
        <v>1149</v>
      </c>
      <c r="D725" t="s">
        <v>1125</v>
      </c>
      <c r="E725" t="s">
        <v>1126</v>
      </c>
      <c r="F725" t="s">
        <v>1311</v>
      </c>
      <c r="G725" s="15" t="s">
        <v>1165</v>
      </c>
      <c r="H725" s="14" t="s">
        <v>1165</v>
      </c>
      <c r="I725" s="16" t="s">
        <v>1312</v>
      </c>
      <c r="M725" t="s">
        <v>1145</v>
      </c>
      <c r="O725">
        <v>2011</v>
      </c>
      <c r="R725">
        <v>30</v>
      </c>
      <c r="T725" t="s">
        <v>1313</v>
      </c>
      <c r="U725" t="s">
        <v>1246</v>
      </c>
      <c r="V725" s="9" t="s">
        <v>1313</v>
      </c>
      <c r="W725">
        <v>70</v>
      </c>
      <c r="X725" s="9" t="s">
        <v>1293</v>
      </c>
      <c r="Y725" t="s">
        <v>1315</v>
      </c>
      <c r="Z725">
        <v>24</v>
      </c>
      <c r="AF725" s="14" t="s">
        <v>153</v>
      </c>
      <c r="AG725" t="s">
        <v>1314</v>
      </c>
      <c r="AH725">
        <v>10</v>
      </c>
      <c r="AI725" t="s">
        <v>153</v>
      </c>
      <c r="AJ725" s="15" t="s">
        <v>1148</v>
      </c>
      <c r="AK725" s="15">
        <v>0</v>
      </c>
      <c r="AL725" s="14" t="s">
        <v>1263</v>
      </c>
      <c r="AM725">
        <v>0</v>
      </c>
      <c r="AN725" s="15">
        <v>4</v>
      </c>
      <c r="AO725" s="15">
        <v>50</v>
      </c>
      <c r="AP725" s="15">
        <v>84</v>
      </c>
      <c r="AQ725" s="14" t="s">
        <v>1284</v>
      </c>
      <c r="AR725" s="15" t="s">
        <v>1316</v>
      </c>
    </row>
    <row r="726" spans="1:44" x14ac:dyDescent="0.2">
      <c r="A726" t="s">
        <v>1127</v>
      </c>
      <c r="B726" s="15" t="s">
        <v>1146</v>
      </c>
      <c r="C726" s="15" t="s">
        <v>1149</v>
      </c>
      <c r="D726" t="s">
        <v>1125</v>
      </c>
      <c r="E726" t="s">
        <v>1126</v>
      </c>
      <c r="F726" t="s">
        <v>1311</v>
      </c>
      <c r="G726" s="15" t="s">
        <v>1165</v>
      </c>
      <c r="H726" s="14" t="s">
        <v>1165</v>
      </c>
      <c r="I726" s="16" t="s">
        <v>1312</v>
      </c>
      <c r="M726" t="s">
        <v>1145</v>
      </c>
      <c r="O726">
        <v>2011</v>
      </c>
      <c r="R726">
        <v>30</v>
      </c>
      <c r="T726" t="s">
        <v>1313</v>
      </c>
      <c r="U726" t="s">
        <v>1246</v>
      </c>
      <c r="V726" s="9" t="s">
        <v>1313</v>
      </c>
      <c r="W726">
        <v>70</v>
      </c>
      <c r="X726" s="9" t="s">
        <v>1201</v>
      </c>
      <c r="Y726" t="s">
        <v>1315</v>
      </c>
      <c r="Z726">
        <v>24</v>
      </c>
      <c r="AF726" s="14" t="s">
        <v>153</v>
      </c>
      <c r="AG726" t="s">
        <v>1314</v>
      </c>
      <c r="AH726">
        <v>10</v>
      </c>
      <c r="AI726" t="s">
        <v>153</v>
      </c>
      <c r="AJ726" s="15" t="s">
        <v>1148</v>
      </c>
      <c r="AK726" s="15">
        <v>7.3890000000000002</v>
      </c>
      <c r="AL726" s="14" t="s">
        <v>1263</v>
      </c>
      <c r="AM726" s="14">
        <v>2.8450000000000002</v>
      </c>
      <c r="AN726" s="15">
        <v>4</v>
      </c>
      <c r="AO726" s="15">
        <v>50</v>
      </c>
      <c r="AP726" s="15">
        <v>91</v>
      </c>
      <c r="AQ726" s="14" t="s">
        <v>1284</v>
      </c>
      <c r="AR726" s="15" t="s">
        <v>1316</v>
      </c>
    </row>
    <row r="727" spans="1:44" x14ac:dyDescent="0.2">
      <c r="A727" t="s">
        <v>1127</v>
      </c>
      <c r="B727" s="15" t="s">
        <v>1146</v>
      </c>
      <c r="C727" s="15" t="s">
        <v>1149</v>
      </c>
      <c r="D727" t="s">
        <v>1125</v>
      </c>
      <c r="E727" t="s">
        <v>1126</v>
      </c>
      <c r="F727" t="s">
        <v>1311</v>
      </c>
      <c r="G727" s="15" t="s">
        <v>1165</v>
      </c>
      <c r="H727" s="14" t="s">
        <v>1165</v>
      </c>
      <c r="I727" s="16" t="s">
        <v>1312</v>
      </c>
      <c r="M727" t="s">
        <v>1145</v>
      </c>
      <c r="O727">
        <v>2011</v>
      </c>
      <c r="R727">
        <v>30</v>
      </c>
      <c r="T727" t="s">
        <v>1313</v>
      </c>
      <c r="U727" t="s">
        <v>1246</v>
      </c>
      <c r="V727" s="9" t="s">
        <v>1313</v>
      </c>
      <c r="W727">
        <v>70</v>
      </c>
      <c r="X727" s="9" t="s">
        <v>1292</v>
      </c>
      <c r="Y727" t="s">
        <v>1315</v>
      </c>
      <c r="Z727">
        <v>24</v>
      </c>
      <c r="AF727" s="14" t="s">
        <v>153</v>
      </c>
      <c r="AG727" t="s">
        <v>1314</v>
      </c>
      <c r="AH727">
        <v>10</v>
      </c>
      <c r="AI727" t="s">
        <v>153</v>
      </c>
      <c r="AJ727" s="15" t="s">
        <v>1148</v>
      </c>
      <c r="AK727" s="15">
        <v>3.133</v>
      </c>
      <c r="AL727" s="14" t="s">
        <v>1263</v>
      </c>
      <c r="AM727" s="14">
        <v>4.8</v>
      </c>
      <c r="AN727" s="15">
        <v>4</v>
      </c>
      <c r="AO727" s="15">
        <v>50</v>
      </c>
      <c r="AP727" s="15">
        <v>91</v>
      </c>
      <c r="AQ727" s="14" t="s">
        <v>1284</v>
      </c>
      <c r="AR727" s="15" t="s">
        <v>1316</v>
      </c>
    </row>
    <row r="728" spans="1:44" x14ac:dyDescent="0.2">
      <c r="A728" t="s">
        <v>1127</v>
      </c>
      <c r="B728" s="15" t="s">
        <v>1146</v>
      </c>
      <c r="C728" s="15" t="s">
        <v>1149</v>
      </c>
      <c r="D728" t="s">
        <v>1125</v>
      </c>
      <c r="E728" t="s">
        <v>1126</v>
      </c>
      <c r="F728" t="s">
        <v>1311</v>
      </c>
      <c r="G728" s="15" t="s">
        <v>1165</v>
      </c>
      <c r="H728" s="14" t="s">
        <v>1165</v>
      </c>
      <c r="I728" s="16" t="s">
        <v>1312</v>
      </c>
      <c r="M728" t="s">
        <v>1145</v>
      </c>
      <c r="O728">
        <v>2011</v>
      </c>
      <c r="R728">
        <v>30</v>
      </c>
      <c r="T728" t="s">
        <v>1313</v>
      </c>
      <c r="U728" t="s">
        <v>1246</v>
      </c>
      <c r="V728" s="9" t="s">
        <v>1313</v>
      </c>
      <c r="W728">
        <v>70</v>
      </c>
      <c r="X728" s="9" t="s">
        <v>1291</v>
      </c>
      <c r="Y728" t="s">
        <v>1315</v>
      </c>
      <c r="Z728">
        <v>24</v>
      </c>
      <c r="AF728" s="14" t="s">
        <v>153</v>
      </c>
      <c r="AG728" t="s">
        <v>1314</v>
      </c>
      <c r="AH728">
        <v>10</v>
      </c>
      <c r="AI728" t="s">
        <v>153</v>
      </c>
      <c r="AJ728" s="15" t="s">
        <v>1148</v>
      </c>
      <c r="AK728" s="15">
        <v>0</v>
      </c>
      <c r="AL728" s="14" t="s">
        <v>1263</v>
      </c>
      <c r="AM728" s="14">
        <v>0</v>
      </c>
      <c r="AN728" s="15">
        <v>4</v>
      </c>
      <c r="AO728" s="15">
        <v>50</v>
      </c>
      <c r="AP728" s="15">
        <v>91</v>
      </c>
      <c r="AQ728" s="14" t="s">
        <v>1284</v>
      </c>
      <c r="AR728" s="15" t="s">
        <v>1316</v>
      </c>
    </row>
    <row r="729" spans="1:44" x14ac:dyDescent="0.2">
      <c r="A729" t="s">
        <v>1127</v>
      </c>
      <c r="B729" s="15" t="s">
        <v>1146</v>
      </c>
      <c r="C729" s="15" t="s">
        <v>1149</v>
      </c>
      <c r="D729" t="s">
        <v>1125</v>
      </c>
      <c r="E729" t="s">
        <v>1126</v>
      </c>
      <c r="F729" t="s">
        <v>1311</v>
      </c>
      <c r="G729" s="15" t="s">
        <v>1165</v>
      </c>
      <c r="H729" s="14" t="s">
        <v>1165</v>
      </c>
      <c r="I729" s="16" t="s">
        <v>1312</v>
      </c>
      <c r="M729" t="s">
        <v>1145</v>
      </c>
      <c r="O729">
        <v>2011</v>
      </c>
      <c r="R729">
        <v>30</v>
      </c>
      <c r="T729" t="s">
        <v>1313</v>
      </c>
      <c r="U729" t="s">
        <v>1246</v>
      </c>
      <c r="V729" s="9" t="s">
        <v>1313</v>
      </c>
      <c r="W729">
        <v>70</v>
      </c>
      <c r="X729" s="9" t="s">
        <v>1293</v>
      </c>
      <c r="Y729" t="s">
        <v>1315</v>
      </c>
      <c r="Z729">
        <v>24</v>
      </c>
      <c r="AF729" s="14" t="s">
        <v>153</v>
      </c>
      <c r="AG729" t="s">
        <v>1314</v>
      </c>
      <c r="AH729">
        <v>10</v>
      </c>
      <c r="AI729" t="s">
        <v>153</v>
      </c>
      <c r="AJ729" s="15" t="s">
        <v>1148</v>
      </c>
      <c r="AK729" s="15">
        <v>0</v>
      </c>
      <c r="AL729" s="14" t="s">
        <v>1263</v>
      </c>
      <c r="AM729" s="14">
        <v>0</v>
      </c>
      <c r="AN729" s="15">
        <v>4</v>
      </c>
      <c r="AO729" s="15">
        <v>50</v>
      </c>
      <c r="AP729" s="15">
        <v>91</v>
      </c>
      <c r="AQ729" s="14" t="s">
        <v>1284</v>
      </c>
      <c r="AR729" s="15" t="s">
        <v>1316</v>
      </c>
    </row>
    <row r="730" spans="1:44" x14ac:dyDescent="0.2">
      <c r="A730" t="s">
        <v>1127</v>
      </c>
      <c r="B730" s="15" t="s">
        <v>1146</v>
      </c>
      <c r="C730" s="15" t="s">
        <v>1149</v>
      </c>
      <c r="D730" t="s">
        <v>1125</v>
      </c>
      <c r="E730" t="s">
        <v>1126</v>
      </c>
      <c r="F730" t="s">
        <v>1311</v>
      </c>
      <c r="G730" s="15" t="s">
        <v>1165</v>
      </c>
      <c r="H730" s="14" t="s">
        <v>1165</v>
      </c>
      <c r="I730" s="16" t="s">
        <v>1312</v>
      </c>
      <c r="M730" t="s">
        <v>1145</v>
      </c>
      <c r="O730">
        <v>2011</v>
      </c>
      <c r="R730">
        <v>30</v>
      </c>
      <c r="T730" t="s">
        <v>1313</v>
      </c>
      <c r="U730" t="s">
        <v>1246</v>
      </c>
      <c r="V730" s="9" t="s">
        <v>1313</v>
      </c>
      <c r="W730">
        <v>70</v>
      </c>
      <c r="X730" s="9" t="s">
        <v>1291</v>
      </c>
      <c r="Y730" t="s">
        <v>1315</v>
      </c>
      <c r="Z730">
        <v>24</v>
      </c>
      <c r="AF730" s="14" t="s">
        <v>153</v>
      </c>
      <c r="AG730" t="s">
        <v>1314</v>
      </c>
      <c r="AH730">
        <v>10</v>
      </c>
      <c r="AI730" t="s">
        <v>153</v>
      </c>
      <c r="AJ730" s="15" t="s">
        <v>1148</v>
      </c>
      <c r="AK730" s="15">
        <v>0.33300000000000002</v>
      </c>
      <c r="AL730" s="14" t="s">
        <v>1263</v>
      </c>
      <c r="AM730" s="14">
        <v>0.65600000000000003</v>
      </c>
      <c r="AN730" s="15">
        <v>4</v>
      </c>
      <c r="AO730" s="15">
        <v>50</v>
      </c>
      <c r="AP730" s="15">
        <v>98</v>
      </c>
      <c r="AQ730" s="14" t="s">
        <v>1284</v>
      </c>
      <c r="AR730" s="15" t="s">
        <v>1316</v>
      </c>
    </row>
    <row r="731" spans="1:44" x14ac:dyDescent="0.2">
      <c r="A731" t="s">
        <v>1127</v>
      </c>
      <c r="B731" s="15" t="s">
        <v>1146</v>
      </c>
      <c r="C731" s="15" t="s">
        <v>1149</v>
      </c>
      <c r="D731" t="s">
        <v>1125</v>
      </c>
      <c r="E731" t="s">
        <v>1126</v>
      </c>
      <c r="F731" t="s">
        <v>1311</v>
      </c>
      <c r="G731" s="15" t="s">
        <v>1165</v>
      </c>
      <c r="H731" s="14" t="s">
        <v>1165</v>
      </c>
      <c r="I731" s="16" t="s">
        <v>1312</v>
      </c>
      <c r="M731" t="s">
        <v>1145</v>
      </c>
      <c r="O731">
        <v>2011</v>
      </c>
      <c r="R731">
        <v>30</v>
      </c>
      <c r="T731" t="s">
        <v>1313</v>
      </c>
      <c r="U731" t="s">
        <v>1246</v>
      </c>
      <c r="V731" s="9" t="s">
        <v>1313</v>
      </c>
      <c r="W731">
        <v>70</v>
      </c>
      <c r="X731" s="9" t="s">
        <v>1292</v>
      </c>
      <c r="Y731" t="s">
        <v>1315</v>
      </c>
      <c r="Z731">
        <v>24</v>
      </c>
      <c r="AF731" s="14" t="s">
        <v>153</v>
      </c>
      <c r="AG731" t="s">
        <v>1314</v>
      </c>
      <c r="AH731">
        <v>10</v>
      </c>
      <c r="AI731" t="s">
        <v>153</v>
      </c>
      <c r="AJ731" s="15" t="s">
        <v>1148</v>
      </c>
      <c r="AK731" s="14">
        <v>4.3330000000000002</v>
      </c>
      <c r="AL731" s="14" t="s">
        <v>1263</v>
      </c>
      <c r="AM731" s="14">
        <v>5.3330000000000002</v>
      </c>
      <c r="AN731" s="15">
        <v>4</v>
      </c>
      <c r="AO731" s="15">
        <v>50</v>
      </c>
      <c r="AP731" s="15">
        <v>98</v>
      </c>
      <c r="AQ731" s="14" t="s">
        <v>1284</v>
      </c>
      <c r="AR731" s="15" t="s">
        <v>1316</v>
      </c>
    </row>
    <row r="732" spans="1:44" x14ac:dyDescent="0.2">
      <c r="A732" t="s">
        <v>1127</v>
      </c>
      <c r="B732" s="15" t="s">
        <v>1146</v>
      </c>
      <c r="C732" s="15" t="s">
        <v>1149</v>
      </c>
      <c r="D732" t="s">
        <v>1125</v>
      </c>
      <c r="E732" t="s">
        <v>1126</v>
      </c>
      <c r="F732" t="s">
        <v>1311</v>
      </c>
      <c r="G732" s="15" t="s">
        <v>1165</v>
      </c>
      <c r="H732" s="14" t="s">
        <v>1165</v>
      </c>
      <c r="I732" s="16" t="s">
        <v>1312</v>
      </c>
      <c r="M732" t="s">
        <v>1145</v>
      </c>
      <c r="O732">
        <v>2011</v>
      </c>
      <c r="R732">
        <v>30</v>
      </c>
      <c r="T732" t="s">
        <v>1313</v>
      </c>
      <c r="U732" t="s">
        <v>1246</v>
      </c>
      <c r="V732" s="9" t="s">
        <v>1313</v>
      </c>
      <c r="W732">
        <v>70</v>
      </c>
      <c r="X732" s="9" t="s">
        <v>1201</v>
      </c>
      <c r="Y732" t="s">
        <v>1315</v>
      </c>
      <c r="Z732">
        <v>24</v>
      </c>
      <c r="AF732" s="14" t="s">
        <v>153</v>
      </c>
      <c r="AG732" t="s">
        <v>1314</v>
      </c>
      <c r="AH732">
        <v>10</v>
      </c>
      <c r="AI732" t="s">
        <v>153</v>
      </c>
      <c r="AJ732" s="15" t="s">
        <v>1148</v>
      </c>
      <c r="AK732" s="15">
        <v>8.3670000000000009</v>
      </c>
      <c r="AL732" s="14" t="s">
        <v>1263</v>
      </c>
      <c r="AM732" s="14">
        <v>4.0890000000000004</v>
      </c>
      <c r="AN732" s="15">
        <v>4</v>
      </c>
      <c r="AO732" s="15">
        <v>50</v>
      </c>
      <c r="AP732" s="15">
        <v>98</v>
      </c>
      <c r="AQ732" s="14" t="s">
        <v>1284</v>
      </c>
      <c r="AR732" s="15" t="s">
        <v>1316</v>
      </c>
    </row>
    <row r="733" spans="1:44" x14ac:dyDescent="0.2">
      <c r="A733" t="s">
        <v>1127</v>
      </c>
      <c r="B733" s="15" t="s">
        <v>1146</v>
      </c>
      <c r="C733" s="15" t="s">
        <v>1149</v>
      </c>
      <c r="D733" t="s">
        <v>1125</v>
      </c>
      <c r="E733" t="s">
        <v>1126</v>
      </c>
      <c r="F733" t="s">
        <v>1311</v>
      </c>
      <c r="G733" s="15" t="s">
        <v>1165</v>
      </c>
      <c r="H733" s="14" t="s">
        <v>1165</v>
      </c>
      <c r="I733" s="16" t="s">
        <v>1312</v>
      </c>
      <c r="M733" t="s">
        <v>1145</v>
      </c>
      <c r="O733">
        <v>2011</v>
      </c>
      <c r="R733">
        <v>30</v>
      </c>
      <c r="T733" t="s">
        <v>1313</v>
      </c>
      <c r="U733" t="s">
        <v>1246</v>
      </c>
      <c r="V733" s="9" t="s">
        <v>1313</v>
      </c>
      <c r="W733">
        <v>70</v>
      </c>
      <c r="X733" s="9" t="s">
        <v>1293</v>
      </c>
      <c r="Y733" t="s">
        <v>1315</v>
      </c>
      <c r="Z733">
        <v>24</v>
      </c>
      <c r="AF733" s="14" t="s">
        <v>153</v>
      </c>
      <c r="AG733" t="s">
        <v>1314</v>
      </c>
      <c r="AH733">
        <v>10</v>
      </c>
      <c r="AI733" t="s">
        <v>153</v>
      </c>
      <c r="AJ733" s="15" t="s">
        <v>1148</v>
      </c>
      <c r="AK733" s="15">
        <v>0</v>
      </c>
      <c r="AL733" s="14" t="s">
        <v>1263</v>
      </c>
      <c r="AM733" s="14">
        <v>0</v>
      </c>
      <c r="AN733" s="15">
        <v>4</v>
      </c>
      <c r="AO733" s="15">
        <v>50</v>
      </c>
      <c r="AP733" s="15">
        <v>98</v>
      </c>
      <c r="AQ733" s="14" t="s">
        <v>1284</v>
      </c>
      <c r="AR733" s="15" t="s">
        <v>1316</v>
      </c>
    </row>
    <row r="734" spans="1:44" x14ac:dyDescent="0.2">
      <c r="A734" t="s">
        <v>1127</v>
      </c>
      <c r="B734" s="15" t="s">
        <v>1146</v>
      </c>
      <c r="C734" s="15" t="s">
        <v>1149</v>
      </c>
      <c r="D734" t="s">
        <v>1125</v>
      </c>
      <c r="E734" t="s">
        <v>1126</v>
      </c>
      <c r="F734" t="s">
        <v>1311</v>
      </c>
      <c r="G734" s="15" t="s">
        <v>1165</v>
      </c>
      <c r="H734" s="14" t="s">
        <v>1165</v>
      </c>
      <c r="I734" s="16" t="s">
        <v>1312</v>
      </c>
      <c r="M734" t="s">
        <v>1145</v>
      </c>
      <c r="O734">
        <v>2011</v>
      </c>
      <c r="R734">
        <v>30</v>
      </c>
      <c r="T734" t="s">
        <v>1313</v>
      </c>
      <c r="U734" t="s">
        <v>1246</v>
      </c>
      <c r="V734" s="9" t="s">
        <v>1313</v>
      </c>
      <c r="W734">
        <v>70</v>
      </c>
      <c r="X734" s="9" t="s">
        <v>1291</v>
      </c>
      <c r="Y734" t="s">
        <v>1315</v>
      </c>
      <c r="Z734">
        <v>24</v>
      </c>
      <c r="AF734" s="14" t="s">
        <v>153</v>
      </c>
      <c r="AG734" t="s">
        <v>1314</v>
      </c>
      <c r="AH734">
        <v>10</v>
      </c>
      <c r="AI734" t="s">
        <v>153</v>
      </c>
      <c r="AJ734" s="15" t="s">
        <v>1148</v>
      </c>
      <c r="AK734" s="15">
        <v>1.522</v>
      </c>
      <c r="AL734" s="14" t="s">
        <v>1263</v>
      </c>
      <c r="AM734" s="14">
        <f>1.522-0.456</f>
        <v>1.0660000000000001</v>
      </c>
      <c r="AN734" s="15">
        <v>4</v>
      </c>
      <c r="AO734" s="15">
        <v>50</v>
      </c>
      <c r="AP734" s="15">
        <v>105</v>
      </c>
      <c r="AQ734" s="14" t="s">
        <v>1284</v>
      </c>
      <c r="AR734" s="15" t="s">
        <v>1316</v>
      </c>
    </row>
    <row r="735" spans="1:44" x14ac:dyDescent="0.2">
      <c r="A735" t="s">
        <v>1127</v>
      </c>
      <c r="B735" s="15" t="s">
        <v>1146</v>
      </c>
      <c r="C735" s="15" t="s">
        <v>1149</v>
      </c>
      <c r="D735" t="s">
        <v>1125</v>
      </c>
      <c r="E735" t="s">
        <v>1126</v>
      </c>
      <c r="F735" t="s">
        <v>1311</v>
      </c>
      <c r="G735" s="15" t="s">
        <v>1165</v>
      </c>
      <c r="H735" s="14" t="s">
        <v>1165</v>
      </c>
      <c r="I735" s="16" t="s">
        <v>1312</v>
      </c>
      <c r="M735" t="s">
        <v>1145</v>
      </c>
      <c r="O735">
        <v>2011</v>
      </c>
      <c r="R735">
        <v>30</v>
      </c>
      <c r="T735" t="s">
        <v>1313</v>
      </c>
      <c r="U735" t="s">
        <v>1246</v>
      </c>
      <c r="V735" s="9" t="s">
        <v>1313</v>
      </c>
      <c r="W735">
        <v>70</v>
      </c>
      <c r="X735" s="9" t="s">
        <v>1292</v>
      </c>
      <c r="Y735" t="s">
        <v>1315</v>
      </c>
      <c r="Z735">
        <v>24</v>
      </c>
      <c r="AF735" s="14" t="s">
        <v>153</v>
      </c>
      <c r="AG735" t="s">
        <v>1314</v>
      </c>
      <c r="AH735">
        <v>10</v>
      </c>
      <c r="AI735" t="s">
        <v>153</v>
      </c>
      <c r="AJ735" s="15" t="s">
        <v>1148</v>
      </c>
      <c r="AK735" s="15">
        <v>4.4560000000000004</v>
      </c>
      <c r="AL735" s="14" t="s">
        <v>1263</v>
      </c>
      <c r="AM735" s="14">
        <v>5.3330000000000002</v>
      </c>
      <c r="AN735" s="15">
        <v>4</v>
      </c>
      <c r="AO735" s="15">
        <v>50</v>
      </c>
      <c r="AP735" s="15">
        <v>105</v>
      </c>
      <c r="AQ735" s="14" t="s">
        <v>1284</v>
      </c>
      <c r="AR735" s="15" t="s">
        <v>1316</v>
      </c>
    </row>
    <row r="736" spans="1:44" x14ac:dyDescent="0.2">
      <c r="A736" t="s">
        <v>1127</v>
      </c>
      <c r="B736" s="15" t="s">
        <v>1146</v>
      </c>
      <c r="C736" s="15" t="s">
        <v>1149</v>
      </c>
      <c r="D736" t="s">
        <v>1125</v>
      </c>
      <c r="E736" t="s">
        <v>1126</v>
      </c>
      <c r="F736" t="s">
        <v>1311</v>
      </c>
      <c r="G736" s="15" t="s">
        <v>1165</v>
      </c>
      <c r="H736" s="14" t="s">
        <v>1165</v>
      </c>
      <c r="I736" s="16" t="s">
        <v>1312</v>
      </c>
      <c r="M736" t="s">
        <v>1145</v>
      </c>
      <c r="O736">
        <v>2011</v>
      </c>
      <c r="R736">
        <v>30</v>
      </c>
      <c r="T736" t="s">
        <v>1313</v>
      </c>
      <c r="U736" t="s">
        <v>1246</v>
      </c>
      <c r="V736" s="9" t="s">
        <v>1313</v>
      </c>
      <c r="W736">
        <v>70</v>
      </c>
      <c r="X736" s="9" t="s">
        <v>1201</v>
      </c>
      <c r="Y736" t="s">
        <v>1315</v>
      </c>
      <c r="Z736">
        <v>24</v>
      </c>
      <c r="AF736" s="14" t="s">
        <v>153</v>
      </c>
      <c r="AG736" t="s">
        <v>1314</v>
      </c>
      <c r="AH736">
        <v>10</v>
      </c>
      <c r="AI736" t="s">
        <v>153</v>
      </c>
      <c r="AJ736" s="15" t="s">
        <v>1148</v>
      </c>
      <c r="AK736" s="15">
        <v>8.3670000000000009</v>
      </c>
      <c r="AL736" s="14" t="s">
        <v>1263</v>
      </c>
      <c r="AM736" s="14">
        <v>4</v>
      </c>
      <c r="AN736" s="15">
        <v>4</v>
      </c>
      <c r="AO736" s="15">
        <v>50</v>
      </c>
      <c r="AP736" s="15">
        <v>105</v>
      </c>
      <c r="AQ736" s="14" t="s">
        <v>1284</v>
      </c>
      <c r="AR736" s="15" t="s">
        <v>1316</v>
      </c>
    </row>
    <row r="737" spans="1:44" x14ac:dyDescent="0.2">
      <c r="A737" t="s">
        <v>1127</v>
      </c>
      <c r="B737" s="15" t="s">
        <v>1146</v>
      </c>
      <c r="C737" s="15" t="s">
        <v>1149</v>
      </c>
      <c r="D737" t="s">
        <v>1125</v>
      </c>
      <c r="E737" t="s">
        <v>1126</v>
      </c>
      <c r="F737" t="s">
        <v>1311</v>
      </c>
      <c r="G737" s="15" t="s">
        <v>1165</v>
      </c>
      <c r="H737" s="14" t="s">
        <v>1165</v>
      </c>
      <c r="I737" s="16" t="s">
        <v>1312</v>
      </c>
      <c r="M737" t="s">
        <v>1145</v>
      </c>
      <c r="O737">
        <v>2011</v>
      </c>
      <c r="R737">
        <v>30</v>
      </c>
      <c r="T737" t="s">
        <v>1313</v>
      </c>
      <c r="U737" t="s">
        <v>1246</v>
      </c>
      <c r="V737" s="9" t="s">
        <v>1313</v>
      </c>
      <c r="W737">
        <v>70</v>
      </c>
      <c r="X737" s="9" t="s">
        <v>1293</v>
      </c>
      <c r="Y737" t="s">
        <v>1315</v>
      </c>
      <c r="Z737">
        <v>24</v>
      </c>
      <c r="AF737" s="14" t="s">
        <v>153</v>
      </c>
      <c r="AG737" t="s">
        <v>1314</v>
      </c>
      <c r="AH737">
        <v>10</v>
      </c>
      <c r="AI737" t="s">
        <v>153</v>
      </c>
      <c r="AJ737" s="15" t="s">
        <v>1148</v>
      </c>
      <c r="AK737" s="15">
        <v>0</v>
      </c>
      <c r="AL737" s="14" t="s">
        <v>1263</v>
      </c>
      <c r="AM737" s="14">
        <v>0</v>
      </c>
      <c r="AN737" s="15">
        <v>4</v>
      </c>
      <c r="AO737" s="15">
        <v>50</v>
      </c>
      <c r="AP737" s="15">
        <v>105</v>
      </c>
      <c r="AQ737" s="14" t="s">
        <v>1284</v>
      </c>
      <c r="AR737" s="15" t="s">
        <v>1316</v>
      </c>
    </row>
    <row r="738" spans="1:44" x14ac:dyDescent="0.2">
      <c r="A738" t="s">
        <v>1127</v>
      </c>
      <c r="B738" s="15" t="s">
        <v>1146</v>
      </c>
      <c r="C738" s="15" t="s">
        <v>1149</v>
      </c>
      <c r="D738" t="s">
        <v>1125</v>
      </c>
      <c r="E738" t="s">
        <v>1126</v>
      </c>
      <c r="F738" t="s">
        <v>1311</v>
      </c>
      <c r="G738" s="15" t="s">
        <v>1165</v>
      </c>
      <c r="H738" s="14" t="s">
        <v>1165</v>
      </c>
      <c r="I738" s="16" t="s">
        <v>1312</v>
      </c>
      <c r="M738" t="s">
        <v>1145</v>
      </c>
      <c r="O738">
        <v>2011</v>
      </c>
      <c r="R738">
        <v>30</v>
      </c>
      <c r="T738" t="s">
        <v>1313</v>
      </c>
      <c r="U738" t="s">
        <v>1246</v>
      </c>
      <c r="V738" s="9" t="s">
        <v>1313</v>
      </c>
      <c r="W738">
        <v>70</v>
      </c>
      <c r="X738" s="9" t="s">
        <v>1291</v>
      </c>
      <c r="Y738" t="s">
        <v>1315</v>
      </c>
      <c r="Z738">
        <v>24</v>
      </c>
      <c r="AF738" s="14" t="s">
        <v>153</v>
      </c>
      <c r="AG738" t="s">
        <v>1314</v>
      </c>
      <c r="AH738">
        <v>10</v>
      </c>
      <c r="AI738" t="s">
        <v>153</v>
      </c>
      <c r="AJ738" s="15" t="s">
        <v>1148</v>
      </c>
      <c r="AK738" s="15">
        <v>1.611</v>
      </c>
      <c r="AL738" s="14" t="s">
        <v>1263</v>
      </c>
      <c r="AM738" s="14">
        <v>0</v>
      </c>
      <c r="AN738" s="15">
        <v>4</v>
      </c>
      <c r="AO738" s="15">
        <v>50</v>
      </c>
      <c r="AP738" s="15">
        <v>112</v>
      </c>
      <c r="AQ738" s="14" t="s">
        <v>1284</v>
      </c>
      <c r="AR738" s="15" t="s">
        <v>1316</v>
      </c>
    </row>
    <row r="739" spans="1:44" x14ac:dyDescent="0.2">
      <c r="A739" t="s">
        <v>1127</v>
      </c>
      <c r="B739" s="15" t="s">
        <v>1146</v>
      </c>
      <c r="C739" s="15" t="s">
        <v>1149</v>
      </c>
      <c r="D739" t="s">
        <v>1125</v>
      </c>
      <c r="E739" t="s">
        <v>1126</v>
      </c>
      <c r="F739" t="s">
        <v>1311</v>
      </c>
      <c r="G739" s="15" t="s">
        <v>1165</v>
      </c>
      <c r="H739" s="14" t="s">
        <v>1165</v>
      </c>
      <c r="I739" s="16" t="s">
        <v>1312</v>
      </c>
      <c r="M739" t="s">
        <v>1145</v>
      </c>
      <c r="O739">
        <v>2011</v>
      </c>
      <c r="R739">
        <v>30</v>
      </c>
      <c r="T739" t="s">
        <v>1313</v>
      </c>
      <c r="U739" t="s">
        <v>1246</v>
      </c>
      <c r="V739" s="9" t="s">
        <v>1313</v>
      </c>
      <c r="W739">
        <v>70</v>
      </c>
      <c r="X739" s="9" t="s">
        <v>1292</v>
      </c>
      <c r="Y739" t="s">
        <v>1315</v>
      </c>
      <c r="Z739">
        <v>24</v>
      </c>
      <c r="AF739" s="14" t="s">
        <v>153</v>
      </c>
      <c r="AG739" t="s">
        <v>1314</v>
      </c>
      <c r="AH739">
        <v>10</v>
      </c>
      <c r="AI739" t="s">
        <v>153</v>
      </c>
      <c r="AJ739" s="15" t="s">
        <v>1148</v>
      </c>
      <c r="AK739" s="15">
        <v>4.4560000000000004</v>
      </c>
      <c r="AL739" s="14" t="s">
        <v>1263</v>
      </c>
      <c r="AM739" s="14">
        <v>0</v>
      </c>
      <c r="AN739" s="15">
        <v>4</v>
      </c>
      <c r="AO739" s="15">
        <v>50</v>
      </c>
      <c r="AP739" s="15">
        <v>112</v>
      </c>
      <c r="AQ739" s="14" t="s">
        <v>1284</v>
      </c>
      <c r="AR739" s="15" t="s">
        <v>1316</v>
      </c>
    </row>
    <row r="740" spans="1:44" x14ac:dyDescent="0.2">
      <c r="A740" t="s">
        <v>1127</v>
      </c>
      <c r="B740" s="15" t="s">
        <v>1146</v>
      </c>
      <c r="C740" s="15" t="s">
        <v>1149</v>
      </c>
      <c r="D740" t="s">
        <v>1125</v>
      </c>
      <c r="E740" t="s">
        <v>1126</v>
      </c>
      <c r="F740" t="s">
        <v>1311</v>
      </c>
      <c r="G740" s="15" t="s">
        <v>1165</v>
      </c>
      <c r="H740" s="14" t="s">
        <v>1165</v>
      </c>
      <c r="I740" s="16" t="s">
        <v>1312</v>
      </c>
      <c r="M740" t="s">
        <v>1145</v>
      </c>
      <c r="O740">
        <v>2011</v>
      </c>
      <c r="R740">
        <v>30</v>
      </c>
      <c r="T740" t="s">
        <v>1313</v>
      </c>
      <c r="U740" t="s">
        <v>1246</v>
      </c>
      <c r="V740" s="9" t="s">
        <v>1313</v>
      </c>
      <c r="W740">
        <v>70</v>
      </c>
      <c r="X740" s="9" t="s">
        <v>1201</v>
      </c>
      <c r="Y740" t="s">
        <v>1315</v>
      </c>
      <c r="Z740">
        <v>24</v>
      </c>
      <c r="AF740" s="14" t="s">
        <v>153</v>
      </c>
      <c r="AG740" t="s">
        <v>1314</v>
      </c>
      <c r="AH740">
        <v>10</v>
      </c>
      <c r="AI740" t="s">
        <v>153</v>
      </c>
      <c r="AJ740" s="15" t="s">
        <v>1148</v>
      </c>
      <c r="AK740" s="15">
        <v>9.5329999999999995</v>
      </c>
      <c r="AL740" s="14" t="s">
        <v>1263</v>
      </c>
      <c r="AM740" s="14">
        <v>4.0890000000000004</v>
      </c>
      <c r="AN740" s="15">
        <v>4</v>
      </c>
      <c r="AO740" s="15">
        <v>50</v>
      </c>
      <c r="AP740" s="15">
        <v>112</v>
      </c>
      <c r="AQ740" s="14" t="s">
        <v>1284</v>
      </c>
      <c r="AR740" s="15" t="s">
        <v>1316</v>
      </c>
    </row>
    <row r="741" spans="1:44" x14ac:dyDescent="0.2">
      <c r="A741" t="s">
        <v>1127</v>
      </c>
      <c r="B741" s="15" t="s">
        <v>1146</v>
      </c>
      <c r="C741" s="15" t="s">
        <v>1149</v>
      </c>
      <c r="D741" t="s">
        <v>1125</v>
      </c>
      <c r="E741" t="s">
        <v>1126</v>
      </c>
      <c r="F741" t="s">
        <v>1311</v>
      </c>
      <c r="G741" s="15" t="s">
        <v>1165</v>
      </c>
      <c r="H741" s="14" t="s">
        <v>1165</v>
      </c>
      <c r="I741" s="16" t="s">
        <v>1312</v>
      </c>
      <c r="M741" t="s">
        <v>1145</v>
      </c>
      <c r="O741">
        <v>2011</v>
      </c>
      <c r="R741">
        <v>30</v>
      </c>
      <c r="T741" t="s">
        <v>1313</v>
      </c>
      <c r="U741" t="s">
        <v>1246</v>
      </c>
      <c r="V741" s="9" t="s">
        <v>1313</v>
      </c>
      <c r="W741">
        <v>70</v>
      </c>
      <c r="X741" s="9" t="s">
        <v>1293</v>
      </c>
      <c r="Y741" t="s">
        <v>1315</v>
      </c>
      <c r="Z741">
        <v>24</v>
      </c>
      <c r="AF741" s="14" t="s">
        <v>153</v>
      </c>
      <c r="AG741" t="s">
        <v>1314</v>
      </c>
      <c r="AH741">
        <v>10</v>
      </c>
      <c r="AI741" t="s">
        <v>153</v>
      </c>
      <c r="AJ741" s="15" t="s">
        <v>1148</v>
      </c>
      <c r="AK741" s="15">
        <v>0</v>
      </c>
      <c r="AL741" s="14" t="s">
        <v>1263</v>
      </c>
      <c r="AM741" s="14">
        <v>0</v>
      </c>
      <c r="AN741" s="15">
        <v>4</v>
      </c>
      <c r="AO741" s="15">
        <v>50</v>
      </c>
      <c r="AP741" s="15">
        <v>112</v>
      </c>
      <c r="AQ741" s="14" t="s">
        <v>1284</v>
      </c>
      <c r="AR741" s="15" t="s">
        <v>1316</v>
      </c>
    </row>
    <row r="742" spans="1:44" x14ac:dyDescent="0.2">
      <c r="A742" t="s">
        <v>1127</v>
      </c>
      <c r="B742" s="15" t="s">
        <v>1146</v>
      </c>
      <c r="C742" s="15" t="s">
        <v>1149</v>
      </c>
      <c r="D742" t="s">
        <v>1125</v>
      </c>
      <c r="E742" t="s">
        <v>1126</v>
      </c>
      <c r="F742" t="s">
        <v>1311</v>
      </c>
      <c r="G742" s="15" t="s">
        <v>1165</v>
      </c>
      <c r="H742" s="14" t="s">
        <v>1165</v>
      </c>
      <c r="I742" s="16" t="s">
        <v>1312</v>
      </c>
      <c r="M742" t="s">
        <v>1145</v>
      </c>
      <c r="O742">
        <v>2011</v>
      </c>
      <c r="R742">
        <v>30</v>
      </c>
      <c r="T742" t="s">
        <v>1313</v>
      </c>
      <c r="U742" t="s">
        <v>1246</v>
      </c>
      <c r="V742" s="9" t="s">
        <v>1313</v>
      </c>
      <c r="W742">
        <v>70</v>
      </c>
      <c r="X742" s="9" t="s">
        <v>1291</v>
      </c>
      <c r="Y742" t="s">
        <v>1315</v>
      </c>
      <c r="Z742">
        <v>24</v>
      </c>
      <c r="AF742" s="14" t="s">
        <v>153</v>
      </c>
      <c r="AG742" t="s">
        <v>1314</v>
      </c>
      <c r="AH742">
        <v>10</v>
      </c>
      <c r="AI742" t="s">
        <v>153</v>
      </c>
      <c r="AJ742" s="15" t="s">
        <v>1148</v>
      </c>
      <c r="AK742" s="15">
        <v>1.522</v>
      </c>
      <c r="AL742" s="14" t="s">
        <v>1263</v>
      </c>
      <c r="AM742" s="14">
        <v>0</v>
      </c>
      <c r="AN742" s="15">
        <v>4</v>
      </c>
      <c r="AO742" s="15">
        <v>50</v>
      </c>
      <c r="AP742" s="15">
        <v>119</v>
      </c>
      <c r="AQ742" s="14" t="s">
        <v>1284</v>
      </c>
      <c r="AR742" s="15" t="s">
        <v>1316</v>
      </c>
    </row>
    <row r="743" spans="1:44" x14ac:dyDescent="0.2">
      <c r="A743" t="s">
        <v>1127</v>
      </c>
      <c r="B743" s="15" t="s">
        <v>1146</v>
      </c>
      <c r="C743" s="15" t="s">
        <v>1149</v>
      </c>
      <c r="D743" t="s">
        <v>1125</v>
      </c>
      <c r="E743" t="s">
        <v>1126</v>
      </c>
      <c r="F743" t="s">
        <v>1311</v>
      </c>
      <c r="G743" s="15" t="s">
        <v>1165</v>
      </c>
      <c r="H743" s="14" t="s">
        <v>1165</v>
      </c>
      <c r="I743" s="16" t="s">
        <v>1312</v>
      </c>
      <c r="M743" t="s">
        <v>1145</v>
      </c>
      <c r="O743">
        <v>2011</v>
      </c>
      <c r="R743">
        <v>30</v>
      </c>
      <c r="T743" t="s">
        <v>1313</v>
      </c>
      <c r="U743" t="s">
        <v>1246</v>
      </c>
      <c r="V743" s="9" t="s">
        <v>1313</v>
      </c>
      <c r="W743">
        <v>70</v>
      </c>
      <c r="X743" s="9" t="s">
        <v>1292</v>
      </c>
      <c r="Y743" t="s">
        <v>1315</v>
      </c>
      <c r="Z743">
        <v>24</v>
      </c>
      <c r="AF743" s="14" t="s">
        <v>153</v>
      </c>
      <c r="AG743" t="s">
        <v>1314</v>
      </c>
      <c r="AH743">
        <v>10</v>
      </c>
      <c r="AI743" t="s">
        <v>153</v>
      </c>
      <c r="AJ743" s="15" t="s">
        <v>1148</v>
      </c>
      <c r="AK743" s="15">
        <v>4.4560000000000004</v>
      </c>
      <c r="AL743" s="14" t="s">
        <v>1263</v>
      </c>
      <c r="AM743" s="14">
        <v>6.2220000000000004</v>
      </c>
      <c r="AN743" s="15">
        <v>4</v>
      </c>
      <c r="AO743" s="15">
        <v>50</v>
      </c>
      <c r="AP743" s="15">
        <v>119</v>
      </c>
      <c r="AQ743" s="14" t="s">
        <v>1284</v>
      </c>
      <c r="AR743" s="15" t="s">
        <v>1316</v>
      </c>
    </row>
    <row r="744" spans="1:44" x14ac:dyDescent="0.2">
      <c r="A744" t="s">
        <v>1127</v>
      </c>
      <c r="B744" s="15" t="s">
        <v>1146</v>
      </c>
      <c r="C744" s="15" t="s">
        <v>1149</v>
      </c>
      <c r="D744" t="s">
        <v>1125</v>
      </c>
      <c r="E744" t="s">
        <v>1126</v>
      </c>
      <c r="F744" t="s">
        <v>1311</v>
      </c>
      <c r="G744" s="15" t="s">
        <v>1165</v>
      </c>
      <c r="H744" s="14" t="s">
        <v>1165</v>
      </c>
      <c r="I744" s="16" t="s">
        <v>1312</v>
      </c>
      <c r="M744" t="s">
        <v>1145</v>
      </c>
      <c r="O744">
        <v>2011</v>
      </c>
      <c r="R744">
        <v>30</v>
      </c>
      <c r="T744" t="s">
        <v>1313</v>
      </c>
      <c r="U744" t="s">
        <v>1246</v>
      </c>
      <c r="V744" s="9" t="s">
        <v>1313</v>
      </c>
      <c r="W744">
        <v>70</v>
      </c>
      <c r="X744" s="9" t="s">
        <v>1201</v>
      </c>
      <c r="Y744" t="s">
        <v>1315</v>
      </c>
      <c r="Z744">
        <v>24</v>
      </c>
      <c r="AF744" s="14" t="s">
        <v>153</v>
      </c>
      <c r="AG744" t="s">
        <v>1314</v>
      </c>
      <c r="AH744">
        <v>10</v>
      </c>
      <c r="AI744" t="s">
        <v>153</v>
      </c>
      <c r="AJ744" s="15" t="s">
        <v>1148</v>
      </c>
      <c r="AK744" s="15">
        <v>9.7889999999999997</v>
      </c>
      <c r="AL744" s="14" t="s">
        <v>1263</v>
      </c>
      <c r="AM744" s="14">
        <v>3.911</v>
      </c>
      <c r="AN744" s="15">
        <v>4</v>
      </c>
      <c r="AO744" s="15">
        <v>50</v>
      </c>
      <c r="AP744" s="15">
        <v>119</v>
      </c>
      <c r="AQ744" s="14" t="s">
        <v>1284</v>
      </c>
      <c r="AR744" s="15" t="s">
        <v>1316</v>
      </c>
    </row>
    <row r="745" spans="1:44" x14ac:dyDescent="0.2">
      <c r="A745" t="s">
        <v>1127</v>
      </c>
      <c r="B745" s="15" t="s">
        <v>1146</v>
      </c>
      <c r="C745" s="15" t="s">
        <v>1149</v>
      </c>
      <c r="D745" t="s">
        <v>1125</v>
      </c>
      <c r="E745" t="s">
        <v>1126</v>
      </c>
      <c r="F745" t="s">
        <v>1311</v>
      </c>
      <c r="G745" s="15" t="s">
        <v>1165</v>
      </c>
      <c r="H745" s="14" t="s">
        <v>1165</v>
      </c>
      <c r="I745" s="16" t="s">
        <v>1312</v>
      </c>
      <c r="M745" t="s">
        <v>1145</v>
      </c>
      <c r="O745">
        <v>2011</v>
      </c>
      <c r="R745">
        <v>30</v>
      </c>
      <c r="T745" t="s">
        <v>1313</v>
      </c>
      <c r="U745" t="s">
        <v>1246</v>
      </c>
      <c r="V745" s="9" t="s">
        <v>1313</v>
      </c>
      <c r="W745">
        <v>70</v>
      </c>
      <c r="X745" s="9" t="s">
        <v>1293</v>
      </c>
      <c r="Y745" t="s">
        <v>1315</v>
      </c>
      <c r="Z745">
        <v>24</v>
      </c>
      <c r="AF745" s="14" t="s">
        <v>153</v>
      </c>
      <c r="AG745" t="s">
        <v>1314</v>
      </c>
      <c r="AH745">
        <v>10</v>
      </c>
      <c r="AI745" t="s">
        <v>153</v>
      </c>
      <c r="AJ745" s="15" t="s">
        <v>1148</v>
      </c>
      <c r="AK745" s="15">
        <v>0</v>
      </c>
      <c r="AL745" s="14" t="s">
        <v>1263</v>
      </c>
      <c r="AM745" s="14">
        <v>0</v>
      </c>
      <c r="AN745" s="15">
        <v>4</v>
      </c>
      <c r="AO745" s="15">
        <v>50</v>
      </c>
      <c r="AP745" s="15">
        <v>119</v>
      </c>
      <c r="AQ745" s="14" t="s">
        <v>1284</v>
      </c>
      <c r="AR745" s="15" t="s">
        <v>1316</v>
      </c>
    </row>
    <row r="746" spans="1:44" x14ac:dyDescent="0.2">
      <c r="A746" t="s">
        <v>1127</v>
      </c>
      <c r="B746" s="15" t="s">
        <v>1146</v>
      </c>
      <c r="C746" s="15" t="s">
        <v>1149</v>
      </c>
      <c r="D746" t="s">
        <v>1125</v>
      </c>
      <c r="E746" t="s">
        <v>1126</v>
      </c>
      <c r="F746" t="s">
        <v>1311</v>
      </c>
      <c r="G746" s="15" t="s">
        <v>1165</v>
      </c>
      <c r="H746" s="14" t="s">
        <v>1165</v>
      </c>
      <c r="I746" s="16" t="s">
        <v>1312</v>
      </c>
      <c r="M746" t="s">
        <v>1145</v>
      </c>
      <c r="O746">
        <v>2011</v>
      </c>
      <c r="R746">
        <v>30</v>
      </c>
      <c r="T746" t="s">
        <v>1313</v>
      </c>
      <c r="U746" t="s">
        <v>1246</v>
      </c>
      <c r="V746" s="9" t="s">
        <v>1313</v>
      </c>
      <c r="W746">
        <v>70</v>
      </c>
      <c r="X746" s="9" t="s">
        <v>1291</v>
      </c>
      <c r="Y746" t="s">
        <v>1315</v>
      </c>
      <c r="Z746">
        <v>24</v>
      </c>
      <c r="AF746" s="14" t="s">
        <v>153</v>
      </c>
      <c r="AG746" t="s">
        <v>1314</v>
      </c>
      <c r="AH746">
        <v>10</v>
      </c>
      <c r="AI746" t="s">
        <v>153</v>
      </c>
      <c r="AJ746" s="15" t="s">
        <v>1148</v>
      </c>
      <c r="AK746" s="15">
        <v>1.522</v>
      </c>
      <c r="AL746" s="14" t="s">
        <v>1263</v>
      </c>
      <c r="AM746" s="14">
        <v>0</v>
      </c>
      <c r="AN746" s="15">
        <v>4</v>
      </c>
      <c r="AO746" s="15">
        <v>50</v>
      </c>
      <c r="AP746" s="15">
        <f>AP745+7</f>
        <v>126</v>
      </c>
      <c r="AQ746" s="14" t="s">
        <v>1284</v>
      </c>
      <c r="AR746" s="15" t="s">
        <v>1316</v>
      </c>
    </row>
    <row r="747" spans="1:44" x14ac:dyDescent="0.2">
      <c r="A747" t="s">
        <v>1127</v>
      </c>
      <c r="B747" s="15" t="s">
        <v>1146</v>
      </c>
      <c r="C747" s="15" t="s">
        <v>1149</v>
      </c>
      <c r="D747" t="s">
        <v>1125</v>
      </c>
      <c r="E747" t="s">
        <v>1126</v>
      </c>
      <c r="F747" t="s">
        <v>1311</v>
      </c>
      <c r="G747" s="15" t="s">
        <v>1165</v>
      </c>
      <c r="H747" s="14" t="s">
        <v>1165</v>
      </c>
      <c r="I747" s="16" t="s">
        <v>1312</v>
      </c>
      <c r="M747" t="s">
        <v>1145</v>
      </c>
      <c r="O747">
        <v>2011</v>
      </c>
      <c r="R747">
        <v>30</v>
      </c>
      <c r="T747" t="s">
        <v>1313</v>
      </c>
      <c r="U747" t="s">
        <v>1246</v>
      </c>
      <c r="V747" s="9" t="s">
        <v>1313</v>
      </c>
      <c r="W747">
        <v>70</v>
      </c>
      <c r="X747" s="9" t="s">
        <v>1292</v>
      </c>
      <c r="Y747" t="s">
        <v>1315</v>
      </c>
      <c r="Z747">
        <v>24</v>
      </c>
      <c r="AF747" s="14" t="s">
        <v>153</v>
      </c>
      <c r="AG747" t="s">
        <v>1314</v>
      </c>
      <c r="AH747">
        <v>10</v>
      </c>
      <c r="AI747" t="s">
        <v>153</v>
      </c>
      <c r="AJ747" s="15" t="s">
        <v>1148</v>
      </c>
      <c r="AK747" s="15">
        <v>4.5439999999999996</v>
      </c>
      <c r="AL747" s="14" t="s">
        <v>1263</v>
      </c>
      <c r="AM747" s="14">
        <v>6.3109999999999999</v>
      </c>
      <c r="AN747" s="15">
        <v>4</v>
      </c>
      <c r="AO747" s="15">
        <v>50</v>
      </c>
      <c r="AP747" s="15">
        <v>126</v>
      </c>
      <c r="AQ747" s="14" t="s">
        <v>1284</v>
      </c>
      <c r="AR747" s="15" t="s">
        <v>1316</v>
      </c>
    </row>
    <row r="748" spans="1:44" x14ac:dyDescent="0.2">
      <c r="A748" t="s">
        <v>1127</v>
      </c>
      <c r="B748" s="15" t="s">
        <v>1146</v>
      </c>
      <c r="C748" s="15" t="s">
        <v>1149</v>
      </c>
      <c r="D748" t="s">
        <v>1125</v>
      </c>
      <c r="E748" t="s">
        <v>1126</v>
      </c>
      <c r="F748" t="s">
        <v>1311</v>
      </c>
      <c r="G748" s="15" t="s">
        <v>1165</v>
      </c>
      <c r="H748" s="14" t="s">
        <v>1165</v>
      </c>
      <c r="I748" s="16" t="s">
        <v>1312</v>
      </c>
      <c r="M748" t="s">
        <v>1145</v>
      </c>
      <c r="O748">
        <v>2011</v>
      </c>
      <c r="R748">
        <v>30</v>
      </c>
      <c r="T748" t="s">
        <v>1313</v>
      </c>
      <c r="U748" t="s">
        <v>1246</v>
      </c>
      <c r="V748" s="9" t="s">
        <v>1313</v>
      </c>
      <c r="W748">
        <v>70</v>
      </c>
      <c r="X748" s="9" t="s">
        <v>1201</v>
      </c>
      <c r="Y748" t="s">
        <v>1315</v>
      </c>
      <c r="Z748">
        <v>24</v>
      </c>
      <c r="AF748" s="14" t="s">
        <v>153</v>
      </c>
      <c r="AG748" t="s">
        <v>1314</v>
      </c>
      <c r="AH748">
        <v>10</v>
      </c>
      <c r="AI748" t="s">
        <v>153</v>
      </c>
      <c r="AJ748" s="15" t="s">
        <v>1148</v>
      </c>
      <c r="AK748" s="15">
        <v>10.055999999999999</v>
      </c>
      <c r="AL748" s="14" t="s">
        <v>1263</v>
      </c>
      <c r="AM748" s="14">
        <v>4</v>
      </c>
      <c r="AN748" s="15">
        <v>4</v>
      </c>
      <c r="AO748" s="15">
        <v>50</v>
      </c>
      <c r="AP748" s="15">
        <v>126</v>
      </c>
      <c r="AQ748" s="14" t="s">
        <v>1284</v>
      </c>
      <c r="AR748" s="15" t="s">
        <v>1316</v>
      </c>
    </row>
    <row r="749" spans="1:44" x14ac:dyDescent="0.2">
      <c r="A749" t="s">
        <v>1127</v>
      </c>
      <c r="B749" s="15" t="s">
        <v>1146</v>
      </c>
      <c r="C749" s="15" t="s">
        <v>1149</v>
      </c>
      <c r="D749" t="s">
        <v>1125</v>
      </c>
      <c r="E749" t="s">
        <v>1126</v>
      </c>
      <c r="F749" t="s">
        <v>1311</v>
      </c>
      <c r="G749" s="15" t="s">
        <v>1165</v>
      </c>
      <c r="H749" s="14" t="s">
        <v>1165</v>
      </c>
      <c r="I749" s="16" t="s">
        <v>1312</v>
      </c>
      <c r="M749" t="s">
        <v>1145</v>
      </c>
      <c r="O749">
        <v>2011</v>
      </c>
      <c r="R749">
        <v>30</v>
      </c>
      <c r="T749" t="s">
        <v>1313</v>
      </c>
      <c r="U749" t="s">
        <v>1246</v>
      </c>
      <c r="V749" s="9" t="s">
        <v>1313</v>
      </c>
      <c r="W749">
        <v>70</v>
      </c>
      <c r="X749" s="9" t="s">
        <v>1293</v>
      </c>
      <c r="Y749" t="s">
        <v>1315</v>
      </c>
      <c r="Z749">
        <v>24</v>
      </c>
      <c r="AF749" s="14" t="s">
        <v>153</v>
      </c>
      <c r="AG749" t="s">
        <v>1314</v>
      </c>
      <c r="AH749">
        <v>10</v>
      </c>
      <c r="AI749" t="s">
        <v>153</v>
      </c>
      <c r="AJ749" s="15" t="s">
        <v>1148</v>
      </c>
      <c r="AK749" s="15">
        <v>0</v>
      </c>
      <c r="AL749" s="14" t="s">
        <v>1263</v>
      </c>
      <c r="AM749" s="14">
        <v>0</v>
      </c>
      <c r="AN749" s="15">
        <v>4</v>
      </c>
      <c r="AO749" s="15">
        <v>50</v>
      </c>
      <c r="AP749" s="15">
        <v>126</v>
      </c>
      <c r="AQ749" s="14" t="s">
        <v>1284</v>
      </c>
      <c r="AR749" s="15" t="s">
        <v>1316</v>
      </c>
    </row>
    <row r="750" spans="1:44" x14ac:dyDescent="0.2">
      <c r="A750" t="s">
        <v>1127</v>
      </c>
      <c r="B750" s="15" t="s">
        <v>1146</v>
      </c>
      <c r="C750" s="15" t="s">
        <v>1149</v>
      </c>
      <c r="D750" t="s">
        <v>1125</v>
      </c>
      <c r="E750" t="s">
        <v>1126</v>
      </c>
      <c r="F750" t="s">
        <v>1311</v>
      </c>
      <c r="G750" s="15" t="s">
        <v>1165</v>
      </c>
      <c r="H750" s="14" t="s">
        <v>1165</v>
      </c>
      <c r="I750" s="16" t="s">
        <v>1312</v>
      </c>
      <c r="M750" t="s">
        <v>1145</v>
      </c>
      <c r="O750">
        <v>2011</v>
      </c>
      <c r="R750">
        <v>30</v>
      </c>
      <c r="T750" t="s">
        <v>1313</v>
      </c>
      <c r="U750" t="s">
        <v>1246</v>
      </c>
      <c r="V750" s="9" t="s">
        <v>1313</v>
      </c>
      <c r="W750">
        <v>70</v>
      </c>
      <c r="X750" s="9" t="s">
        <v>1291</v>
      </c>
      <c r="Y750" t="s">
        <v>1315</v>
      </c>
      <c r="Z750">
        <v>24</v>
      </c>
      <c r="AF750" s="14" t="s">
        <v>153</v>
      </c>
      <c r="AG750" t="s">
        <v>1314</v>
      </c>
      <c r="AH750">
        <v>10</v>
      </c>
      <c r="AI750" t="s">
        <v>153</v>
      </c>
      <c r="AJ750" s="15" t="s">
        <v>1148</v>
      </c>
      <c r="AK750" s="15">
        <v>2.2000000000000002</v>
      </c>
      <c r="AL750" s="14" t="s">
        <v>1263</v>
      </c>
      <c r="AM750" s="14"/>
      <c r="AN750" s="15">
        <v>4</v>
      </c>
      <c r="AO750" s="15">
        <v>50</v>
      </c>
      <c r="AP750" s="15">
        <v>133</v>
      </c>
      <c r="AQ750" s="14" t="s">
        <v>1284</v>
      </c>
      <c r="AR750" s="15" t="s">
        <v>1316</v>
      </c>
    </row>
    <row r="751" spans="1:44" x14ac:dyDescent="0.2">
      <c r="A751" t="s">
        <v>1127</v>
      </c>
      <c r="B751" s="15" t="s">
        <v>1146</v>
      </c>
      <c r="C751" s="15" t="s">
        <v>1149</v>
      </c>
      <c r="D751" t="s">
        <v>1125</v>
      </c>
      <c r="E751" t="s">
        <v>1126</v>
      </c>
      <c r="F751" t="s">
        <v>1311</v>
      </c>
      <c r="G751" s="15" t="s">
        <v>1165</v>
      </c>
      <c r="H751" s="14" t="s">
        <v>1165</v>
      </c>
      <c r="I751" s="16" t="s">
        <v>1312</v>
      </c>
      <c r="M751" t="s">
        <v>1145</v>
      </c>
      <c r="O751">
        <v>2011</v>
      </c>
      <c r="R751">
        <v>30</v>
      </c>
      <c r="T751" t="s">
        <v>1313</v>
      </c>
      <c r="U751" t="s">
        <v>1246</v>
      </c>
      <c r="V751" s="9" t="s">
        <v>1313</v>
      </c>
      <c r="W751">
        <v>70</v>
      </c>
      <c r="X751" s="9" t="s">
        <v>1292</v>
      </c>
      <c r="Y751" t="s">
        <v>1315</v>
      </c>
      <c r="Z751">
        <v>24</v>
      </c>
      <c r="AF751" s="14" t="s">
        <v>153</v>
      </c>
      <c r="AG751" t="s">
        <v>1314</v>
      </c>
      <c r="AH751">
        <v>10</v>
      </c>
      <c r="AI751" t="s">
        <v>153</v>
      </c>
      <c r="AJ751" s="15" t="s">
        <v>1148</v>
      </c>
      <c r="AK751" s="15">
        <v>4.5439999999999996</v>
      </c>
      <c r="AL751" s="14" t="s">
        <v>1263</v>
      </c>
      <c r="AM751" s="14"/>
      <c r="AN751" s="15">
        <v>4</v>
      </c>
      <c r="AO751" s="15">
        <v>50</v>
      </c>
      <c r="AP751" s="15">
        <v>133</v>
      </c>
      <c r="AQ751" s="14" t="s">
        <v>1284</v>
      </c>
      <c r="AR751" s="15" t="s">
        <v>1316</v>
      </c>
    </row>
    <row r="752" spans="1:44" x14ac:dyDescent="0.2">
      <c r="A752" t="s">
        <v>1127</v>
      </c>
      <c r="B752" s="15" t="s">
        <v>1146</v>
      </c>
      <c r="C752" s="15" t="s">
        <v>1149</v>
      </c>
      <c r="D752" t="s">
        <v>1125</v>
      </c>
      <c r="E752" t="s">
        <v>1126</v>
      </c>
      <c r="F752" t="s">
        <v>1311</v>
      </c>
      <c r="G752" s="15" t="s">
        <v>1165</v>
      </c>
      <c r="H752" s="14" t="s">
        <v>1165</v>
      </c>
      <c r="I752" s="16" t="s">
        <v>1312</v>
      </c>
      <c r="M752" t="s">
        <v>1145</v>
      </c>
      <c r="O752">
        <v>2011</v>
      </c>
      <c r="R752">
        <v>30</v>
      </c>
      <c r="T752" t="s">
        <v>1313</v>
      </c>
      <c r="U752" t="s">
        <v>1246</v>
      </c>
      <c r="V752" s="9" t="s">
        <v>1313</v>
      </c>
      <c r="W752">
        <v>70</v>
      </c>
      <c r="X752" s="9" t="s">
        <v>1201</v>
      </c>
      <c r="Y752" t="s">
        <v>1315</v>
      </c>
      <c r="Z752">
        <v>24</v>
      </c>
      <c r="AF752" s="14" t="s">
        <v>153</v>
      </c>
      <c r="AG752" t="s">
        <v>1314</v>
      </c>
      <c r="AH752">
        <v>10</v>
      </c>
      <c r="AI752" t="s">
        <v>153</v>
      </c>
      <c r="AJ752" s="15" t="s">
        <v>1148</v>
      </c>
      <c r="AK752" s="15">
        <v>10.5</v>
      </c>
      <c r="AL752" s="14" t="s">
        <v>1263</v>
      </c>
      <c r="AM752" s="14">
        <f>12.722-8.811</f>
        <v>3.9109999999999996</v>
      </c>
      <c r="AN752" s="15">
        <v>4</v>
      </c>
      <c r="AO752" s="15">
        <v>50</v>
      </c>
      <c r="AP752" s="15">
        <v>133</v>
      </c>
      <c r="AQ752" s="14" t="s">
        <v>1284</v>
      </c>
      <c r="AR752" s="15" t="s">
        <v>1316</v>
      </c>
    </row>
    <row r="753" spans="1:44" x14ac:dyDescent="0.2">
      <c r="A753" t="s">
        <v>1127</v>
      </c>
      <c r="B753" s="15" t="s">
        <v>1146</v>
      </c>
      <c r="C753" s="15" t="s">
        <v>1149</v>
      </c>
      <c r="D753" t="s">
        <v>1125</v>
      </c>
      <c r="E753" t="s">
        <v>1126</v>
      </c>
      <c r="F753" t="s">
        <v>1311</v>
      </c>
      <c r="G753" s="15" t="s">
        <v>1165</v>
      </c>
      <c r="H753" s="14" t="s">
        <v>1165</v>
      </c>
      <c r="I753" s="16" t="s">
        <v>1312</v>
      </c>
      <c r="M753" t="s">
        <v>1145</v>
      </c>
      <c r="O753">
        <v>2011</v>
      </c>
      <c r="R753">
        <v>30</v>
      </c>
      <c r="T753" t="s">
        <v>1313</v>
      </c>
      <c r="U753" t="s">
        <v>1246</v>
      </c>
      <c r="V753" s="9" t="s">
        <v>1313</v>
      </c>
      <c r="W753">
        <v>70</v>
      </c>
      <c r="X753" s="9" t="s">
        <v>1293</v>
      </c>
      <c r="Y753" t="s">
        <v>1315</v>
      </c>
      <c r="Z753">
        <v>24</v>
      </c>
      <c r="AF753" s="14" t="s">
        <v>153</v>
      </c>
      <c r="AG753" t="s">
        <v>1314</v>
      </c>
      <c r="AH753">
        <v>10</v>
      </c>
      <c r="AI753" t="s">
        <v>153</v>
      </c>
      <c r="AJ753" s="15" t="s">
        <v>1148</v>
      </c>
      <c r="AK753" s="15">
        <v>0</v>
      </c>
      <c r="AL753" s="14" t="s">
        <v>1263</v>
      </c>
      <c r="AM753" s="14">
        <v>0</v>
      </c>
      <c r="AN753" s="15">
        <v>4</v>
      </c>
      <c r="AO753" s="15">
        <v>50</v>
      </c>
      <c r="AP753" s="15">
        <v>133</v>
      </c>
      <c r="AQ753" s="14" t="s">
        <v>1284</v>
      </c>
      <c r="AR753" s="15" t="s">
        <v>1316</v>
      </c>
    </row>
    <row r="754" spans="1:44" x14ac:dyDescent="0.2">
      <c r="A754" t="s">
        <v>1127</v>
      </c>
      <c r="B754" s="15" t="s">
        <v>1146</v>
      </c>
      <c r="C754" s="15" t="s">
        <v>1149</v>
      </c>
      <c r="D754" t="s">
        <v>1125</v>
      </c>
      <c r="E754" t="s">
        <v>1126</v>
      </c>
      <c r="F754" t="s">
        <v>1311</v>
      </c>
      <c r="G754" s="15" t="s">
        <v>1165</v>
      </c>
      <c r="H754" s="14" t="s">
        <v>1165</v>
      </c>
      <c r="I754" s="16" t="s">
        <v>1312</v>
      </c>
      <c r="M754" t="s">
        <v>1145</v>
      </c>
      <c r="O754">
        <v>2011</v>
      </c>
      <c r="R754">
        <v>30</v>
      </c>
      <c r="T754" t="s">
        <v>1313</v>
      </c>
      <c r="U754" t="s">
        <v>1246</v>
      </c>
      <c r="V754" s="9" t="s">
        <v>1313</v>
      </c>
      <c r="W754">
        <v>70</v>
      </c>
      <c r="X754" s="9" t="s">
        <v>1291</v>
      </c>
      <c r="Y754" t="s">
        <v>1315</v>
      </c>
      <c r="Z754">
        <v>24</v>
      </c>
      <c r="AF754" s="14" t="s">
        <v>153</v>
      </c>
      <c r="AG754" t="s">
        <v>1314</v>
      </c>
      <c r="AH754">
        <v>10</v>
      </c>
      <c r="AI754" t="s">
        <v>153</v>
      </c>
      <c r="AJ754" s="15" t="s">
        <v>1148</v>
      </c>
      <c r="AK754" s="15">
        <v>2.2330000000000001</v>
      </c>
      <c r="AL754" s="14" t="s">
        <v>1263</v>
      </c>
      <c r="AM754" s="14"/>
      <c r="AN754" s="15">
        <v>4</v>
      </c>
      <c r="AO754" s="15">
        <v>50</v>
      </c>
      <c r="AP754" s="15">
        <v>140</v>
      </c>
      <c r="AQ754" s="14" t="s">
        <v>1284</v>
      </c>
      <c r="AR754" s="15" t="s">
        <v>1316</v>
      </c>
    </row>
    <row r="755" spans="1:44" x14ac:dyDescent="0.2">
      <c r="A755" t="s">
        <v>1127</v>
      </c>
      <c r="B755" s="15" t="s">
        <v>1146</v>
      </c>
      <c r="C755" s="15" t="s">
        <v>1149</v>
      </c>
      <c r="D755" t="s">
        <v>1125</v>
      </c>
      <c r="E755" t="s">
        <v>1126</v>
      </c>
      <c r="F755" t="s">
        <v>1311</v>
      </c>
      <c r="G755" s="15" t="s">
        <v>1165</v>
      </c>
      <c r="H755" s="14" t="s">
        <v>1165</v>
      </c>
      <c r="I755" s="16" t="s">
        <v>1312</v>
      </c>
      <c r="M755" t="s">
        <v>1145</v>
      </c>
      <c r="O755">
        <v>2011</v>
      </c>
      <c r="R755">
        <v>30</v>
      </c>
      <c r="T755" t="s">
        <v>1313</v>
      </c>
      <c r="U755" t="s">
        <v>1246</v>
      </c>
      <c r="V755" s="9" t="s">
        <v>1313</v>
      </c>
      <c r="W755">
        <v>70</v>
      </c>
      <c r="X755" s="9" t="s">
        <v>1292</v>
      </c>
      <c r="Y755" t="s">
        <v>1315</v>
      </c>
      <c r="Z755">
        <v>24</v>
      </c>
      <c r="AF755" s="14" t="s">
        <v>153</v>
      </c>
      <c r="AG755" t="s">
        <v>1314</v>
      </c>
      <c r="AH755">
        <v>10</v>
      </c>
      <c r="AI755" t="s">
        <v>153</v>
      </c>
      <c r="AJ755" s="15" t="s">
        <v>1148</v>
      </c>
      <c r="AK755" s="15">
        <v>4.5330000000000004</v>
      </c>
      <c r="AL755" s="14" t="s">
        <v>1263</v>
      </c>
      <c r="AN755" s="15">
        <v>4</v>
      </c>
      <c r="AO755" s="15">
        <v>50</v>
      </c>
      <c r="AP755" s="15">
        <v>140</v>
      </c>
      <c r="AQ755" s="14" t="s">
        <v>1284</v>
      </c>
      <c r="AR755" s="15" t="s">
        <v>1316</v>
      </c>
    </row>
    <row r="756" spans="1:44" x14ac:dyDescent="0.2">
      <c r="A756" t="s">
        <v>1127</v>
      </c>
      <c r="B756" s="15" t="s">
        <v>1146</v>
      </c>
      <c r="C756" s="15" t="s">
        <v>1149</v>
      </c>
      <c r="D756" t="s">
        <v>1125</v>
      </c>
      <c r="E756" t="s">
        <v>1126</v>
      </c>
      <c r="F756" t="s">
        <v>1311</v>
      </c>
      <c r="G756" s="15" t="s">
        <v>1165</v>
      </c>
      <c r="H756" s="14" t="s">
        <v>1165</v>
      </c>
      <c r="I756" s="16" t="s">
        <v>1312</v>
      </c>
      <c r="M756" t="s">
        <v>1145</v>
      </c>
      <c r="O756">
        <v>2011</v>
      </c>
      <c r="R756">
        <v>30</v>
      </c>
      <c r="T756" t="s">
        <v>1313</v>
      </c>
      <c r="U756" t="s">
        <v>1246</v>
      </c>
      <c r="V756" s="9" t="s">
        <v>1313</v>
      </c>
      <c r="W756">
        <v>70</v>
      </c>
      <c r="X756" s="9" t="s">
        <v>1201</v>
      </c>
      <c r="Y756" t="s">
        <v>1315</v>
      </c>
      <c r="Z756">
        <v>24</v>
      </c>
      <c r="AF756" s="14" t="s">
        <v>153</v>
      </c>
      <c r="AG756" t="s">
        <v>1314</v>
      </c>
      <c r="AH756">
        <v>10</v>
      </c>
      <c r="AI756" t="s">
        <v>153</v>
      </c>
      <c r="AJ756" s="15" t="s">
        <v>1148</v>
      </c>
      <c r="AK756" s="15">
        <v>10.5</v>
      </c>
      <c r="AL756" s="14" t="s">
        <v>1263</v>
      </c>
      <c r="AM756" s="14">
        <f>12.722-8.811</f>
        <v>3.9109999999999996</v>
      </c>
      <c r="AN756" s="15">
        <v>4</v>
      </c>
      <c r="AO756" s="15">
        <v>50</v>
      </c>
      <c r="AP756" s="15">
        <v>140</v>
      </c>
      <c r="AQ756" s="14" t="s">
        <v>1284</v>
      </c>
      <c r="AR756" s="15" t="s">
        <v>1316</v>
      </c>
    </row>
    <row r="757" spans="1:44" x14ac:dyDescent="0.2">
      <c r="A757" t="s">
        <v>1127</v>
      </c>
      <c r="B757" s="15" t="s">
        <v>1146</v>
      </c>
      <c r="C757" s="15" t="s">
        <v>1149</v>
      </c>
      <c r="D757" t="s">
        <v>1125</v>
      </c>
      <c r="E757" t="s">
        <v>1126</v>
      </c>
      <c r="F757" t="s">
        <v>1311</v>
      </c>
      <c r="G757" s="15" t="s">
        <v>1165</v>
      </c>
      <c r="H757" s="14" t="s">
        <v>1165</v>
      </c>
      <c r="I757" s="16" t="s">
        <v>1312</v>
      </c>
      <c r="M757" t="s">
        <v>1145</v>
      </c>
      <c r="O757">
        <v>2011</v>
      </c>
      <c r="R757">
        <v>30</v>
      </c>
      <c r="T757" t="s">
        <v>1313</v>
      </c>
      <c r="U757" t="s">
        <v>1246</v>
      </c>
      <c r="V757" s="9" t="s">
        <v>1313</v>
      </c>
      <c r="W757">
        <v>70</v>
      </c>
      <c r="X757" s="9" t="s">
        <v>1293</v>
      </c>
      <c r="Y757" t="s">
        <v>1315</v>
      </c>
      <c r="Z757">
        <v>24</v>
      </c>
      <c r="AF757" s="14" t="s">
        <v>153</v>
      </c>
      <c r="AG757" t="s">
        <v>1314</v>
      </c>
      <c r="AH757">
        <v>10</v>
      </c>
      <c r="AI757" t="s">
        <v>153</v>
      </c>
      <c r="AJ757" s="15" t="s">
        <v>1148</v>
      </c>
      <c r="AK757" s="15">
        <v>0</v>
      </c>
      <c r="AL757" s="14" t="s">
        <v>1263</v>
      </c>
      <c r="AM757" s="14">
        <v>0</v>
      </c>
      <c r="AN757" s="15">
        <v>4</v>
      </c>
      <c r="AO757" s="15">
        <v>50</v>
      </c>
      <c r="AP757" s="15">
        <v>140</v>
      </c>
      <c r="AQ757" s="14" t="s">
        <v>1284</v>
      </c>
      <c r="AR757" s="15" t="s">
        <v>1316</v>
      </c>
    </row>
    <row r="758" spans="1:44" x14ac:dyDescent="0.2">
      <c r="A758" t="s">
        <v>1127</v>
      </c>
      <c r="B758" s="15" t="s">
        <v>1146</v>
      </c>
      <c r="C758" s="15" t="s">
        <v>1149</v>
      </c>
      <c r="D758" t="s">
        <v>1125</v>
      </c>
      <c r="E758" t="s">
        <v>1126</v>
      </c>
      <c r="F758" t="s">
        <v>1311</v>
      </c>
      <c r="G758" s="15" t="s">
        <v>1165</v>
      </c>
      <c r="H758" s="14" t="s">
        <v>1165</v>
      </c>
      <c r="I758" s="16" t="s">
        <v>1312</v>
      </c>
      <c r="M758" t="s">
        <v>1145</v>
      </c>
      <c r="O758">
        <v>2011</v>
      </c>
      <c r="R758">
        <v>30</v>
      </c>
      <c r="T758" t="s">
        <v>1313</v>
      </c>
      <c r="U758" t="s">
        <v>1246</v>
      </c>
      <c r="V758" s="9" t="s">
        <v>1313</v>
      </c>
      <c r="W758">
        <v>70</v>
      </c>
      <c r="X758" s="9" t="s">
        <v>1291</v>
      </c>
      <c r="Y758" t="s">
        <v>1315</v>
      </c>
      <c r="Z758">
        <v>24</v>
      </c>
      <c r="AF758" s="14" t="s">
        <v>153</v>
      </c>
      <c r="AG758" t="s">
        <v>1314</v>
      </c>
      <c r="AH758">
        <v>10</v>
      </c>
      <c r="AI758" t="s">
        <v>153</v>
      </c>
      <c r="AJ758" s="15" t="s">
        <v>1148</v>
      </c>
      <c r="AK758" s="15">
        <v>2.5</v>
      </c>
      <c r="AL758" s="14" t="s">
        <v>1263</v>
      </c>
      <c r="AM758" s="14"/>
      <c r="AN758" s="15">
        <v>4</v>
      </c>
      <c r="AO758" s="15">
        <v>50</v>
      </c>
      <c r="AP758" s="15">
        <v>147</v>
      </c>
      <c r="AQ758" s="14" t="s">
        <v>1284</v>
      </c>
      <c r="AR758" s="15" t="s">
        <v>1316</v>
      </c>
    </row>
    <row r="759" spans="1:44" x14ac:dyDescent="0.2">
      <c r="A759" t="s">
        <v>1127</v>
      </c>
      <c r="B759" s="15" t="s">
        <v>1146</v>
      </c>
      <c r="C759" s="15" t="s">
        <v>1149</v>
      </c>
      <c r="D759" t="s">
        <v>1125</v>
      </c>
      <c r="E759" t="s">
        <v>1126</v>
      </c>
      <c r="F759" t="s">
        <v>1311</v>
      </c>
      <c r="G759" s="15" t="s">
        <v>1165</v>
      </c>
      <c r="H759" s="14" t="s">
        <v>1165</v>
      </c>
      <c r="I759" s="16" t="s">
        <v>1312</v>
      </c>
      <c r="M759" t="s">
        <v>1145</v>
      </c>
      <c r="O759">
        <v>2011</v>
      </c>
      <c r="R759">
        <v>30</v>
      </c>
      <c r="T759" t="s">
        <v>1313</v>
      </c>
      <c r="U759" t="s">
        <v>1246</v>
      </c>
      <c r="V759" s="9" t="s">
        <v>1313</v>
      </c>
      <c r="W759">
        <v>70</v>
      </c>
      <c r="X759" s="9" t="s">
        <v>1292</v>
      </c>
      <c r="Y759" t="s">
        <v>1315</v>
      </c>
      <c r="Z759">
        <v>24</v>
      </c>
      <c r="AF759" s="14" t="s">
        <v>153</v>
      </c>
      <c r="AG759" t="s">
        <v>1314</v>
      </c>
      <c r="AH759">
        <v>10</v>
      </c>
      <c r="AI759" t="s">
        <v>153</v>
      </c>
      <c r="AJ759" s="15" t="s">
        <v>1148</v>
      </c>
      <c r="AK759" s="15">
        <v>4.4560000000000004</v>
      </c>
      <c r="AL759" s="14" t="s">
        <v>1263</v>
      </c>
      <c r="AM759" s="14"/>
      <c r="AN759" s="15">
        <v>4</v>
      </c>
      <c r="AO759" s="15">
        <v>50</v>
      </c>
      <c r="AP759" s="15">
        <v>147</v>
      </c>
      <c r="AQ759" s="14" t="s">
        <v>1284</v>
      </c>
      <c r="AR759" s="15" t="s">
        <v>1316</v>
      </c>
    </row>
    <row r="760" spans="1:44" x14ac:dyDescent="0.2">
      <c r="A760" t="s">
        <v>1127</v>
      </c>
      <c r="B760" s="15" t="s">
        <v>1146</v>
      </c>
      <c r="C760" s="15" t="s">
        <v>1149</v>
      </c>
      <c r="D760" t="s">
        <v>1125</v>
      </c>
      <c r="E760" t="s">
        <v>1126</v>
      </c>
      <c r="F760" t="s">
        <v>1311</v>
      </c>
      <c r="G760" s="15" t="s">
        <v>1165</v>
      </c>
      <c r="H760" s="14" t="s">
        <v>1165</v>
      </c>
      <c r="I760" s="16" t="s">
        <v>1312</v>
      </c>
      <c r="M760" t="s">
        <v>1145</v>
      </c>
      <c r="O760">
        <v>2011</v>
      </c>
      <c r="R760">
        <v>30</v>
      </c>
      <c r="T760" t="s">
        <v>1313</v>
      </c>
      <c r="U760" t="s">
        <v>1246</v>
      </c>
      <c r="V760" s="9" t="s">
        <v>1313</v>
      </c>
      <c r="W760">
        <v>70</v>
      </c>
      <c r="X760" s="9" t="s">
        <v>1201</v>
      </c>
      <c r="Y760" t="s">
        <v>1315</v>
      </c>
      <c r="Z760">
        <v>24</v>
      </c>
      <c r="AF760" s="14" t="s">
        <v>153</v>
      </c>
      <c r="AG760" t="s">
        <v>1314</v>
      </c>
      <c r="AH760">
        <v>10</v>
      </c>
      <c r="AI760" t="s">
        <v>153</v>
      </c>
      <c r="AJ760" s="15" t="s">
        <v>1148</v>
      </c>
      <c r="AK760" s="15">
        <v>10.5</v>
      </c>
      <c r="AL760" s="14" t="s">
        <v>1263</v>
      </c>
      <c r="AM760" s="14">
        <f>12.722-8.633</f>
        <v>4.0890000000000004</v>
      </c>
      <c r="AN760" s="15">
        <v>4</v>
      </c>
      <c r="AO760" s="15">
        <v>50</v>
      </c>
      <c r="AP760" s="15">
        <v>147</v>
      </c>
      <c r="AQ760" s="14" t="s">
        <v>1284</v>
      </c>
      <c r="AR760" s="15" t="s">
        <v>1316</v>
      </c>
    </row>
    <row r="761" spans="1:44" x14ac:dyDescent="0.2">
      <c r="A761" t="s">
        <v>1127</v>
      </c>
      <c r="B761" s="15" t="s">
        <v>1146</v>
      </c>
      <c r="C761" s="15" t="s">
        <v>1149</v>
      </c>
      <c r="D761" t="s">
        <v>1125</v>
      </c>
      <c r="E761" t="s">
        <v>1126</v>
      </c>
      <c r="F761" t="s">
        <v>1311</v>
      </c>
      <c r="G761" s="15" t="s">
        <v>1165</v>
      </c>
      <c r="H761" s="14" t="s">
        <v>1165</v>
      </c>
      <c r="I761" s="16" t="s">
        <v>1312</v>
      </c>
      <c r="M761" t="s">
        <v>1145</v>
      </c>
      <c r="O761">
        <v>2011</v>
      </c>
      <c r="R761">
        <v>30</v>
      </c>
      <c r="T761" t="s">
        <v>1313</v>
      </c>
      <c r="U761" t="s">
        <v>1246</v>
      </c>
      <c r="V761" s="9" t="s">
        <v>1313</v>
      </c>
      <c r="W761">
        <v>70</v>
      </c>
      <c r="X761" s="9" t="s">
        <v>1293</v>
      </c>
      <c r="Y761" t="s">
        <v>1315</v>
      </c>
      <c r="Z761">
        <v>24</v>
      </c>
      <c r="AF761" s="14" t="s">
        <v>153</v>
      </c>
      <c r="AG761" t="s">
        <v>1314</v>
      </c>
      <c r="AH761">
        <v>10</v>
      </c>
      <c r="AI761" t="s">
        <v>153</v>
      </c>
      <c r="AJ761" s="15" t="s">
        <v>1148</v>
      </c>
      <c r="AK761" s="15">
        <v>0</v>
      </c>
      <c r="AL761" s="14" t="s">
        <v>1263</v>
      </c>
      <c r="AM761" s="14">
        <v>0</v>
      </c>
      <c r="AN761" s="15">
        <v>4</v>
      </c>
      <c r="AO761" s="15">
        <v>50</v>
      </c>
      <c r="AP761" s="15">
        <v>147</v>
      </c>
      <c r="AQ761" s="14" t="s">
        <v>1284</v>
      </c>
      <c r="AR761" s="15" t="s">
        <v>1316</v>
      </c>
    </row>
    <row r="762" spans="1:44" x14ac:dyDescent="0.2">
      <c r="A762" t="s">
        <v>1127</v>
      </c>
      <c r="B762" s="15" t="s">
        <v>1146</v>
      </c>
      <c r="C762" s="15" t="s">
        <v>1149</v>
      </c>
      <c r="D762" t="s">
        <v>1125</v>
      </c>
      <c r="E762" t="s">
        <v>1126</v>
      </c>
      <c r="F762" t="s">
        <v>1311</v>
      </c>
      <c r="G762" s="15" t="s">
        <v>1165</v>
      </c>
      <c r="H762" s="14" t="s">
        <v>1165</v>
      </c>
      <c r="I762" s="16" t="s">
        <v>1312</v>
      </c>
      <c r="M762" t="s">
        <v>1145</v>
      </c>
      <c r="O762">
        <v>2011</v>
      </c>
      <c r="R762">
        <v>30</v>
      </c>
      <c r="T762" t="s">
        <v>1313</v>
      </c>
      <c r="U762" t="s">
        <v>1246</v>
      </c>
      <c r="V762" s="9" t="s">
        <v>1313</v>
      </c>
      <c r="W762">
        <v>70</v>
      </c>
      <c r="X762" s="9" t="s">
        <v>1291</v>
      </c>
      <c r="Y762" t="s">
        <v>1315</v>
      </c>
      <c r="Z762">
        <v>24</v>
      </c>
      <c r="AF762" s="14" t="s">
        <v>153</v>
      </c>
      <c r="AG762" t="s">
        <v>1314</v>
      </c>
      <c r="AH762">
        <v>10</v>
      </c>
      <c r="AI762" t="s">
        <v>153</v>
      </c>
      <c r="AJ762" s="15" t="s">
        <v>1148</v>
      </c>
      <c r="AK762" s="15">
        <v>2.5</v>
      </c>
      <c r="AL762" s="14" t="s">
        <v>1263</v>
      </c>
      <c r="AM762" s="14"/>
      <c r="AN762" s="15">
        <v>4</v>
      </c>
      <c r="AO762" s="15">
        <v>50</v>
      </c>
      <c r="AP762" s="15">
        <f>AP761+7</f>
        <v>154</v>
      </c>
      <c r="AQ762" s="14" t="s">
        <v>1284</v>
      </c>
      <c r="AR762" s="15" t="s">
        <v>1316</v>
      </c>
    </row>
    <row r="763" spans="1:44" x14ac:dyDescent="0.2">
      <c r="A763" t="s">
        <v>1127</v>
      </c>
      <c r="B763" s="15" t="s">
        <v>1146</v>
      </c>
      <c r="C763" s="15" t="s">
        <v>1149</v>
      </c>
      <c r="D763" t="s">
        <v>1125</v>
      </c>
      <c r="E763" t="s">
        <v>1126</v>
      </c>
      <c r="F763" t="s">
        <v>1311</v>
      </c>
      <c r="G763" s="15" t="s">
        <v>1165</v>
      </c>
      <c r="H763" s="14" t="s">
        <v>1165</v>
      </c>
      <c r="I763" s="16" t="s">
        <v>1312</v>
      </c>
      <c r="M763" t="s">
        <v>1145</v>
      </c>
      <c r="O763">
        <v>2011</v>
      </c>
      <c r="R763">
        <v>30</v>
      </c>
      <c r="T763" t="s">
        <v>1313</v>
      </c>
      <c r="U763" t="s">
        <v>1246</v>
      </c>
      <c r="V763" s="9" t="s">
        <v>1313</v>
      </c>
      <c r="W763">
        <v>70</v>
      </c>
      <c r="X763" s="9" t="s">
        <v>1292</v>
      </c>
      <c r="Y763" t="s">
        <v>1315</v>
      </c>
      <c r="Z763">
        <v>24</v>
      </c>
      <c r="AF763" s="14" t="s">
        <v>153</v>
      </c>
      <c r="AG763" t="s">
        <v>1314</v>
      </c>
      <c r="AH763">
        <v>10</v>
      </c>
      <c r="AI763" t="s">
        <v>153</v>
      </c>
      <c r="AJ763" s="15" t="s">
        <v>1148</v>
      </c>
      <c r="AK763" s="15">
        <v>4.4560000000000004</v>
      </c>
      <c r="AL763" s="14" t="s">
        <v>1263</v>
      </c>
      <c r="AM763" s="14"/>
      <c r="AN763" s="15">
        <v>4</v>
      </c>
      <c r="AO763" s="15">
        <v>50</v>
      </c>
      <c r="AP763" s="15">
        <v>154</v>
      </c>
      <c r="AQ763" s="14" t="s">
        <v>1284</v>
      </c>
      <c r="AR763" s="15" t="s">
        <v>1316</v>
      </c>
    </row>
    <row r="764" spans="1:44" x14ac:dyDescent="0.2">
      <c r="A764" t="s">
        <v>1127</v>
      </c>
      <c r="B764" s="15" t="s">
        <v>1146</v>
      </c>
      <c r="C764" s="15" t="s">
        <v>1149</v>
      </c>
      <c r="D764" t="s">
        <v>1125</v>
      </c>
      <c r="E764" t="s">
        <v>1126</v>
      </c>
      <c r="F764" t="s">
        <v>1311</v>
      </c>
      <c r="G764" s="15" t="s">
        <v>1165</v>
      </c>
      <c r="H764" s="14" t="s">
        <v>1165</v>
      </c>
      <c r="I764" s="16" t="s">
        <v>1312</v>
      </c>
      <c r="M764" t="s">
        <v>1145</v>
      </c>
      <c r="O764">
        <v>2011</v>
      </c>
      <c r="R764">
        <v>30</v>
      </c>
      <c r="T764" t="s">
        <v>1313</v>
      </c>
      <c r="U764" t="s">
        <v>1246</v>
      </c>
      <c r="V764" s="9" t="s">
        <v>1313</v>
      </c>
      <c r="W764">
        <v>70</v>
      </c>
      <c r="X764" s="9" t="s">
        <v>1201</v>
      </c>
      <c r="Y764" t="s">
        <v>1315</v>
      </c>
      <c r="Z764">
        <v>24</v>
      </c>
      <c r="AF764" s="14" t="s">
        <v>153</v>
      </c>
      <c r="AG764" t="s">
        <v>1314</v>
      </c>
      <c r="AH764">
        <v>10</v>
      </c>
      <c r="AI764" t="s">
        <v>153</v>
      </c>
      <c r="AJ764" s="15" t="s">
        <v>1148</v>
      </c>
      <c r="AK764" s="15">
        <v>10.5</v>
      </c>
      <c r="AL764" s="14" t="s">
        <v>1263</v>
      </c>
      <c r="AM764" s="14">
        <f>12.811-8.633</f>
        <v>4.1780000000000008</v>
      </c>
      <c r="AN764" s="15">
        <v>4</v>
      </c>
      <c r="AO764" s="15">
        <v>50</v>
      </c>
      <c r="AP764" s="15">
        <v>154</v>
      </c>
      <c r="AQ764" s="14" t="s">
        <v>1284</v>
      </c>
      <c r="AR764" s="15" t="s">
        <v>1316</v>
      </c>
    </row>
    <row r="765" spans="1:44" x14ac:dyDescent="0.2">
      <c r="A765" t="s">
        <v>1127</v>
      </c>
      <c r="B765" s="15" t="s">
        <v>1146</v>
      </c>
      <c r="C765" s="15" t="s">
        <v>1149</v>
      </c>
      <c r="D765" t="s">
        <v>1125</v>
      </c>
      <c r="E765" t="s">
        <v>1126</v>
      </c>
      <c r="F765" t="s">
        <v>1311</v>
      </c>
      <c r="G765" s="15" t="s">
        <v>1165</v>
      </c>
      <c r="H765" s="14" t="s">
        <v>1165</v>
      </c>
      <c r="I765" s="16" t="s">
        <v>1312</v>
      </c>
      <c r="M765" t="s">
        <v>1145</v>
      </c>
      <c r="O765">
        <v>2011</v>
      </c>
      <c r="R765">
        <v>30</v>
      </c>
      <c r="T765" t="s">
        <v>1313</v>
      </c>
      <c r="U765" t="s">
        <v>1246</v>
      </c>
      <c r="V765" s="9" t="s">
        <v>1313</v>
      </c>
      <c r="W765">
        <v>70</v>
      </c>
      <c r="X765" s="9" t="s">
        <v>1293</v>
      </c>
      <c r="Y765" t="s">
        <v>1315</v>
      </c>
      <c r="Z765">
        <v>24</v>
      </c>
      <c r="AF765" s="14" t="s">
        <v>153</v>
      </c>
      <c r="AG765" t="s">
        <v>1314</v>
      </c>
      <c r="AH765">
        <v>10</v>
      </c>
      <c r="AI765" t="s">
        <v>153</v>
      </c>
      <c r="AJ765" s="15" t="s">
        <v>1148</v>
      </c>
      <c r="AK765" s="15">
        <v>0</v>
      </c>
      <c r="AL765" s="14" t="s">
        <v>1263</v>
      </c>
      <c r="AM765" s="14">
        <v>0</v>
      </c>
      <c r="AN765" s="15">
        <v>4</v>
      </c>
      <c r="AO765" s="15">
        <v>50</v>
      </c>
      <c r="AP765" s="15">
        <v>154</v>
      </c>
      <c r="AQ765" s="14" t="s">
        <v>1284</v>
      </c>
      <c r="AR765" s="15" t="s">
        <v>1316</v>
      </c>
    </row>
    <row r="766" spans="1:44" x14ac:dyDescent="0.2">
      <c r="A766" t="s">
        <v>1127</v>
      </c>
      <c r="B766" s="15" t="s">
        <v>1146</v>
      </c>
      <c r="C766" s="15" t="s">
        <v>1149</v>
      </c>
      <c r="D766" t="s">
        <v>1125</v>
      </c>
      <c r="E766" t="s">
        <v>1126</v>
      </c>
      <c r="F766" t="s">
        <v>1311</v>
      </c>
      <c r="G766" s="15" t="s">
        <v>1165</v>
      </c>
      <c r="H766" s="14" t="s">
        <v>1165</v>
      </c>
      <c r="I766" s="16" t="s">
        <v>1312</v>
      </c>
      <c r="M766" t="s">
        <v>1145</v>
      </c>
      <c r="O766">
        <v>2011</v>
      </c>
      <c r="R766">
        <v>30</v>
      </c>
      <c r="T766" t="s">
        <v>1313</v>
      </c>
      <c r="U766" t="s">
        <v>1246</v>
      </c>
      <c r="V766" s="9" t="s">
        <v>1313</v>
      </c>
      <c r="W766">
        <v>70</v>
      </c>
      <c r="X766" s="9" t="s">
        <v>1291</v>
      </c>
      <c r="Y766" t="s">
        <v>1315</v>
      </c>
      <c r="Z766">
        <v>24</v>
      </c>
      <c r="AF766" s="14" t="s">
        <v>153</v>
      </c>
      <c r="AG766" t="s">
        <v>1314</v>
      </c>
      <c r="AH766">
        <v>10</v>
      </c>
      <c r="AI766" t="s">
        <v>153</v>
      </c>
      <c r="AJ766" s="15" t="s">
        <v>1148</v>
      </c>
      <c r="AK766" s="15">
        <v>2.5</v>
      </c>
      <c r="AL766" s="14" t="s">
        <v>1263</v>
      </c>
      <c r="AM766" s="14"/>
      <c r="AN766" s="15">
        <v>4</v>
      </c>
      <c r="AO766" s="15">
        <v>50</v>
      </c>
      <c r="AP766" s="15">
        <f>154+7</f>
        <v>161</v>
      </c>
      <c r="AQ766" s="14" t="s">
        <v>1284</v>
      </c>
      <c r="AR766" s="15" t="s">
        <v>1316</v>
      </c>
    </row>
    <row r="767" spans="1:44" x14ac:dyDescent="0.2">
      <c r="A767" t="s">
        <v>1127</v>
      </c>
      <c r="B767" s="15" t="s">
        <v>1146</v>
      </c>
      <c r="C767" s="15" t="s">
        <v>1149</v>
      </c>
      <c r="D767" t="s">
        <v>1125</v>
      </c>
      <c r="E767" t="s">
        <v>1126</v>
      </c>
      <c r="F767" t="s">
        <v>1311</v>
      </c>
      <c r="G767" s="15" t="s">
        <v>1165</v>
      </c>
      <c r="H767" s="14" t="s">
        <v>1165</v>
      </c>
      <c r="I767" s="16" t="s">
        <v>1312</v>
      </c>
      <c r="M767" t="s">
        <v>1145</v>
      </c>
      <c r="O767">
        <v>2011</v>
      </c>
      <c r="R767">
        <v>30</v>
      </c>
      <c r="T767" t="s">
        <v>1313</v>
      </c>
      <c r="U767" t="s">
        <v>1246</v>
      </c>
      <c r="V767" s="9" t="s">
        <v>1313</v>
      </c>
      <c r="W767">
        <v>70</v>
      </c>
      <c r="X767" s="9" t="s">
        <v>1292</v>
      </c>
      <c r="Y767" t="s">
        <v>1315</v>
      </c>
      <c r="Z767">
        <v>24</v>
      </c>
      <c r="AF767" s="14" t="s">
        <v>153</v>
      </c>
      <c r="AG767" t="s">
        <v>1314</v>
      </c>
      <c r="AH767">
        <v>10</v>
      </c>
      <c r="AI767" t="s">
        <v>153</v>
      </c>
      <c r="AJ767" s="15" t="s">
        <v>1148</v>
      </c>
      <c r="AK767" s="15">
        <v>4.367</v>
      </c>
      <c r="AL767" s="14" t="s">
        <v>1263</v>
      </c>
      <c r="AN767" s="15">
        <v>4</v>
      </c>
      <c r="AO767" s="15">
        <v>50</v>
      </c>
      <c r="AP767" s="15">
        <v>161</v>
      </c>
      <c r="AQ767" s="14" t="s">
        <v>1284</v>
      </c>
      <c r="AR767" s="15" t="s">
        <v>1316</v>
      </c>
    </row>
    <row r="768" spans="1:44" x14ac:dyDescent="0.2">
      <c r="A768" t="s">
        <v>1127</v>
      </c>
      <c r="B768" s="15" t="s">
        <v>1146</v>
      </c>
      <c r="C768" s="15" t="s">
        <v>1149</v>
      </c>
      <c r="D768" t="s">
        <v>1125</v>
      </c>
      <c r="E768" t="s">
        <v>1126</v>
      </c>
      <c r="F768" t="s">
        <v>1311</v>
      </c>
      <c r="G768" s="15" t="s">
        <v>1165</v>
      </c>
      <c r="H768" s="14" t="s">
        <v>1165</v>
      </c>
      <c r="I768" s="16" t="s">
        <v>1312</v>
      </c>
      <c r="M768" t="s">
        <v>1145</v>
      </c>
      <c r="O768">
        <v>2011</v>
      </c>
      <c r="R768">
        <v>30</v>
      </c>
      <c r="T768" t="s">
        <v>1313</v>
      </c>
      <c r="U768" t="s">
        <v>1246</v>
      </c>
      <c r="V768" s="9" t="s">
        <v>1313</v>
      </c>
      <c r="W768">
        <v>70</v>
      </c>
      <c r="X768" s="9" t="s">
        <v>1201</v>
      </c>
      <c r="Y768" t="s">
        <v>1315</v>
      </c>
      <c r="Z768">
        <v>24</v>
      </c>
      <c r="AF768" s="14" t="s">
        <v>153</v>
      </c>
      <c r="AG768" t="s">
        <v>1314</v>
      </c>
      <c r="AH768">
        <v>10</v>
      </c>
      <c r="AI768" t="s">
        <v>153</v>
      </c>
      <c r="AJ768" s="15" t="s">
        <v>1148</v>
      </c>
      <c r="AK768" s="15">
        <v>10.5</v>
      </c>
      <c r="AL768" s="14" t="s">
        <v>1263</v>
      </c>
      <c r="AM768" s="14">
        <f>12.811-8.633</f>
        <v>4.1780000000000008</v>
      </c>
      <c r="AN768" s="15">
        <v>4</v>
      </c>
      <c r="AO768" s="15">
        <v>50</v>
      </c>
      <c r="AP768" s="15">
        <v>161</v>
      </c>
      <c r="AQ768" s="14" t="s">
        <v>1284</v>
      </c>
      <c r="AR768" s="15" t="s">
        <v>1316</v>
      </c>
    </row>
    <row r="769" spans="1:44" x14ac:dyDescent="0.2">
      <c r="A769" t="s">
        <v>1127</v>
      </c>
      <c r="B769" s="15" t="s">
        <v>1146</v>
      </c>
      <c r="C769" s="15" t="s">
        <v>1149</v>
      </c>
      <c r="D769" t="s">
        <v>1125</v>
      </c>
      <c r="E769" t="s">
        <v>1126</v>
      </c>
      <c r="F769" t="s">
        <v>1311</v>
      </c>
      <c r="G769" s="15" t="s">
        <v>1165</v>
      </c>
      <c r="H769" s="14" t="s">
        <v>1165</v>
      </c>
      <c r="I769" s="16" t="s">
        <v>1312</v>
      </c>
      <c r="M769" t="s">
        <v>1145</v>
      </c>
      <c r="O769">
        <v>2011</v>
      </c>
      <c r="R769">
        <v>30</v>
      </c>
      <c r="T769" t="s">
        <v>1313</v>
      </c>
      <c r="U769" t="s">
        <v>1246</v>
      </c>
      <c r="V769" s="9" t="s">
        <v>1313</v>
      </c>
      <c r="W769">
        <v>70</v>
      </c>
      <c r="X769" s="9" t="s">
        <v>1293</v>
      </c>
      <c r="Y769" t="s">
        <v>1315</v>
      </c>
      <c r="Z769">
        <v>24</v>
      </c>
      <c r="AF769" s="14" t="s">
        <v>153</v>
      </c>
      <c r="AG769" t="s">
        <v>1314</v>
      </c>
      <c r="AH769">
        <v>10</v>
      </c>
      <c r="AI769" t="s">
        <v>153</v>
      </c>
      <c r="AJ769" s="15" t="s">
        <v>1148</v>
      </c>
      <c r="AK769" s="15">
        <v>0</v>
      </c>
      <c r="AL769" s="14" t="s">
        <v>1263</v>
      </c>
      <c r="AM769" s="14">
        <v>0</v>
      </c>
      <c r="AN769" s="15">
        <v>4</v>
      </c>
      <c r="AO769" s="15">
        <v>50</v>
      </c>
      <c r="AP769" s="15">
        <v>161</v>
      </c>
      <c r="AQ769" s="14" t="s">
        <v>1284</v>
      </c>
      <c r="AR769" s="15" t="s">
        <v>1316</v>
      </c>
    </row>
    <row r="770" spans="1:44" x14ac:dyDescent="0.2">
      <c r="A770" t="s">
        <v>1127</v>
      </c>
      <c r="B770" s="15" t="s">
        <v>1146</v>
      </c>
      <c r="C770" s="15" t="s">
        <v>1149</v>
      </c>
      <c r="D770" t="s">
        <v>1125</v>
      </c>
      <c r="E770" t="s">
        <v>1126</v>
      </c>
      <c r="F770" t="s">
        <v>1311</v>
      </c>
      <c r="G770" s="15" t="s">
        <v>1165</v>
      </c>
      <c r="H770" s="14" t="s">
        <v>1165</v>
      </c>
      <c r="I770" s="16" t="s">
        <v>1312</v>
      </c>
      <c r="M770" t="s">
        <v>1145</v>
      </c>
      <c r="O770">
        <v>2011</v>
      </c>
      <c r="R770">
        <v>30</v>
      </c>
      <c r="T770" t="s">
        <v>1313</v>
      </c>
      <c r="U770" t="s">
        <v>1246</v>
      </c>
      <c r="V770" s="9" t="s">
        <v>1313</v>
      </c>
      <c r="W770">
        <v>70</v>
      </c>
      <c r="X770" s="9" t="s">
        <v>1291</v>
      </c>
      <c r="Y770" t="s">
        <v>1315</v>
      </c>
      <c r="Z770">
        <v>24</v>
      </c>
      <c r="AF770" s="14" t="s">
        <v>153</v>
      </c>
      <c r="AG770" t="s">
        <v>1314</v>
      </c>
      <c r="AH770">
        <v>10</v>
      </c>
      <c r="AI770" t="s">
        <v>153</v>
      </c>
      <c r="AJ770" s="15" t="s">
        <v>1148</v>
      </c>
      <c r="AK770" s="15">
        <v>2.5</v>
      </c>
      <c r="AL770" s="14" t="s">
        <v>1263</v>
      </c>
      <c r="AM770" s="14"/>
      <c r="AN770" s="15">
        <v>4</v>
      </c>
      <c r="AO770" s="15">
        <v>50</v>
      </c>
      <c r="AP770" s="15">
        <v>168</v>
      </c>
      <c r="AQ770" s="14" t="s">
        <v>1284</v>
      </c>
      <c r="AR770" s="15" t="s">
        <v>1316</v>
      </c>
    </row>
    <row r="771" spans="1:44" x14ac:dyDescent="0.2">
      <c r="A771" t="s">
        <v>1127</v>
      </c>
      <c r="B771" s="15" t="s">
        <v>1146</v>
      </c>
      <c r="C771" s="15" t="s">
        <v>1149</v>
      </c>
      <c r="D771" t="s">
        <v>1125</v>
      </c>
      <c r="E771" t="s">
        <v>1126</v>
      </c>
      <c r="F771" t="s">
        <v>1311</v>
      </c>
      <c r="G771" s="15" t="s">
        <v>1165</v>
      </c>
      <c r="H771" s="14" t="s">
        <v>1165</v>
      </c>
      <c r="I771" s="16" t="s">
        <v>1312</v>
      </c>
      <c r="M771" t="s">
        <v>1145</v>
      </c>
      <c r="O771">
        <v>2011</v>
      </c>
      <c r="R771">
        <v>30</v>
      </c>
      <c r="T771" t="s">
        <v>1313</v>
      </c>
      <c r="U771" t="s">
        <v>1246</v>
      </c>
      <c r="V771" s="9" t="s">
        <v>1313</v>
      </c>
      <c r="W771">
        <v>70</v>
      </c>
      <c r="X771" s="9" t="s">
        <v>1292</v>
      </c>
      <c r="Y771" t="s">
        <v>1315</v>
      </c>
      <c r="Z771">
        <v>24</v>
      </c>
      <c r="AF771" s="14" t="s">
        <v>153</v>
      </c>
      <c r="AG771" t="s">
        <v>1314</v>
      </c>
      <c r="AH771">
        <v>10</v>
      </c>
      <c r="AI771" t="s">
        <v>153</v>
      </c>
      <c r="AJ771" s="15" t="s">
        <v>1148</v>
      </c>
      <c r="AK771" s="15">
        <v>4.4560000000000004</v>
      </c>
      <c r="AL771" s="14" t="s">
        <v>1263</v>
      </c>
      <c r="AM771" s="14"/>
      <c r="AN771" s="15">
        <v>4</v>
      </c>
      <c r="AO771" s="15">
        <v>50</v>
      </c>
      <c r="AP771" s="15">
        <v>168</v>
      </c>
      <c r="AQ771" s="14" t="s">
        <v>1284</v>
      </c>
      <c r="AR771" s="15" t="s">
        <v>1316</v>
      </c>
    </row>
    <row r="772" spans="1:44" x14ac:dyDescent="0.2">
      <c r="A772" t="s">
        <v>1127</v>
      </c>
      <c r="B772" s="15" t="s">
        <v>1146</v>
      </c>
      <c r="C772" s="15" t="s">
        <v>1149</v>
      </c>
      <c r="D772" t="s">
        <v>1125</v>
      </c>
      <c r="E772" t="s">
        <v>1126</v>
      </c>
      <c r="F772" t="s">
        <v>1311</v>
      </c>
      <c r="G772" s="15" t="s">
        <v>1165</v>
      </c>
      <c r="H772" s="14" t="s">
        <v>1165</v>
      </c>
      <c r="I772" s="16" t="s">
        <v>1312</v>
      </c>
      <c r="M772" t="s">
        <v>1145</v>
      </c>
      <c r="O772">
        <v>2011</v>
      </c>
      <c r="R772">
        <v>30</v>
      </c>
      <c r="T772" t="s">
        <v>1313</v>
      </c>
      <c r="U772" t="s">
        <v>1246</v>
      </c>
      <c r="V772" s="9" t="s">
        <v>1313</v>
      </c>
      <c r="W772">
        <v>70</v>
      </c>
      <c r="X772" s="9" t="s">
        <v>1201</v>
      </c>
      <c r="Y772" t="s">
        <v>1315</v>
      </c>
      <c r="Z772">
        <v>24</v>
      </c>
      <c r="AF772" s="14" t="s">
        <v>153</v>
      </c>
      <c r="AG772" t="s">
        <v>1314</v>
      </c>
      <c r="AH772">
        <v>10</v>
      </c>
      <c r="AI772" t="s">
        <v>153</v>
      </c>
      <c r="AJ772" s="15" t="s">
        <v>1148</v>
      </c>
      <c r="AK772" s="15">
        <v>10.5</v>
      </c>
      <c r="AL772" s="14" t="s">
        <v>1263</v>
      </c>
      <c r="AM772" s="14">
        <f>12.811-8.633</f>
        <v>4.1780000000000008</v>
      </c>
      <c r="AN772" s="15">
        <v>4</v>
      </c>
      <c r="AO772" s="15">
        <v>50</v>
      </c>
      <c r="AP772" s="15">
        <v>168</v>
      </c>
      <c r="AQ772" s="14" t="s">
        <v>1284</v>
      </c>
      <c r="AR772" s="15" t="s">
        <v>1316</v>
      </c>
    </row>
    <row r="773" spans="1:44" x14ac:dyDescent="0.2">
      <c r="A773" t="s">
        <v>1127</v>
      </c>
      <c r="B773" s="15" t="s">
        <v>1146</v>
      </c>
      <c r="C773" s="15" t="s">
        <v>1149</v>
      </c>
      <c r="D773" t="s">
        <v>1125</v>
      </c>
      <c r="E773" t="s">
        <v>1126</v>
      </c>
      <c r="F773" t="s">
        <v>1311</v>
      </c>
      <c r="G773" s="15" t="s">
        <v>1165</v>
      </c>
      <c r="H773" s="14" t="s">
        <v>1165</v>
      </c>
      <c r="I773" s="16" t="s">
        <v>1312</v>
      </c>
      <c r="M773" t="s">
        <v>1145</v>
      </c>
      <c r="O773">
        <v>2011</v>
      </c>
      <c r="R773">
        <v>30</v>
      </c>
      <c r="T773" t="s">
        <v>1313</v>
      </c>
      <c r="U773" t="s">
        <v>1246</v>
      </c>
      <c r="V773" s="9" t="s">
        <v>1313</v>
      </c>
      <c r="W773">
        <v>70</v>
      </c>
      <c r="X773" s="9" t="s">
        <v>1293</v>
      </c>
      <c r="Y773" t="s">
        <v>1315</v>
      </c>
      <c r="Z773">
        <v>24</v>
      </c>
      <c r="AF773" s="14" t="s">
        <v>153</v>
      </c>
      <c r="AG773" t="s">
        <v>1314</v>
      </c>
      <c r="AH773">
        <v>10</v>
      </c>
      <c r="AI773" t="s">
        <v>153</v>
      </c>
      <c r="AJ773" s="15" t="s">
        <v>1148</v>
      </c>
      <c r="AK773" s="15">
        <v>0</v>
      </c>
      <c r="AL773" s="14" t="s">
        <v>1263</v>
      </c>
      <c r="AM773" s="14">
        <v>0</v>
      </c>
      <c r="AN773" s="15">
        <v>4</v>
      </c>
      <c r="AO773" s="15">
        <v>50</v>
      </c>
      <c r="AP773" s="15">
        <v>168</v>
      </c>
      <c r="AQ773" s="14" t="s">
        <v>1284</v>
      </c>
      <c r="AR773" s="15" t="s">
        <v>1316</v>
      </c>
    </row>
    <row r="774" spans="1:44" x14ac:dyDescent="0.2">
      <c r="A774" t="s">
        <v>1127</v>
      </c>
      <c r="B774" s="15" t="s">
        <v>1146</v>
      </c>
      <c r="C774" s="15" t="s">
        <v>1149</v>
      </c>
      <c r="D774" t="s">
        <v>1125</v>
      </c>
      <c r="E774" t="s">
        <v>1126</v>
      </c>
      <c r="F774" t="s">
        <v>1311</v>
      </c>
      <c r="G774" s="15" t="s">
        <v>1165</v>
      </c>
      <c r="H774" s="14" t="s">
        <v>1165</v>
      </c>
      <c r="I774" s="16" t="s">
        <v>1312</v>
      </c>
      <c r="M774" t="s">
        <v>1145</v>
      </c>
      <c r="O774">
        <v>2011</v>
      </c>
      <c r="R774">
        <v>30</v>
      </c>
      <c r="T774" t="s">
        <v>1313</v>
      </c>
      <c r="U774" t="s">
        <v>1246</v>
      </c>
      <c r="V774" s="9" t="s">
        <v>1313</v>
      </c>
      <c r="W774">
        <v>70</v>
      </c>
      <c r="X774" s="9" t="s">
        <v>1291</v>
      </c>
      <c r="Y774" t="s">
        <v>1210</v>
      </c>
      <c r="Z774">
        <v>0</v>
      </c>
      <c r="AF774" s="14" t="s">
        <v>153</v>
      </c>
      <c r="AG774" t="s">
        <v>1314</v>
      </c>
      <c r="AH774">
        <v>10</v>
      </c>
      <c r="AI774" t="s">
        <v>153</v>
      </c>
      <c r="AJ774" s="15" t="s">
        <v>1148</v>
      </c>
      <c r="AK774" s="15">
        <v>0</v>
      </c>
      <c r="AL774" s="14" t="s">
        <v>1263</v>
      </c>
      <c r="AM774" s="14">
        <v>0</v>
      </c>
      <c r="AN774" s="15">
        <v>4</v>
      </c>
      <c r="AO774" s="15">
        <v>50</v>
      </c>
      <c r="AP774" s="15">
        <v>0</v>
      </c>
      <c r="AQ774" s="14" t="s">
        <v>1284</v>
      </c>
      <c r="AR774" s="15" t="s">
        <v>1316</v>
      </c>
    </row>
    <row r="775" spans="1:44" x14ac:dyDescent="0.2">
      <c r="A775" t="s">
        <v>1127</v>
      </c>
      <c r="B775" s="15" t="s">
        <v>1146</v>
      </c>
      <c r="C775" s="15" t="s">
        <v>1149</v>
      </c>
      <c r="D775" t="s">
        <v>1125</v>
      </c>
      <c r="E775" t="s">
        <v>1126</v>
      </c>
      <c r="F775" t="s">
        <v>1311</v>
      </c>
      <c r="G775" s="15" t="s">
        <v>1165</v>
      </c>
      <c r="H775" s="14" t="s">
        <v>1165</v>
      </c>
      <c r="I775" s="16" t="s">
        <v>1312</v>
      </c>
      <c r="M775" t="s">
        <v>1145</v>
      </c>
      <c r="O775">
        <v>2011</v>
      </c>
      <c r="R775">
        <v>30</v>
      </c>
      <c r="T775" t="s">
        <v>1313</v>
      </c>
      <c r="U775" t="s">
        <v>1246</v>
      </c>
      <c r="V775" s="9" t="s">
        <v>1313</v>
      </c>
      <c r="W775">
        <v>70</v>
      </c>
      <c r="X775" s="9" t="s">
        <v>1292</v>
      </c>
      <c r="Y775" t="s">
        <v>1210</v>
      </c>
      <c r="Z775">
        <v>0</v>
      </c>
      <c r="AF775" s="14" t="s">
        <v>153</v>
      </c>
      <c r="AG775" t="s">
        <v>1314</v>
      </c>
      <c r="AH775">
        <v>10</v>
      </c>
      <c r="AI775" t="s">
        <v>153</v>
      </c>
      <c r="AJ775" s="15" t="s">
        <v>1148</v>
      </c>
      <c r="AK775" s="15">
        <v>0</v>
      </c>
      <c r="AL775" s="14" t="s">
        <v>1263</v>
      </c>
      <c r="AM775" s="14">
        <v>0</v>
      </c>
      <c r="AN775" s="15">
        <v>4</v>
      </c>
      <c r="AO775" s="15">
        <v>50</v>
      </c>
      <c r="AP775" s="15">
        <v>0</v>
      </c>
      <c r="AQ775" s="14" t="s">
        <v>1284</v>
      </c>
      <c r="AR775" s="15" t="s">
        <v>1316</v>
      </c>
    </row>
    <row r="776" spans="1:44" x14ac:dyDescent="0.2">
      <c r="A776" t="s">
        <v>1127</v>
      </c>
      <c r="B776" s="15" t="s">
        <v>1146</v>
      </c>
      <c r="C776" s="15" t="s">
        <v>1149</v>
      </c>
      <c r="D776" t="s">
        <v>1125</v>
      </c>
      <c r="E776" t="s">
        <v>1126</v>
      </c>
      <c r="F776" t="s">
        <v>1311</v>
      </c>
      <c r="G776" s="15" t="s">
        <v>1165</v>
      </c>
      <c r="H776" s="14" t="s">
        <v>1165</v>
      </c>
      <c r="I776" s="16" t="s">
        <v>1312</v>
      </c>
      <c r="M776" t="s">
        <v>1145</v>
      </c>
      <c r="O776">
        <v>2011</v>
      </c>
      <c r="R776">
        <v>30</v>
      </c>
      <c r="T776" t="s">
        <v>1313</v>
      </c>
      <c r="U776" t="s">
        <v>1246</v>
      </c>
      <c r="V776" s="9" t="s">
        <v>1313</v>
      </c>
      <c r="W776">
        <v>70</v>
      </c>
      <c r="X776" s="9" t="s">
        <v>1201</v>
      </c>
      <c r="Y776" t="s">
        <v>1210</v>
      </c>
      <c r="Z776">
        <v>0</v>
      </c>
      <c r="AF776" s="14" t="s">
        <v>153</v>
      </c>
      <c r="AG776" t="s">
        <v>1314</v>
      </c>
      <c r="AH776">
        <v>10</v>
      </c>
      <c r="AI776" t="s">
        <v>153</v>
      </c>
      <c r="AJ776" s="15" t="s">
        <v>1148</v>
      </c>
      <c r="AK776" s="15">
        <v>0</v>
      </c>
      <c r="AL776" s="14" t="s">
        <v>1263</v>
      </c>
      <c r="AM776" s="14">
        <v>0</v>
      </c>
      <c r="AN776" s="15">
        <v>4</v>
      </c>
      <c r="AO776" s="15">
        <v>50</v>
      </c>
      <c r="AP776" s="15">
        <v>0</v>
      </c>
      <c r="AQ776" s="14" t="s">
        <v>1284</v>
      </c>
      <c r="AR776" s="15" t="s">
        <v>1316</v>
      </c>
    </row>
    <row r="777" spans="1:44" x14ac:dyDescent="0.2">
      <c r="A777" t="s">
        <v>1127</v>
      </c>
      <c r="B777" s="15" t="s">
        <v>1146</v>
      </c>
      <c r="C777" s="15" t="s">
        <v>1149</v>
      </c>
      <c r="D777" t="s">
        <v>1125</v>
      </c>
      <c r="E777" t="s">
        <v>1126</v>
      </c>
      <c r="F777" t="s">
        <v>1311</v>
      </c>
      <c r="G777" s="15" t="s">
        <v>1165</v>
      </c>
      <c r="H777" s="14" t="s">
        <v>1165</v>
      </c>
      <c r="I777" s="16" t="s">
        <v>1312</v>
      </c>
      <c r="M777" t="s">
        <v>1145</v>
      </c>
      <c r="O777">
        <v>2011</v>
      </c>
      <c r="R777">
        <v>30</v>
      </c>
      <c r="T777" t="s">
        <v>1313</v>
      </c>
      <c r="U777" t="s">
        <v>1246</v>
      </c>
      <c r="V777" s="9" t="s">
        <v>1313</v>
      </c>
      <c r="W777">
        <v>70</v>
      </c>
      <c r="X777" s="9" t="s">
        <v>1293</v>
      </c>
      <c r="Y777" t="s">
        <v>1210</v>
      </c>
      <c r="Z777">
        <v>0</v>
      </c>
      <c r="AF777" s="14" t="s">
        <v>153</v>
      </c>
      <c r="AG777" t="s">
        <v>1314</v>
      </c>
      <c r="AH777">
        <v>10</v>
      </c>
      <c r="AI777" t="s">
        <v>153</v>
      </c>
      <c r="AJ777" s="15" t="s">
        <v>1148</v>
      </c>
      <c r="AK777" s="15">
        <v>0</v>
      </c>
      <c r="AL777" s="14" t="s">
        <v>1263</v>
      </c>
      <c r="AM777" s="14">
        <v>0</v>
      </c>
      <c r="AN777" s="15">
        <v>4</v>
      </c>
      <c r="AO777" s="15">
        <v>50</v>
      </c>
      <c r="AP777" s="15">
        <v>0</v>
      </c>
      <c r="AQ777" s="14" t="s">
        <v>1284</v>
      </c>
      <c r="AR777" s="15" t="s">
        <v>1316</v>
      </c>
    </row>
    <row r="778" spans="1:44" x14ac:dyDescent="0.2">
      <c r="A778" t="s">
        <v>1127</v>
      </c>
      <c r="B778" s="15" t="s">
        <v>1146</v>
      </c>
      <c r="C778" s="15" t="s">
        <v>1149</v>
      </c>
      <c r="D778" t="s">
        <v>1125</v>
      </c>
      <c r="E778" t="s">
        <v>1126</v>
      </c>
      <c r="F778" t="s">
        <v>1311</v>
      </c>
      <c r="G778" s="15" t="s">
        <v>1165</v>
      </c>
      <c r="H778" s="14" t="s">
        <v>1165</v>
      </c>
      <c r="I778" s="16" t="s">
        <v>1312</v>
      </c>
      <c r="M778" t="s">
        <v>1145</v>
      </c>
      <c r="O778">
        <v>2011</v>
      </c>
      <c r="R778">
        <v>30</v>
      </c>
      <c r="T778" t="s">
        <v>1313</v>
      </c>
      <c r="U778" t="s">
        <v>1246</v>
      </c>
      <c r="V778" s="9" t="s">
        <v>1313</v>
      </c>
      <c r="W778">
        <v>70</v>
      </c>
      <c r="X778" s="9" t="s">
        <v>1291</v>
      </c>
      <c r="Y778" t="s">
        <v>1210</v>
      </c>
      <c r="Z778">
        <v>0</v>
      </c>
      <c r="AF778" s="14" t="s">
        <v>153</v>
      </c>
      <c r="AG778" t="s">
        <v>1314</v>
      </c>
      <c r="AH778">
        <v>10</v>
      </c>
      <c r="AI778" t="s">
        <v>153</v>
      </c>
      <c r="AJ778" s="15" t="s">
        <v>1148</v>
      </c>
      <c r="AK778" s="15">
        <v>0</v>
      </c>
      <c r="AL778" s="14" t="s">
        <v>1263</v>
      </c>
      <c r="AM778" s="14">
        <v>0</v>
      </c>
      <c r="AN778" s="15">
        <v>4</v>
      </c>
      <c r="AO778" s="15">
        <v>50</v>
      </c>
      <c r="AP778" s="15">
        <v>7</v>
      </c>
      <c r="AQ778" s="14" t="s">
        <v>1284</v>
      </c>
      <c r="AR778" s="15" t="s">
        <v>1316</v>
      </c>
    </row>
    <row r="779" spans="1:44" x14ac:dyDescent="0.2">
      <c r="A779" t="s">
        <v>1127</v>
      </c>
      <c r="B779" s="15" t="s">
        <v>1146</v>
      </c>
      <c r="C779" s="15" t="s">
        <v>1149</v>
      </c>
      <c r="D779" t="s">
        <v>1125</v>
      </c>
      <c r="E779" t="s">
        <v>1126</v>
      </c>
      <c r="F779" t="s">
        <v>1311</v>
      </c>
      <c r="G779" s="15" t="s">
        <v>1165</v>
      </c>
      <c r="H779" s="14" t="s">
        <v>1165</v>
      </c>
      <c r="I779" s="16" t="s">
        <v>1312</v>
      </c>
      <c r="M779" t="s">
        <v>1145</v>
      </c>
      <c r="O779">
        <v>2011</v>
      </c>
      <c r="R779">
        <v>30</v>
      </c>
      <c r="T779" t="s">
        <v>1313</v>
      </c>
      <c r="U779" t="s">
        <v>1246</v>
      </c>
      <c r="V779" s="9" t="s">
        <v>1313</v>
      </c>
      <c r="W779">
        <v>70</v>
      </c>
      <c r="X779" s="9" t="s">
        <v>1292</v>
      </c>
      <c r="Y779" t="s">
        <v>1210</v>
      </c>
      <c r="Z779">
        <v>0</v>
      </c>
      <c r="AF779" s="14" t="s">
        <v>153</v>
      </c>
      <c r="AG779" t="s">
        <v>1314</v>
      </c>
      <c r="AH779">
        <v>10</v>
      </c>
      <c r="AI779" t="s">
        <v>153</v>
      </c>
      <c r="AJ779" s="15" t="s">
        <v>1148</v>
      </c>
      <c r="AK779" s="15">
        <v>0</v>
      </c>
      <c r="AL779" s="14" t="s">
        <v>1263</v>
      </c>
      <c r="AM779" s="14">
        <v>0</v>
      </c>
      <c r="AN779" s="15">
        <v>4</v>
      </c>
      <c r="AO779" s="15">
        <v>50</v>
      </c>
      <c r="AP779" s="15">
        <v>7</v>
      </c>
      <c r="AQ779" s="14" t="s">
        <v>1284</v>
      </c>
      <c r="AR779" s="15" t="s">
        <v>1316</v>
      </c>
    </row>
    <row r="780" spans="1:44" x14ac:dyDescent="0.2">
      <c r="A780" t="s">
        <v>1127</v>
      </c>
      <c r="B780" s="15" t="s">
        <v>1146</v>
      </c>
      <c r="C780" s="15" t="s">
        <v>1149</v>
      </c>
      <c r="D780" t="s">
        <v>1125</v>
      </c>
      <c r="E780" t="s">
        <v>1126</v>
      </c>
      <c r="F780" t="s">
        <v>1311</v>
      </c>
      <c r="G780" s="15" t="s">
        <v>1165</v>
      </c>
      <c r="H780" s="14" t="s">
        <v>1165</v>
      </c>
      <c r="I780" s="16" t="s">
        <v>1312</v>
      </c>
      <c r="M780" t="s">
        <v>1145</v>
      </c>
      <c r="O780">
        <v>2011</v>
      </c>
      <c r="R780">
        <v>30</v>
      </c>
      <c r="T780" t="s">
        <v>1313</v>
      </c>
      <c r="U780" t="s">
        <v>1246</v>
      </c>
      <c r="V780" s="9" t="s">
        <v>1313</v>
      </c>
      <c r="W780">
        <v>70</v>
      </c>
      <c r="X780" s="9" t="s">
        <v>1201</v>
      </c>
      <c r="Y780" t="s">
        <v>1210</v>
      </c>
      <c r="Z780">
        <v>0</v>
      </c>
      <c r="AF780" s="14" t="s">
        <v>153</v>
      </c>
      <c r="AG780" t="s">
        <v>1314</v>
      </c>
      <c r="AH780">
        <v>10</v>
      </c>
      <c r="AI780" t="s">
        <v>153</v>
      </c>
      <c r="AJ780" s="15" t="s">
        <v>1148</v>
      </c>
      <c r="AK780" s="15">
        <v>0</v>
      </c>
      <c r="AL780" s="14" t="s">
        <v>1263</v>
      </c>
      <c r="AM780" s="14">
        <v>0</v>
      </c>
      <c r="AN780" s="15">
        <v>4</v>
      </c>
      <c r="AO780" s="15">
        <v>50</v>
      </c>
      <c r="AP780" s="15">
        <v>7</v>
      </c>
      <c r="AQ780" s="14" t="s">
        <v>1284</v>
      </c>
      <c r="AR780" s="15" t="s">
        <v>1316</v>
      </c>
    </row>
    <row r="781" spans="1:44" x14ac:dyDescent="0.2">
      <c r="A781" t="s">
        <v>1127</v>
      </c>
      <c r="B781" s="15" t="s">
        <v>1146</v>
      </c>
      <c r="C781" s="15" t="s">
        <v>1149</v>
      </c>
      <c r="D781" t="s">
        <v>1125</v>
      </c>
      <c r="E781" t="s">
        <v>1126</v>
      </c>
      <c r="F781" t="s">
        <v>1311</v>
      </c>
      <c r="G781" s="15" t="s">
        <v>1165</v>
      </c>
      <c r="H781" s="14" t="s">
        <v>1165</v>
      </c>
      <c r="I781" s="16" t="s">
        <v>1312</v>
      </c>
      <c r="M781" t="s">
        <v>1145</v>
      </c>
      <c r="O781">
        <v>2011</v>
      </c>
      <c r="R781">
        <v>30</v>
      </c>
      <c r="T781" t="s">
        <v>1313</v>
      </c>
      <c r="U781" t="s">
        <v>1246</v>
      </c>
      <c r="V781" s="9" t="s">
        <v>1313</v>
      </c>
      <c r="W781">
        <v>70</v>
      </c>
      <c r="X781" s="9" t="s">
        <v>1293</v>
      </c>
      <c r="Y781" t="s">
        <v>1210</v>
      </c>
      <c r="Z781">
        <v>0</v>
      </c>
      <c r="AF781" s="14" t="s">
        <v>153</v>
      </c>
      <c r="AG781" t="s">
        <v>1314</v>
      </c>
      <c r="AH781">
        <v>10</v>
      </c>
      <c r="AI781" t="s">
        <v>153</v>
      </c>
      <c r="AJ781" s="15" t="s">
        <v>1148</v>
      </c>
      <c r="AK781" s="15">
        <v>0</v>
      </c>
      <c r="AL781" s="14" t="s">
        <v>1263</v>
      </c>
      <c r="AM781" s="14">
        <v>0</v>
      </c>
      <c r="AN781" s="15">
        <v>4</v>
      </c>
      <c r="AO781" s="15">
        <v>50</v>
      </c>
      <c r="AP781" s="15">
        <v>7</v>
      </c>
      <c r="AQ781" s="14" t="s">
        <v>1284</v>
      </c>
      <c r="AR781" s="15" t="s">
        <v>1316</v>
      </c>
    </row>
    <row r="782" spans="1:44" x14ac:dyDescent="0.2">
      <c r="A782" t="s">
        <v>1127</v>
      </c>
      <c r="B782" s="15" t="s">
        <v>1146</v>
      </c>
      <c r="C782" s="15" t="s">
        <v>1149</v>
      </c>
      <c r="D782" t="s">
        <v>1125</v>
      </c>
      <c r="E782" t="s">
        <v>1126</v>
      </c>
      <c r="F782" t="s">
        <v>1311</v>
      </c>
      <c r="G782" s="15" t="s">
        <v>1165</v>
      </c>
      <c r="H782" s="14" t="s">
        <v>1165</v>
      </c>
      <c r="I782" s="16" t="s">
        <v>1312</v>
      </c>
      <c r="M782" t="s">
        <v>1145</v>
      </c>
      <c r="O782">
        <v>2011</v>
      </c>
      <c r="R782">
        <v>30</v>
      </c>
      <c r="T782" t="s">
        <v>1313</v>
      </c>
      <c r="U782" t="s">
        <v>1246</v>
      </c>
      <c r="V782" s="9" t="s">
        <v>1313</v>
      </c>
      <c r="W782">
        <v>70</v>
      </c>
      <c r="X782" s="9" t="s">
        <v>1291</v>
      </c>
      <c r="Y782" t="s">
        <v>1210</v>
      </c>
      <c r="Z782">
        <v>0</v>
      </c>
      <c r="AF782" s="14" t="s">
        <v>153</v>
      </c>
      <c r="AG782" t="s">
        <v>1314</v>
      </c>
      <c r="AH782">
        <v>10</v>
      </c>
      <c r="AI782" t="s">
        <v>153</v>
      </c>
      <c r="AJ782" s="15" t="s">
        <v>1148</v>
      </c>
      <c r="AK782" s="15">
        <v>0</v>
      </c>
      <c r="AL782" s="14" t="s">
        <v>1263</v>
      </c>
      <c r="AM782" s="14">
        <v>0</v>
      </c>
      <c r="AN782" s="15">
        <v>4</v>
      </c>
      <c r="AO782" s="15">
        <v>50</v>
      </c>
      <c r="AP782" s="15">
        <v>14</v>
      </c>
      <c r="AQ782" s="14" t="s">
        <v>1284</v>
      </c>
      <c r="AR782" s="15" t="s">
        <v>1316</v>
      </c>
    </row>
    <row r="783" spans="1:44" x14ac:dyDescent="0.2">
      <c r="A783" t="s">
        <v>1127</v>
      </c>
      <c r="B783" s="15" t="s">
        <v>1146</v>
      </c>
      <c r="C783" s="15" t="s">
        <v>1149</v>
      </c>
      <c r="D783" t="s">
        <v>1125</v>
      </c>
      <c r="E783" t="s">
        <v>1126</v>
      </c>
      <c r="F783" t="s">
        <v>1311</v>
      </c>
      <c r="G783" s="15" t="s">
        <v>1165</v>
      </c>
      <c r="H783" s="14" t="s">
        <v>1165</v>
      </c>
      <c r="I783" s="16" t="s">
        <v>1312</v>
      </c>
      <c r="M783" t="s">
        <v>1145</v>
      </c>
      <c r="O783">
        <v>2011</v>
      </c>
      <c r="R783">
        <v>30</v>
      </c>
      <c r="T783" t="s">
        <v>1313</v>
      </c>
      <c r="U783" t="s">
        <v>1246</v>
      </c>
      <c r="V783" s="9" t="s">
        <v>1313</v>
      </c>
      <c r="W783">
        <v>70</v>
      </c>
      <c r="X783" s="9" t="s">
        <v>1292</v>
      </c>
      <c r="Y783" t="s">
        <v>1210</v>
      </c>
      <c r="Z783">
        <v>0</v>
      </c>
      <c r="AF783" s="14" t="s">
        <v>153</v>
      </c>
      <c r="AG783" t="s">
        <v>1314</v>
      </c>
      <c r="AH783">
        <v>10</v>
      </c>
      <c r="AI783" t="s">
        <v>153</v>
      </c>
      <c r="AJ783" s="15" t="s">
        <v>1148</v>
      </c>
      <c r="AK783" s="15">
        <v>0.36699999999999999</v>
      </c>
      <c r="AL783" s="14" t="s">
        <v>1263</v>
      </c>
      <c r="AM783" s="14">
        <v>0</v>
      </c>
      <c r="AN783" s="15">
        <v>4</v>
      </c>
      <c r="AO783" s="15">
        <v>50</v>
      </c>
      <c r="AP783" s="15">
        <v>14</v>
      </c>
      <c r="AQ783" s="14" t="s">
        <v>1284</v>
      </c>
      <c r="AR783" s="15" t="s">
        <v>1316</v>
      </c>
    </row>
    <row r="784" spans="1:44" x14ac:dyDescent="0.2">
      <c r="A784" t="s">
        <v>1127</v>
      </c>
      <c r="B784" s="15" t="s">
        <v>1146</v>
      </c>
      <c r="C784" s="15" t="s">
        <v>1149</v>
      </c>
      <c r="D784" t="s">
        <v>1125</v>
      </c>
      <c r="E784" t="s">
        <v>1126</v>
      </c>
      <c r="F784" t="s">
        <v>1311</v>
      </c>
      <c r="G784" s="15" t="s">
        <v>1165</v>
      </c>
      <c r="H784" s="14" t="s">
        <v>1165</v>
      </c>
      <c r="I784" s="16" t="s">
        <v>1312</v>
      </c>
      <c r="M784" t="s">
        <v>1145</v>
      </c>
      <c r="O784">
        <v>2011</v>
      </c>
      <c r="R784">
        <v>30</v>
      </c>
      <c r="T784" t="s">
        <v>1313</v>
      </c>
      <c r="U784" t="s">
        <v>1246</v>
      </c>
      <c r="V784" s="9" t="s">
        <v>1313</v>
      </c>
      <c r="W784">
        <v>70</v>
      </c>
      <c r="X784" s="9" t="s">
        <v>1201</v>
      </c>
      <c r="Y784" t="s">
        <v>1210</v>
      </c>
      <c r="Z784">
        <v>0</v>
      </c>
      <c r="AF784" s="14" t="s">
        <v>153</v>
      </c>
      <c r="AG784" t="s">
        <v>1314</v>
      </c>
      <c r="AH784">
        <v>10</v>
      </c>
      <c r="AI784" t="s">
        <v>153</v>
      </c>
      <c r="AJ784" s="15" t="s">
        <v>1148</v>
      </c>
      <c r="AK784" s="15">
        <v>13.067</v>
      </c>
      <c r="AL784" s="14" t="s">
        <v>1263</v>
      </c>
      <c r="AM784" s="14">
        <f>14.233-12.1</f>
        <v>2.1330000000000009</v>
      </c>
      <c r="AN784" s="15">
        <v>4</v>
      </c>
      <c r="AO784" s="15">
        <v>50</v>
      </c>
      <c r="AP784" s="15">
        <v>14</v>
      </c>
      <c r="AQ784" s="14" t="s">
        <v>1284</v>
      </c>
      <c r="AR784" s="15" t="s">
        <v>1316</v>
      </c>
    </row>
    <row r="785" spans="1:44" x14ac:dyDescent="0.2">
      <c r="A785" t="s">
        <v>1127</v>
      </c>
      <c r="B785" s="15" t="s">
        <v>1146</v>
      </c>
      <c r="C785" s="15" t="s">
        <v>1149</v>
      </c>
      <c r="D785" t="s">
        <v>1125</v>
      </c>
      <c r="E785" t="s">
        <v>1126</v>
      </c>
      <c r="F785" t="s">
        <v>1311</v>
      </c>
      <c r="G785" s="15" t="s">
        <v>1165</v>
      </c>
      <c r="H785" s="14" t="s">
        <v>1165</v>
      </c>
      <c r="I785" s="16" t="s">
        <v>1312</v>
      </c>
      <c r="M785" t="s">
        <v>1145</v>
      </c>
      <c r="O785">
        <v>2011</v>
      </c>
      <c r="R785">
        <v>30</v>
      </c>
      <c r="T785" t="s">
        <v>1313</v>
      </c>
      <c r="U785" t="s">
        <v>1246</v>
      </c>
      <c r="V785" s="9" t="s">
        <v>1313</v>
      </c>
      <c r="W785">
        <v>70</v>
      </c>
      <c r="X785" s="9" t="s">
        <v>1293</v>
      </c>
      <c r="Y785" t="s">
        <v>1210</v>
      </c>
      <c r="Z785">
        <v>0</v>
      </c>
      <c r="AF785" s="14" t="s">
        <v>153</v>
      </c>
      <c r="AG785" t="s">
        <v>1314</v>
      </c>
      <c r="AH785">
        <v>10</v>
      </c>
      <c r="AI785" t="s">
        <v>153</v>
      </c>
      <c r="AJ785" s="15" t="s">
        <v>1148</v>
      </c>
      <c r="AK785" s="15">
        <v>0</v>
      </c>
      <c r="AL785" s="14" t="s">
        <v>1263</v>
      </c>
      <c r="AM785" s="14">
        <v>0</v>
      </c>
      <c r="AN785" s="15">
        <v>4</v>
      </c>
      <c r="AO785" s="15">
        <v>50</v>
      </c>
      <c r="AP785" s="15">
        <v>14</v>
      </c>
      <c r="AQ785" s="14" t="s">
        <v>1284</v>
      </c>
      <c r="AR785" s="15" t="s">
        <v>1316</v>
      </c>
    </row>
    <row r="786" spans="1:44" x14ac:dyDescent="0.2">
      <c r="A786" t="s">
        <v>1127</v>
      </c>
      <c r="B786" s="15" t="s">
        <v>1146</v>
      </c>
      <c r="C786" s="15" t="s">
        <v>1149</v>
      </c>
      <c r="D786" t="s">
        <v>1125</v>
      </c>
      <c r="E786" t="s">
        <v>1126</v>
      </c>
      <c r="F786" t="s">
        <v>1311</v>
      </c>
      <c r="G786" s="15" t="s">
        <v>1165</v>
      </c>
      <c r="H786" s="14" t="s">
        <v>1165</v>
      </c>
      <c r="I786" s="16" t="s">
        <v>1312</v>
      </c>
      <c r="M786" t="s">
        <v>1145</v>
      </c>
      <c r="O786">
        <v>2011</v>
      </c>
      <c r="R786">
        <v>30</v>
      </c>
      <c r="T786" t="s">
        <v>1313</v>
      </c>
      <c r="U786" t="s">
        <v>1246</v>
      </c>
      <c r="V786" s="9" t="s">
        <v>1313</v>
      </c>
      <c r="W786">
        <v>70</v>
      </c>
      <c r="X786" s="9" t="s">
        <v>1291</v>
      </c>
      <c r="Y786" t="s">
        <v>1210</v>
      </c>
      <c r="Z786">
        <v>0</v>
      </c>
      <c r="AF786" s="14" t="s">
        <v>153</v>
      </c>
      <c r="AG786" t="s">
        <v>1314</v>
      </c>
      <c r="AH786">
        <v>10</v>
      </c>
      <c r="AI786" t="s">
        <v>153</v>
      </c>
      <c r="AJ786" s="15" t="s">
        <v>1148</v>
      </c>
      <c r="AK786" s="15">
        <v>0</v>
      </c>
      <c r="AL786" s="14" t="s">
        <v>1263</v>
      </c>
      <c r="AM786" s="14">
        <v>0</v>
      </c>
      <c r="AN786" s="15">
        <v>4</v>
      </c>
      <c r="AO786" s="15">
        <v>50</v>
      </c>
      <c r="AP786" s="15">
        <v>21</v>
      </c>
      <c r="AQ786" s="14" t="s">
        <v>1284</v>
      </c>
      <c r="AR786" s="15" t="s">
        <v>1316</v>
      </c>
    </row>
    <row r="787" spans="1:44" x14ac:dyDescent="0.2">
      <c r="A787" t="s">
        <v>1127</v>
      </c>
      <c r="B787" s="15" t="s">
        <v>1146</v>
      </c>
      <c r="C787" s="15" t="s">
        <v>1149</v>
      </c>
      <c r="D787" t="s">
        <v>1125</v>
      </c>
      <c r="E787" t="s">
        <v>1126</v>
      </c>
      <c r="F787" t="s">
        <v>1311</v>
      </c>
      <c r="G787" s="15" t="s">
        <v>1165</v>
      </c>
      <c r="H787" s="14" t="s">
        <v>1165</v>
      </c>
      <c r="I787" s="16" t="s">
        <v>1312</v>
      </c>
      <c r="M787" t="s">
        <v>1145</v>
      </c>
      <c r="O787">
        <v>2011</v>
      </c>
      <c r="R787">
        <v>30</v>
      </c>
      <c r="T787" t="s">
        <v>1313</v>
      </c>
      <c r="U787" t="s">
        <v>1246</v>
      </c>
      <c r="V787" s="9" t="s">
        <v>1313</v>
      </c>
      <c r="W787">
        <v>70</v>
      </c>
      <c r="X787" s="9" t="s">
        <v>1292</v>
      </c>
      <c r="Y787" t="s">
        <v>1210</v>
      </c>
      <c r="Z787">
        <v>0</v>
      </c>
      <c r="AF787" s="14" t="s">
        <v>153</v>
      </c>
      <c r="AG787" t="s">
        <v>1314</v>
      </c>
      <c r="AH787">
        <v>10</v>
      </c>
      <c r="AI787" t="s">
        <v>153</v>
      </c>
      <c r="AJ787" s="15" t="s">
        <v>1148</v>
      </c>
      <c r="AK787" s="15">
        <v>0.63300000000000001</v>
      </c>
      <c r="AL787" s="14" t="s">
        <v>1263</v>
      </c>
      <c r="AM787" s="14">
        <v>0</v>
      </c>
      <c r="AN787" s="15">
        <v>4</v>
      </c>
      <c r="AO787" s="15">
        <v>50</v>
      </c>
      <c r="AP787" s="15">
        <v>21</v>
      </c>
      <c r="AQ787" s="14" t="s">
        <v>1284</v>
      </c>
      <c r="AR787" s="15" t="s">
        <v>1316</v>
      </c>
    </row>
    <row r="788" spans="1:44" x14ac:dyDescent="0.2">
      <c r="A788" t="s">
        <v>1127</v>
      </c>
      <c r="B788" s="15" t="s">
        <v>1146</v>
      </c>
      <c r="C788" s="15" t="s">
        <v>1149</v>
      </c>
      <c r="D788" t="s">
        <v>1125</v>
      </c>
      <c r="E788" t="s">
        <v>1126</v>
      </c>
      <c r="F788" t="s">
        <v>1311</v>
      </c>
      <c r="G788" s="15" t="s">
        <v>1165</v>
      </c>
      <c r="H788" s="14" t="s">
        <v>1165</v>
      </c>
      <c r="I788" s="16" t="s">
        <v>1312</v>
      </c>
      <c r="M788" t="s">
        <v>1145</v>
      </c>
      <c r="O788">
        <v>2011</v>
      </c>
      <c r="R788">
        <v>30</v>
      </c>
      <c r="T788" t="s">
        <v>1313</v>
      </c>
      <c r="U788" t="s">
        <v>1246</v>
      </c>
      <c r="V788" s="9" t="s">
        <v>1313</v>
      </c>
      <c r="W788">
        <v>70</v>
      </c>
      <c r="X788" s="9" t="s">
        <v>1201</v>
      </c>
      <c r="Y788" t="s">
        <v>1210</v>
      </c>
      <c r="Z788">
        <v>0</v>
      </c>
      <c r="AF788" s="14" t="s">
        <v>153</v>
      </c>
      <c r="AG788" t="s">
        <v>1314</v>
      </c>
      <c r="AH788">
        <v>10</v>
      </c>
      <c r="AI788" t="s">
        <v>153</v>
      </c>
      <c r="AJ788" s="15" t="s">
        <v>1148</v>
      </c>
      <c r="AK788" s="15">
        <v>14.5</v>
      </c>
      <c r="AL788" s="14" t="s">
        <v>1263</v>
      </c>
      <c r="AM788" s="14">
        <f>15.833-13.878</f>
        <v>1.9550000000000001</v>
      </c>
      <c r="AN788" s="15">
        <v>4</v>
      </c>
      <c r="AO788" s="15">
        <v>50</v>
      </c>
      <c r="AP788" s="15">
        <v>21</v>
      </c>
      <c r="AQ788" s="14" t="s">
        <v>1284</v>
      </c>
      <c r="AR788" s="15" t="s">
        <v>1316</v>
      </c>
    </row>
    <row r="789" spans="1:44" x14ac:dyDescent="0.2">
      <c r="A789" t="s">
        <v>1127</v>
      </c>
      <c r="B789" s="15" t="s">
        <v>1146</v>
      </c>
      <c r="C789" s="15" t="s">
        <v>1149</v>
      </c>
      <c r="D789" t="s">
        <v>1125</v>
      </c>
      <c r="E789" t="s">
        <v>1126</v>
      </c>
      <c r="F789" t="s">
        <v>1311</v>
      </c>
      <c r="G789" s="15" t="s">
        <v>1165</v>
      </c>
      <c r="H789" s="14" t="s">
        <v>1165</v>
      </c>
      <c r="I789" s="16" t="s">
        <v>1312</v>
      </c>
      <c r="M789" t="s">
        <v>1145</v>
      </c>
      <c r="O789">
        <v>2011</v>
      </c>
      <c r="R789">
        <v>30</v>
      </c>
      <c r="T789" t="s">
        <v>1313</v>
      </c>
      <c r="U789" t="s">
        <v>1246</v>
      </c>
      <c r="V789" s="9" t="s">
        <v>1313</v>
      </c>
      <c r="W789">
        <v>70</v>
      </c>
      <c r="X789" s="9" t="s">
        <v>1293</v>
      </c>
      <c r="Y789" t="s">
        <v>1210</v>
      </c>
      <c r="Z789">
        <v>0</v>
      </c>
      <c r="AF789" s="14" t="s">
        <v>153</v>
      </c>
      <c r="AG789" t="s">
        <v>1314</v>
      </c>
      <c r="AH789">
        <v>10</v>
      </c>
      <c r="AI789" t="s">
        <v>153</v>
      </c>
      <c r="AJ789" s="15" t="s">
        <v>1148</v>
      </c>
      <c r="AK789" s="15">
        <v>0</v>
      </c>
      <c r="AL789" s="14" t="s">
        <v>1263</v>
      </c>
      <c r="AM789">
        <v>0</v>
      </c>
      <c r="AN789" s="15">
        <v>4</v>
      </c>
      <c r="AO789" s="15">
        <v>50</v>
      </c>
      <c r="AP789" s="15">
        <v>21</v>
      </c>
      <c r="AQ789" s="14" t="s">
        <v>1284</v>
      </c>
      <c r="AR789" s="15" t="s">
        <v>1316</v>
      </c>
    </row>
    <row r="790" spans="1:44" x14ac:dyDescent="0.2">
      <c r="A790" t="s">
        <v>1127</v>
      </c>
      <c r="B790" s="15" t="s">
        <v>1146</v>
      </c>
      <c r="C790" s="15" t="s">
        <v>1149</v>
      </c>
      <c r="D790" t="s">
        <v>1125</v>
      </c>
      <c r="E790" t="s">
        <v>1126</v>
      </c>
      <c r="F790" t="s">
        <v>1311</v>
      </c>
      <c r="G790" s="15" t="s">
        <v>1165</v>
      </c>
      <c r="H790" s="14" t="s">
        <v>1165</v>
      </c>
      <c r="I790" s="16" t="s">
        <v>1312</v>
      </c>
      <c r="M790" t="s">
        <v>1145</v>
      </c>
      <c r="O790">
        <v>2011</v>
      </c>
      <c r="R790">
        <v>30</v>
      </c>
      <c r="T790" t="s">
        <v>1313</v>
      </c>
      <c r="U790" t="s">
        <v>1246</v>
      </c>
      <c r="V790" s="9" t="s">
        <v>1313</v>
      </c>
      <c r="W790">
        <v>70</v>
      </c>
      <c r="X790" s="9" t="s">
        <v>1291</v>
      </c>
      <c r="Y790" t="s">
        <v>1210</v>
      </c>
      <c r="Z790">
        <v>0</v>
      </c>
      <c r="AF790" s="14" t="s">
        <v>153</v>
      </c>
      <c r="AG790" t="s">
        <v>1314</v>
      </c>
      <c r="AH790">
        <v>10</v>
      </c>
      <c r="AI790" t="s">
        <v>153</v>
      </c>
      <c r="AJ790" s="15" t="s">
        <v>1148</v>
      </c>
      <c r="AK790" s="15">
        <v>0</v>
      </c>
      <c r="AL790" s="14" t="s">
        <v>1263</v>
      </c>
      <c r="AM790" s="14">
        <v>0</v>
      </c>
      <c r="AN790" s="15">
        <v>4</v>
      </c>
      <c r="AO790" s="15">
        <v>50</v>
      </c>
      <c r="AP790" s="15">
        <v>28</v>
      </c>
      <c r="AQ790" s="14" t="s">
        <v>1284</v>
      </c>
      <c r="AR790" s="15" t="s">
        <v>1316</v>
      </c>
    </row>
    <row r="791" spans="1:44" x14ac:dyDescent="0.2">
      <c r="A791" t="s">
        <v>1127</v>
      </c>
      <c r="B791" s="15" t="s">
        <v>1146</v>
      </c>
      <c r="C791" s="15" t="s">
        <v>1149</v>
      </c>
      <c r="D791" t="s">
        <v>1125</v>
      </c>
      <c r="E791" t="s">
        <v>1126</v>
      </c>
      <c r="F791" t="s">
        <v>1311</v>
      </c>
      <c r="G791" s="15" t="s">
        <v>1165</v>
      </c>
      <c r="H791" s="14" t="s">
        <v>1165</v>
      </c>
      <c r="I791" s="16" t="s">
        <v>1312</v>
      </c>
      <c r="M791" t="s">
        <v>1145</v>
      </c>
      <c r="O791">
        <v>2011</v>
      </c>
      <c r="R791">
        <v>30</v>
      </c>
      <c r="T791" t="s">
        <v>1313</v>
      </c>
      <c r="U791" t="s">
        <v>1246</v>
      </c>
      <c r="V791" s="9" t="s">
        <v>1313</v>
      </c>
      <c r="W791">
        <v>70</v>
      </c>
      <c r="X791" s="9" t="s">
        <v>1292</v>
      </c>
      <c r="Y791" t="s">
        <v>1210</v>
      </c>
      <c r="Z791">
        <v>0</v>
      </c>
      <c r="AF791" s="14" t="s">
        <v>153</v>
      </c>
      <c r="AG791" t="s">
        <v>1314</v>
      </c>
      <c r="AH791">
        <v>10</v>
      </c>
      <c r="AI791" t="s">
        <v>153</v>
      </c>
      <c r="AJ791" s="15" t="s">
        <v>1148</v>
      </c>
      <c r="AK791" s="15">
        <v>4.4560000000000004</v>
      </c>
      <c r="AL791" s="14" t="s">
        <v>1263</v>
      </c>
      <c r="AM791" s="14">
        <f>5.344-3.656</f>
        <v>1.6880000000000002</v>
      </c>
      <c r="AN791" s="15">
        <v>4</v>
      </c>
      <c r="AO791" s="15">
        <v>50</v>
      </c>
      <c r="AP791" s="15">
        <v>28</v>
      </c>
      <c r="AQ791" s="14" t="s">
        <v>1284</v>
      </c>
      <c r="AR791" s="15" t="s">
        <v>1316</v>
      </c>
    </row>
    <row r="792" spans="1:44" x14ac:dyDescent="0.2">
      <c r="A792" t="s">
        <v>1127</v>
      </c>
      <c r="B792" s="15" t="s">
        <v>1146</v>
      </c>
      <c r="C792" s="15" t="s">
        <v>1149</v>
      </c>
      <c r="D792" t="s">
        <v>1125</v>
      </c>
      <c r="E792" t="s">
        <v>1126</v>
      </c>
      <c r="F792" t="s">
        <v>1311</v>
      </c>
      <c r="G792" s="15" t="s">
        <v>1165</v>
      </c>
      <c r="H792" s="14" t="s">
        <v>1165</v>
      </c>
      <c r="I792" s="16" t="s">
        <v>1312</v>
      </c>
      <c r="M792" t="s">
        <v>1145</v>
      </c>
      <c r="O792">
        <v>2011</v>
      </c>
      <c r="R792">
        <v>30</v>
      </c>
      <c r="T792" t="s">
        <v>1313</v>
      </c>
      <c r="U792" t="s">
        <v>1246</v>
      </c>
      <c r="V792" s="9" t="s">
        <v>1313</v>
      </c>
      <c r="W792">
        <v>70</v>
      </c>
      <c r="X792" s="9" t="s">
        <v>1201</v>
      </c>
      <c r="Y792" t="s">
        <v>1210</v>
      </c>
      <c r="Z792">
        <v>0</v>
      </c>
      <c r="AF792" s="14" t="s">
        <v>153</v>
      </c>
      <c r="AG792" t="s">
        <v>1314</v>
      </c>
      <c r="AH792">
        <v>10</v>
      </c>
      <c r="AI792" t="s">
        <v>153</v>
      </c>
      <c r="AJ792" s="15" t="s">
        <v>1148</v>
      </c>
      <c r="AK792" s="15">
        <v>14.667</v>
      </c>
      <c r="AL792" s="14" t="s">
        <v>1263</v>
      </c>
      <c r="AM792" s="14">
        <f>15.744-13.789</f>
        <v>1.9550000000000001</v>
      </c>
      <c r="AN792" s="15">
        <v>4</v>
      </c>
      <c r="AO792" s="15">
        <v>50</v>
      </c>
      <c r="AP792" s="15">
        <v>28</v>
      </c>
      <c r="AQ792" s="14" t="s">
        <v>1284</v>
      </c>
      <c r="AR792" s="15" t="s">
        <v>1316</v>
      </c>
    </row>
    <row r="793" spans="1:44" x14ac:dyDescent="0.2">
      <c r="A793" t="s">
        <v>1127</v>
      </c>
      <c r="B793" s="15" t="s">
        <v>1146</v>
      </c>
      <c r="C793" s="15" t="s">
        <v>1149</v>
      </c>
      <c r="D793" t="s">
        <v>1125</v>
      </c>
      <c r="E793" t="s">
        <v>1126</v>
      </c>
      <c r="F793" t="s">
        <v>1311</v>
      </c>
      <c r="G793" s="15" t="s">
        <v>1165</v>
      </c>
      <c r="H793" s="14" t="s">
        <v>1165</v>
      </c>
      <c r="I793" s="16" t="s">
        <v>1312</v>
      </c>
      <c r="M793" t="s">
        <v>1145</v>
      </c>
      <c r="O793">
        <v>2011</v>
      </c>
      <c r="R793">
        <v>30</v>
      </c>
      <c r="T793" t="s">
        <v>1313</v>
      </c>
      <c r="U793" t="s">
        <v>1246</v>
      </c>
      <c r="V793" s="9" t="s">
        <v>1313</v>
      </c>
      <c r="W793">
        <v>70</v>
      </c>
      <c r="X793" s="9" t="s">
        <v>1293</v>
      </c>
      <c r="Y793" t="s">
        <v>1210</v>
      </c>
      <c r="Z793">
        <v>0</v>
      </c>
      <c r="AF793" s="14" t="s">
        <v>153</v>
      </c>
      <c r="AG793" t="s">
        <v>1314</v>
      </c>
      <c r="AH793">
        <v>10</v>
      </c>
      <c r="AI793" t="s">
        <v>153</v>
      </c>
      <c r="AJ793" s="15" t="s">
        <v>1148</v>
      </c>
      <c r="AK793" s="15">
        <v>0</v>
      </c>
      <c r="AL793" s="14" t="s">
        <v>1263</v>
      </c>
      <c r="AM793">
        <v>0</v>
      </c>
      <c r="AN793" s="15">
        <v>4</v>
      </c>
      <c r="AO793" s="15">
        <v>50</v>
      </c>
      <c r="AP793" s="15">
        <v>28</v>
      </c>
      <c r="AQ793" s="14" t="s">
        <v>1284</v>
      </c>
      <c r="AR793" s="15" t="s">
        <v>1316</v>
      </c>
    </row>
    <row r="794" spans="1:44" x14ac:dyDescent="0.2">
      <c r="A794" t="s">
        <v>1127</v>
      </c>
      <c r="B794" s="15" t="s">
        <v>1146</v>
      </c>
      <c r="C794" s="15" t="s">
        <v>1149</v>
      </c>
      <c r="D794" t="s">
        <v>1125</v>
      </c>
      <c r="E794" t="s">
        <v>1126</v>
      </c>
      <c r="F794" t="s">
        <v>1311</v>
      </c>
      <c r="G794" s="15" t="s">
        <v>1165</v>
      </c>
      <c r="H794" s="14" t="s">
        <v>1165</v>
      </c>
      <c r="I794" s="16" t="s">
        <v>1312</v>
      </c>
      <c r="M794" t="s">
        <v>1145</v>
      </c>
      <c r="O794">
        <v>2011</v>
      </c>
      <c r="R794">
        <v>30</v>
      </c>
      <c r="T794" t="s">
        <v>1313</v>
      </c>
      <c r="U794" t="s">
        <v>1246</v>
      </c>
      <c r="V794" s="9" t="s">
        <v>1313</v>
      </c>
      <c r="W794">
        <v>70</v>
      </c>
      <c r="X794" s="9" t="s">
        <v>1291</v>
      </c>
      <c r="Y794" t="s">
        <v>1210</v>
      </c>
      <c r="Z794">
        <v>0</v>
      </c>
      <c r="AF794" s="14" t="s">
        <v>153</v>
      </c>
      <c r="AG794" t="s">
        <v>1314</v>
      </c>
      <c r="AH794">
        <v>10</v>
      </c>
      <c r="AI794" t="s">
        <v>153</v>
      </c>
      <c r="AJ794" s="15" t="s">
        <v>1148</v>
      </c>
      <c r="AK794" s="15">
        <v>0</v>
      </c>
      <c r="AL794" s="14" t="s">
        <v>1263</v>
      </c>
      <c r="AM794" s="14">
        <v>0</v>
      </c>
      <c r="AN794" s="15">
        <v>4</v>
      </c>
      <c r="AO794" s="15">
        <v>50</v>
      </c>
      <c r="AP794" s="15">
        <v>35</v>
      </c>
      <c r="AQ794" s="14" t="s">
        <v>1284</v>
      </c>
      <c r="AR794" s="15" t="s">
        <v>1316</v>
      </c>
    </row>
    <row r="795" spans="1:44" x14ac:dyDescent="0.2">
      <c r="A795" t="s">
        <v>1127</v>
      </c>
      <c r="B795" s="15" t="s">
        <v>1146</v>
      </c>
      <c r="C795" s="15" t="s">
        <v>1149</v>
      </c>
      <c r="D795" t="s">
        <v>1125</v>
      </c>
      <c r="E795" t="s">
        <v>1126</v>
      </c>
      <c r="F795" t="s">
        <v>1311</v>
      </c>
      <c r="G795" s="15" t="s">
        <v>1165</v>
      </c>
      <c r="H795" s="14" t="s">
        <v>1165</v>
      </c>
      <c r="I795" s="16" t="s">
        <v>1312</v>
      </c>
      <c r="M795" t="s">
        <v>1145</v>
      </c>
      <c r="O795">
        <v>2011</v>
      </c>
      <c r="R795">
        <v>30</v>
      </c>
      <c r="T795" t="s">
        <v>1313</v>
      </c>
      <c r="U795" t="s">
        <v>1246</v>
      </c>
      <c r="V795" s="9" t="s">
        <v>1313</v>
      </c>
      <c r="W795">
        <v>70</v>
      </c>
      <c r="X795" s="9" t="s">
        <v>1292</v>
      </c>
      <c r="Y795" t="s">
        <v>1210</v>
      </c>
      <c r="Z795">
        <v>0</v>
      </c>
      <c r="AF795" s="14" t="s">
        <v>153</v>
      </c>
      <c r="AG795" t="s">
        <v>1314</v>
      </c>
      <c r="AH795">
        <v>10</v>
      </c>
      <c r="AI795" t="s">
        <v>153</v>
      </c>
      <c r="AJ795" s="15" t="s">
        <v>1148</v>
      </c>
      <c r="AK795" s="15">
        <v>7.2</v>
      </c>
      <c r="AL795" s="14" t="s">
        <v>1263</v>
      </c>
      <c r="AM795" s="14">
        <f>8.633-5.7</f>
        <v>2.9329999999999989</v>
      </c>
      <c r="AN795" s="15">
        <v>4</v>
      </c>
      <c r="AO795" s="15">
        <v>50</v>
      </c>
      <c r="AP795" s="15">
        <v>35</v>
      </c>
      <c r="AQ795" s="14" t="s">
        <v>1284</v>
      </c>
      <c r="AR795" s="15" t="s">
        <v>1316</v>
      </c>
    </row>
    <row r="796" spans="1:44" x14ac:dyDescent="0.2">
      <c r="A796" t="s">
        <v>1127</v>
      </c>
      <c r="B796" s="15" t="s">
        <v>1146</v>
      </c>
      <c r="C796" s="15" t="s">
        <v>1149</v>
      </c>
      <c r="D796" t="s">
        <v>1125</v>
      </c>
      <c r="E796" t="s">
        <v>1126</v>
      </c>
      <c r="F796" t="s">
        <v>1311</v>
      </c>
      <c r="G796" s="15" t="s">
        <v>1165</v>
      </c>
      <c r="H796" s="14" t="s">
        <v>1165</v>
      </c>
      <c r="I796" s="16" t="s">
        <v>1312</v>
      </c>
      <c r="M796" t="s">
        <v>1145</v>
      </c>
      <c r="O796">
        <v>2011</v>
      </c>
      <c r="R796">
        <v>30</v>
      </c>
      <c r="T796" t="s">
        <v>1313</v>
      </c>
      <c r="U796" t="s">
        <v>1246</v>
      </c>
      <c r="V796" s="9" t="s">
        <v>1313</v>
      </c>
      <c r="W796">
        <v>70</v>
      </c>
      <c r="X796" s="9" t="s">
        <v>1201</v>
      </c>
      <c r="Y796" t="s">
        <v>1210</v>
      </c>
      <c r="Z796">
        <v>0</v>
      </c>
      <c r="AF796" s="14" t="s">
        <v>153</v>
      </c>
      <c r="AG796" t="s">
        <v>1314</v>
      </c>
      <c r="AH796">
        <v>10</v>
      </c>
      <c r="AI796" t="s">
        <v>153</v>
      </c>
      <c r="AJ796" s="15" t="s">
        <v>1148</v>
      </c>
      <c r="AK796" s="15">
        <v>14.867000000000001</v>
      </c>
      <c r="AL796" s="14" t="s">
        <v>1263</v>
      </c>
      <c r="AM796" s="14">
        <f>16.278-13.789</f>
        <v>2.488999999999999</v>
      </c>
      <c r="AN796" s="15">
        <v>4</v>
      </c>
      <c r="AO796" s="15">
        <v>50</v>
      </c>
      <c r="AP796" s="15">
        <v>35</v>
      </c>
      <c r="AQ796" s="14" t="s">
        <v>1284</v>
      </c>
      <c r="AR796" s="15" t="s">
        <v>1316</v>
      </c>
    </row>
    <row r="797" spans="1:44" x14ac:dyDescent="0.2">
      <c r="A797" t="s">
        <v>1127</v>
      </c>
      <c r="B797" s="15" t="s">
        <v>1146</v>
      </c>
      <c r="C797" s="15" t="s">
        <v>1149</v>
      </c>
      <c r="D797" t="s">
        <v>1125</v>
      </c>
      <c r="E797" t="s">
        <v>1126</v>
      </c>
      <c r="F797" t="s">
        <v>1311</v>
      </c>
      <c r="G797" s="15" t="s">
        <v>1165</v>
      </c>
      <c r="H797" s="14" t="s">
        <v>1165</v>
      </c>
      <c r="I797" s="16" t="s">
        <v>1312</v>
      </c>
      <c r="M797" t="s">
        <v>1145</v>
      </c>
      <c r="O797">
        <v>2011</v>
      </c>
      <c r="R797">
        <v>30</v>
      </c>
      <c r="T797" t="s">
        <v>1313</v>
      </c>
      <c r="U797" t="s">
        <v>1246</v>
      </c>
      <c r="V797" s="9" t="s">
        <v>1313</v>
      </c>
      <c r="W797">
        <v>70</v>
      </c>
      <c r="X797" s="9" t="s">
        <v>1293</v>
      </c>
      <c r="Y797" t="s">
        <v>1210</v>
      </c>
      <c r="Z797">
        <v>0</v>
      </c>
      <c r="AF797" s="14" t="s">
        <v>153</v>
      </c>
      <c r="AG797" t="s">
        <v>1314</v>
      </c>
      <c r="AH797">
        <v>10</v>
      </c>
      <c r="AI797" t="s">
        <v>153</v>
      </c>
      <c r="AJ797" s="15" t="s">
        <v>1148</v>
      </c>
      <c r="AK797" s="15">
        <v>0</v>
      </c>
      <c r="AL797" s="14" t="s">
        <v>1263</v>
      </c>
      <c r="AM797">
        <v>0</v>
      </c>
      <c r="AN797" s="15">
        <v>4</v>
      </c>
      <c r="AO797" s="15">
        <v>50</v>
      </c>
      <c r="AP797" s="15">
        <v>35</v>
      </c>
      <c r="AQ797" s="14" t="s">
        <v>1284</v>
      </c>
      <c r="AR797" s="15" t="s">
        <v>1316</v>
      </c>
    </row>
    <row r="798" spans="1:44" x14ac:dyDescent="0.2">
      <c r="A798" t="s">
        <v>1127</v>
      </c>
      <c r="B798" s="15" t="s">
        <v>1146</v>
      </c>
      <c r="C798" s="15" t="s">
        <v>1149</v>
      </c>
      <c r="D798" t="s">
        <v>1125</v>
      </c>
      <c r="E798" t="s">
        <v>1126</v>
      </c>
      <c r="F798" t="s">
        <v>1311</v>
      </c>
      <c r="G798" s="15" t="s">
        <v>1165</v>
      </c>
      <c r="H798" s="14" t="s">
        <v>1165</v>
      </c>
      <c r="I798" s="16" t="s">
        <v>1312</v>
      </c>
      <c r="M798" t="s">
        <v>1145</v>
      </c>
      <c r="O798">
        <v>2011</v>
      </c>
      <c r="R798">
        <v>30</v>
      </c>
      <c r="T798" t="s">
        <v>1313</v>
      </c>
      <c r="U798" t="s">
        <v>1246</v>
      </c>
      <c r="V798" s="9" t="s">
        <v>1313</v>
      </c>
      <c r="W798">
        <v>70</v>
      </c>
      <c r="X798" s="9" t="s">
        <v>1291</v>
      </c>
      <c r="Y798" t="s">
        <v>1210</v>
      </c>
      <c r="Z798">
        <v>0</v>
      </c>
      <c r="AF798" s="14" t="s">
        <v>153</v>
      </c>
      <c r="AG798" t="s">
        <v>1314</v>
      </c>
      <c r="AH798">
        <v>10</v>
      </c>
      <c r="AI798" t="s">
        <v>153</v>
      </c>
      <c r="AJ798" s="15" t="s">
        <v>1148</v>
      </c>
      <c r="AK798" s="15">
        <v>0</v>
      </c>
      <c r="AL798" s="14" t="s">
        <v>1263</v>
      </c>
      <c r="AM798" s="14">
        <v>0</v>
      </c>
      <c r="AN798" s="15">
        <v>4</v>
      </c>
      <c r="AO798" s="15">
        <v>50</v>
      </c>
      <c r="AP798" s="15">
        <v>42</v>
      </c>
      <c r="AQ798" s="14" t="s">
        <v>1284</v>
      </c>
      <c r="AR798" s="15" t="s">
        <v>1316</v>
      </c>
    </row>
    <row r="799" spans="1:44" x14ac:dyDescent="0.2">
      <c r="A799" t="s">
        <v>1127</v>
      </c>
      <c r="B799" s="15" t="s">
        <v>1146</v>
      </c>
      <c r="C799" s="15" t="s">
        <v>1149</v>
      </c>
      <c r="D799" t="s">
        <v>1125</v>
      </c>
      <c r="E799" t="s">
        <v>1126</v>
      </c>
      <c r="F799" t="s">
        <v>1311</v>
      </c>
      <c r="G799" s="15" t="s">
        <v>1165</v>
      </c>
      <c r="H799" s="14" t="s">
        <v>1165</v>
      </c>
      <c r="I799" s="16" t="s">
        <v>1312</v>
      </c>
      <c r="M799" t="s">
        <v>1145</v>
      </c>
      <c r="O799">
        <v>2011</v>
      </c>
      <c r="R799">
        <v>30</v>
      </c>
      <c r="T799" t="s">
        <v>1313</v>
      </c>
      <c r="U799" t="s">
        <v>1246</v>
      </c>
      <c r="V799" s="9" t="s">
        <v>1313</v>
      </c>
      <c r="W799">
        <v>70</v>
      </c>
      <c r="X799" s="9" t="s">
        <v>1292</v>
      </c>
      <c r="Y799" t="s">
        <v>1210</v>
      </c>
      <c r="Z799">
        <v>0</v>
      </c>
      <c r="AF799" s="14" t="s">
        <v>153</v>
      </c>
      <c r="AG799" t="s">
        <v>1314</v>
      </c>
      <c r="AH799">
        <v>10</v>
      </c>
      <c r="AI799" t="s">
        <v>153</v>
      </c>
      <c r="AJ799" s="15" t="s">
        <v>1148</v>
      </c>
      <c r="AK799" s="15">
        <v>8.1</v>
      </c>
      <c r="AL799" s="14" t="s">
        <v>1263</v>
      </c>
      <c r="AM799" s="14">
        <f>10.944-5.344</f>
        <v>5.6000000000000005</v>
      </c>
      <c r="AN799" s="15">
        <v>4</v>
      </c>
      <c r="AO799" s="15">
        <v>50</v>
      </c>
      <c r="AP799" s="15">
        <v>42</v>
      </c>
      <c r="AQ799" s="14" t="s">
        <v>1284</v>
      </c>
      <c r="AR799" s="15" t="s">
        <v>1316</v>
      </c>
    </row>
    <row r="800" spans="1:44" x14ac:dyDescent="0.2">
      <c r="A800" t="s">
        <v>1127</v>
      </c>
      <c r="B800" s="15" t="s">
        <v>1146</v>
      </c>
      <c r="C800" s="15" t="s">
        <v>1149</v>
      </c>
      <c r="D800" t="s">
        <v>1125</v>
      </c>
      <c r="E800" t="s">
        <v>1126</v>
      </c>
      <c r="F800" t="s">
        <v>1311</v>
      </c>
      <c r="G800" s="15" t="s">
        <v>1165</v>
      </c>
      <c r="H800" s="14" t="s">
        <v>1165</v>
      </c>
      <c r="I800" s="16" t="s">
        <v>1312</v>
      </c>
      <c r="M800" t="s">
        <v>1145</v>
      </c>
      <c r="O800">
        <v>2011</v>
      </c>
      <c r="R800">
        <v>30</v>
      </c>
      <c r="T800" t="s">
        <v>1313</v>
      </c>
      <c r="U800" t="s">
        <v>1246</v>
      </c>
      <c r="V800" s="9" t="s">
        <v>1313</v>
      </c>
      <c r="W800">
        <v>70</v>
      </c>
      <c r="X800" s="9" t="s">
        <v>1201</v>
      </c>
      <c r="Y800" t="s">
        <v>1210</v>
      </c>
      <c r="Z800">
        <v>0</v>
      </c>
      <c r="AF800" s="14" t="s">
        <v>153</v>
      </c>
      <c r="AG800" t="s">
        <v>1314</v>
      </c>
      <c r="AH800">
        <v>10</v>
      </c>
      <c r="AI800" t="s">
        <v>153</v>
      </c>
      <c r="AJ800" s="15" t="s">
        <v>1148</v>
      </c>
      <c r="AK800" s="15">
        <v>15.833</v>
      </c>
      <c r="AL800" s="14" t="s">
        <v>1263</v>
      </c>
      <c r="AM800" s="14">
        <f>17.256-14.767</f>
        <v>2.4890000000000008</v>
      </c>
      <c r="AN800" s="15">
        <v>4</v>
      </c>
      <c r="AO800" s="15">
        <v>50</v>
      </c>
      <c r="AP800" s="15">
        <v>42</v>
      </c>
      <c r="AQ800" s="14" t="s">
        <v>1284</v>
      </c>
      <c r="AR800" s="15" t="s">
        <v>1316</v>
      </c>
    </row>
    <row r="801" spans="1:44" x14ac:dyDescent="0.2">
      <c r="A801" t="s">
        <v>1127</v>
      </c>
      <c r="B801" s="15" t="s">
        <v>1146</v>
      </c>
      <c r="C801" s="15" t="s">
        <v>1149</v>
      </c>
      <c r="D801" t="s">
        <v>1125</v>
      </c>
      <c r="E801" t="s">
        <v>1126</v>
      </c>
      <c r="F801" t="s">
        <v>1311</v>
      </c>
      <c r="G801" s="15" t="s">
        <v>1165</v>
      </c>
      <c r="H801" s="14" t="s">
        <v>1165</v>
      </c>
      <c r="I801" s="16" t="s">
        <v>1312</v>
      </c>
      <c r="M801" t="s">
        <v>1145</v>
      </c>
      <c r="O801">
        <v>2011</v>
      </c>
      <c r="R801">
        <v>30</v>
      </c>
      <c r="T801" t="s">
        <v>1313</v>
      </c>
      <c r="U801" t="s">
        <v>1246</v>
      </c>
      <c r="V801" s="9" t="s">
        <v>1313</v>
      </c>
      <c r="W801">
        <v>70</v>
      </c>
      <c r="X801" s="9" t="s">
        <v>1293</v>
      </c>
      <c r="Y801" t="s">
        <v>1210</v>
      </c>
      <c r="Z801">
        <v>0</v>
      </c>
      <c r="AF801" s="14" t="s">
        <v>153</v>
      </c>
      <c r="AG801" t="s">
        <v>1314</v>
      </c>
      <c r="AH801">
        <v>10</v>
      </c>
      <c r="AI801" t="s">
        <v>153</v>
      </c>
      <c r="AJ801" s="15" t="s">
        <v>1148</v>
      </c>
      <c r="AK801" s="15">
        <v>0</v>
      </c>
      <c r="AL801" s="14" t="s">
        <v>1263</v>
      </c>
      <c r="AM801">
        <v>0</v>
      </c>
      <c r="AN801" s="15">
        <v>4</v>
      </c>
      <c r="AO801" s="15">
        <v>50</v>
      </c>
      <c r="AP801" s="15">
        <v>42</v>
      </c>
      <c r="AQ801" s="14" t="s">
        <v>1284</v>
      </c>
      <c r="AR801" s="15" t="s">
        <v>1316</v>
      </c>
    </row>
    <row r="802" spans="1:44" x14ac:dyDescent="0.2">
      <c r="A802" t="s">
        <v>1127</v>
      </c>
      <c r="B802" s="15" t="s">
        <v>1146</v>
      </c>
      <c r="C802" s="15" t="s">
        <v>1149</v>
      </c>
      <c r="D802" t="s">
        <v>1125</v>
      </c>
      <c r="E802" t="s">
        <v>1126</v>
      </c>
      <c r="F802" t="s">
        <v>1311</v>
      </c>
      <c r="G802" s="15" t="s">
        <v>1165</v>
      </c>
      <c r="H802" s="14" t="s">
        <v>1165</v>
      </c>
      <c r="I802" s="16" t="s">
        <v>1312</v>
      </c>
      <c r="M802" t="s">
        <v>1145</v>
      </c>
      <c r="O802">
        <v>2011</v>
      </c>
      <c r="R802">
        <v>30</v>
      </c>
      <c r="T802" t="s">
        <v>1313</v>
      </c>
      <c r="U802" t="s">
        <v>1246</v>
      </c>
      <c r="V802" s="9" t="s">
        <v>1313</v>
      </c>
      <c r="W802">
        <v>70</v>
      </c>
      <c r="X802" s="9" t="s">
        <v>1291</v>
      </c>
      <c r="Y802" t="s">
        <v>1210</v>
      </c>
      <c r="Z802">
        <v>0</v>
      </c>
      <c r="AF802" s="14" t="s">
        <v>153</v>
      </c>
      <c r="AG802" t="s">
        <v>1314</v>
      </c>
      <c r="AH802">
        <v>10</v>
      </c>
      <c r="AI802" t="s">
        <v>153</v>
      </c>
      <c r="AJ802" s="15" t="s">
        <v>1148</v>
      </c>
      <c r="AK802" s="15">
        <v>0</v>
      </c>
      <c r="AL802" s="14" t="s">
        <v>1263</v>
      </c>
      <c r="AM802" s="14">
        <v>0</v>
      </c>
      <c r="AN802" s="15">
        <v>4</v>
      </c>
      <c r="AO802" s="15">
        <v>50</v>
      </c>
      <c r="AP802" s="15">
        <v>49</v>
      </c>
      <c r="AQ802" s="14" t="s">
        <v>1284</v>
      </c>
      <c r="AR802" s="15" t="s">
        <v>1316</v>
      </c>
    </row>
    <row r="803" spans="1:44" x14ac:dyDescent="0.2">
      <c r="A803" t="s">
        <v>1127</v>
      </c>
      <c r="B803" s="15" t="s">
        <v>1146</v>
      </c>
      <c r="C803" s="15" t="s">
        <v>1149</v>
      </c>
      <c r="D803" t="s">
        <v>1125</v>
      </c>
      <c r="E803" t="s">
        <v>1126</v>
      </c>
      <c r="F803" t="s">
        <v>1311</v>
      </c>
      <c r="G803" s="15" t="s">
        <v>1165</v>
      </c>
      <c r="H803" s="14" t="s">
        <v>1165</v>
      </c>
      <c r="I803" s="16" t="s">
        <v>1312</v>
      </c>
      <c r="M803" t="s">
        <v>1145</v>
      </c>
      <c r="O803">
        <v>2011</v>
      </c>
      <c r="R803">
        <v>30</v>
      </c>
      <c r="T803" t="s">
        <v>1313</v>
      </c>
      <c r="U803" t="s">
        <v>1246</v>
      </c>
      <c r="V803" s="9" t="s">
        <v>1313</v>
      </c>
      <c r="W803">
        <v>70</v>
      </c>
      <c r="X803" s="9" t="s">
        <v>1292</v>
      </c>
      <c r="Y803" t="s">
        <v>1210</v>
      </c>
      <c r="Z803">
        <v>0</v>
      </c>
      <c r="AF803" s="14" t="s">
        <v>153</v>
      </c>
      <c r="AG803" t="s">
        <v>1314</v>
      </c>
      <c r="AH803">
        <v>10</v>
      </c>
      <c r="AI803" t="s">
        <v>153</v>
      </c>
      <c r="AJ803" s="15" t="s">
        <v>1148</v>
      </c>
      <c r="AK803" s="15">
        <v>8.2669999999999995</v>
      </c>
      <c r="AL803" s="14" t="s">
        <v>1263</v>
      </c>
      <c r="AM803" s="14">
        <f>10.944-5.433</f>
        <v>5.511000000000001</v>
      </c>
      <c r="AN803" s="15">
        <v>4</v>
      </c>
      <c r="AO803" s="15">
        <v>50</v>
      </c>
      <c r="AP803" s="15">
        <v>49</v>
      </c>
      <c r="AQ803" s="14" t="s">
        <v>1284</v>
      </c>
      <c r="AR803" s="15" t="s">
        <v>1316</v>
      </c>
    </row>
    <row r="804" spans="1:44" x14ac:dyDescent="0.2">
      <c r="A804" t="s">
        <v>1127</v>
      </c>
      <c r="B804" s="15" t="s">
        <v>1146</v>
      </c>
      <c r="C804" s="15" t="s">
        <v>1149</v>
      </c>
      <c r="D804" t="s">
        <v>1125</v>
      </c>
      <c r="E804" t="s">
        <v>1126</v>
      </c>
      <c r="F804" t="s">
        <v>1311</v>
      </c>
      <c r="G804" s="15" t="s">
        <v>1165</v>
      </c>
      <c r="H804" s="14" t="s">
        <v>1165</v>
      </c>
      <c r="I804" s="16" t="s">
        <v>1312</v>
      </c>
      <c r="M804" t="s">
        <v>1145</v>
      </c>
      <c r="O804">
        <v>2011</v>
      </c>
      <c r="R804">
        <v>30</v>
      </c>
      <c r="T804" t="s">
        <v>1313</v>
      </c>
      <c r="U804" t="s">
        <v>1246</v>
      </c>
      <c r="V804" s="9" t="s">
        <v>1313</v>
      </c>
      <c r="W804">
        <v>70</v>
      </c>
      <c r="X804" s="9" t="s">
        <v>1201</v>
      </c>
      <c r="Y804" t="s">
        <v>1210</v>
      </c>
      <c r="Z804">
        <v>0</v>
      </c>
      <c r="AF804" s="14" t="s">
        <v>153</v>
      </c>
      <c r="AG804" t="s">
        <v>1314</v>
      </c>
      <c r="AH804">
        <v>10</v>
      </c>
      <c r="AI804" t="s">
        <v>153</v>
      </c>
      <c r="AJ804" s="15" t="s">
        <v>1148</v>
      </c>
      <c r="AK804" s="15">
        <v>16.2</v>
      </c>
      <c r="AL804" s="14" t="s">
        <v>1263</v>
      </c>
      <c r="AM804" s="14">
        <f>17.256-15.3</f>
        <v>1.9559999999999995</v>
      </c>
      <c r="AN804" s="15">
        <v>4</v>
      </c>
      <c r="AO804" s="15">
        <v>50</v>
      </c>
      <c r="AP804" s="15">
        <v>49</v>
      </c>
      <c r="AQ804" s="14" t="s">
        <v>1284</v>
      </c>
      <c r="AR804" s="15" t="s">
        <v>1316</v>
      </c>
    </row>
    <row r="805" spans="1:44" x14ac:dyDescent="0.2">
      <c r="A805" t="s">
        <v>1127</v>
      </c>
      <c r="B805" s="15" t="s">
        <v>1146</v>
      </c>
      <c r="C805" s="15" t="s">
        <v>1149</v>
      </c>
      <c r="D805" t="s">
        <v>1125</v>
      </c>
      <c r="E805" t="s">
        <v>1126</v>
      </c>
      <c r="F805" t="s">
        <v>1311</v>
      </c>
      <c r="G805" s="15" t="s">
        <v>1165</v>
      </c>
      <c r="H805" s="14" t="s">
        <v>1165</v>
      </c>
      <c r="I805" s="16" t="s">
        <v>1312</v>
      </c>
      <c r="M805" t="s">
        <v>1145</v>
      </c>
      <c r="O805">
        <v>2011</v>
      </c>
      <c r="R805">
        <v>30</v>
      </c>
      <c r="T805" t="s">
        <v>1313</v>
      </c>
      <c r="U805" t="s">
        <v>1246</v>
      </c>
      <c r="V805" s="9" t="s">
        <v>1313</v>
      </c>
      <c r="W805">
        <v>70</v>
      </c>
      <c r="X805" s="9" t="s">
        <v>1293</v>
      </c>
      <c r="Y805" t="s">
        <v>1210</v>
      </c>
      <c r="Z805">
        <v>0</v>
      </c>
      <c r="AF805" s="14" t="s">
        <v>153</v>
      </c>
      <c r="AG805" t="s">
        <v>1314</v>
      </c>
      <c r="AH805">
        <v>10</v>
      </c>
      <c r="AI805" t="s">
        <v>153</v>
      </c>
      <c r="AJ805" s="15" t="s">
        <v>1148</v>
      </c>
      <c r="AK805" s="15">
        <v>0</v>
      </c>
      <c r="AL805" s="14" t="s">
        <v>1263</v>
      </c>
      <c r="AM805">
        <v>0</v>
      </c>
      <c r="AN805" s="15">
        <v>4</v>
      </c>
      <c r="AO805" s="15">
        <v>50</v>
      </c>
      <c r="AP805" s="15">
        <v>49</v>
      </c>
      <c r="AQ805" s="14" t="s">
        <v>1284</v>
      </c>
      <c r="AR805" s="15" t="s">
        <v>1316</v>
      </c>
    </row>
    <row r="806" spans="1:44" x14ac:dyDescent="0.2">
      <c r="A806" t="s">
        <v>1127</v>
      </c>
      <c r="B806" s="15" t="s">
        <v>1146</v>
      </c>
      <c r="C806" s="15" t="s">
        <v>1149</v>
      </c>
      <c r="D806" t="s">
        <v>1125</v>
      </c>
      <c r="E806" t="s">
        <v>1126</v>
      </c>
      <c r="F806" t="s">
        <v>1311</v>
      </c>
      <c r="G806" s="15" t="s">
        <v>1165</v>
      </c>
      <c r="H806" s="14" t="s">
        <v>1165</v>
      </c>
      <c r="I806" s="16" t="s">
        <v>1312</v>
      </c>
      <c r="M806" t="s">
        <v>1145</v>
      </c>
      <c r="O806">
        <v>2011</v>
      </c>
      <c r="R806">
        <v>30</v>
      </c>
      <c r="T806" t="s">
        <v>1313</v>
      </c>
      <c r="U806" t="s">
        <v>1246</v>
      </c>
      <c r="V806" s="9" t="s">
        <v>1313</v>
      </c>
      <c r="W806">
        <v>70</v>
      </c>
      <c r="X806" s="9" t="s">
        <v>1291</v>
      </c>
      <c r="Y806" t="s">
        <v>1210</v>
      </c>
      <c r="Z806">
        <v>0</v>
      </c>
      <c r="AF806" s="14" t="s">
        <v>153</v>
      </c>
      <c r="AG806" t="s">
        <v>1314</v>
      </c>
      <c r="AH806">
        <v>10</v>
      </c>
      <c r="AI806" t="s">
        <v>153</v>
      </c>
      <c r="AJ806" s="15" t="s">
        <v>1148</v>
      </c>
      <c r="AK806" s="15">
        <v>0</v>
      </c>
      <c r="AL806" s="14" t="s">
        <v>1263</v>
      </c>
      <c r="AM806" s="14">
        <v>0</v>
      </c>
      <c r="AN806" s="15">
        <v>4</v>
      </c>
      <c r="AO806" s="15">
        <v>50</v>
      </c>
      <c r="AP806" s="15">
        <v>56</v>
      </c>
      <c r="AQ806" s="14" t="s">
        <v>1284</v>
      </c>
      <c r="AR806" s="15" t="s">
        <v>1316</v>
      </c>
    </row>
    <row r="807" spans="1:44" x14ac:dyDescent="0.2">
      <c r="A807" t="s">
        <v>1127</v>
      </c>
      <c r="B807" s="15" t="s">
        <v>1146</v>
      </c>
      <c r="C807" s="15" t="s">
        <v>1149</v>
      </c>
      <c r="D807" t="s">
        <v>1125</v>
      </c>
      <c r="E807" t="s">
        <v>1126</v>
      </c>
      <c r="F807" t="s">
        <v>1311</v>
      </c>
      <c r="G807" s="15" t="s">
        <v>1165</v>
      </c>
      <c r="H807" s="14" t="s">
        <v>1165</v>
      </c>
      <c r="I807" s="16" t="s">
        <v>1312</v>
      </c>
      <c r="M807" t="s">
        <v>1145</v>
      </c>
      <c r="O807">
        <v>2011</v>
      </c>
      <c r="R807">
        <v>30</v>
      </c>
      <c r="T807" t="s">
        <v>1313</v>
      </c>
      <c r="U807" t="s">
        <v>1246</v>
      </c>
      <c r="V807" s="9" t="s">
        <v>1313</v>
      </c>
      <c r="W807">
        <v>70</v>
      </c>
      <c r="X807" s="9" t="s">
        <v>1292</v>
      </c>
      <c r="Y807" t="s">
        <v>1210</v>
      </c>
      <c r="Z807">
        <v>0</v>
      </c>
      <c r="AF807" s="14" t="s">
        <v>153</v>
      </c>
      <c r="AG807" t="s">
        <v>1314</v>
      </c>
      <c r="AH807">
        <v>10</v>
      </c>
      <c r="AI807" t="s">
        <v>153</v>
      </c>
      <c r="AJ807" s="15" t="s">
        <v>1148</v>
      </c>
      <c r="AK807" s="15">
        <v>8.1999999999999993</v>
      </c>
      <c r="AL807" s="14" t="s">
        <v>1263</v>
      </c>
      <c r="AM807" s="14">
        <f>10.967-5.367</f>
        <v>5.6000000000000005</v>
      </c>
      <c r="AN807" s="15">
        <v>4</v>
      </c>
      <c r="AO807" s="15">
        <v>50</v>
      </c>
      <c r="AP807" s="15">
        <v>56</v>
      </c>
      <c r="AQ807" s="14" t="s">
        <v>1284</v>
      </c>
      <c r="AR807" s="15" t="s">
        <v>1316</v>
      </c>
    </row>
    <row r="808" spans="1:44" x14ac:dyDescent="0.2">
      <c r="A808" t="s">
        <v>1127</v>
      </c>
      <c r="B808" s="15" t="s">
        <v>1146</v>
      </c>
      <c r="C808" s="15" t="s">
        <v>1149</v>
      </c>
      <c r="D808" t="s">
        <v>1125</v>
      </c>
      <c r="E808" t="s">
        <v>1126</v>
      </c>
      <c r="F808" t="s">
        <v>1311</v>
      </c>
      <c r="G808" s="15" t="s">
        <v>1165</v>
      </c>
      <c r="H808" s="14" t="s">
        <v>1165</v>
      </c>
      <c r="I808" s="16" t="s">
        <v>1312</v>
      </c>
      <c r="M808" t="s">
        <v>1145</v>
      </c>
      <c r="O808">
        <v>2011</v>
      </c>
      <c r="R808">
        <v>30</v>
      </c>
      <c r="T808" t="s">
        <v>1313</v>
      </c>
      <c r="U808" t="s">
        <v>1246</v>
      </c>
      <c r="V808" s="9" t="s">
        <v>1313</v>
      </c>
      <c r="W808">
        <v>70</v>
      </c>
      <c r="X808" s="9" t="s">
        <v>1201</v>
      </c>
      <c r="Y808" t="s">
        <v>1210</v>
      </c>
      <c r="Z808">
        <v>0</v>
      </c>
      <c r="AF808" s="14" t="s">
        <v>153</v>
      </c>
      <c r="AG808" t="s">
        <v>1314</v>
      </c>
      <c r="AH808">
        <v>10</v>
      </c>
      <c r="AI808" t="s">
        <v>153</v>
      </c>
      <c r="AJ808" s="15" t="s">
        <v>1148</v>
      </c>
      <c r="AK808" s="15">
        <v>16.189</v>
      </c>
      <c r="AL808" s="14" t="s">
        <v>1263</v>
      </c>
      <c r="AM808" s="14">
        <f>17.256-15.3</f>
        <v>1.9559999999999995</v>
      </c>
      <c r="AN808" s="15">
        <v>4</v>
      </c>
      <c r="AO808" s="15">
        <v>50</v>
      </c>
      <c r="AP808" s="15">
        <v>56</v>
      </c>
      <c r="AQ808" s="14" t="s">
        <v>1284</v>
      </c>
      <c r="AR808" s="15" t="s">
        <v>1316</v>
      </c>
    </row>
    <row r="809" spans="1:44" x14ac:dyDescent="0.2">
      <c r="A809" t="s">
        <v>1127</v>
      </c>
      <c r="B809" s="15" t="s">
        <v>1146</v>
      </c>
      <c r="C809" s="15" t="s">
        <v>1149</v>
      </c>
      <c r="D809" t="s">
        <v>1125</v>
      </c>
      <c r="E809" t="s">
        <v>1126</v>
      </c>
      <c r="F809" t="s">
        <v>1311</v>
      </c>
      <c r="G809" s="15" t="s">
        <v>1165</v>
      </c>
      <c r="H809" s="14" t="s">
        <v>1165</v>
      </c>
      <c r="I809" s="16" t="s">
        <v>1312</v>
      </c>
      <c r="M809" t="s">
        <v>1145</v>
      </c>
      <c r="O809">
        <v>2011</v>
      </c>
      <c r="R809">
        <v>30</v>
      </c>
      <c r="T809" t="s">
        <v>1313</v>
      </c>
      <c r="U809" t="s">
        <v>1246</v>
      </c>
      <c r="V809" s="9" t="s">
        <v>1313</v>
      </c>
      <c r="W809">
        <v>70</v>
      </c>
      <c r="X809" s="9" t="s">
        <v>1293</v>
      </c>
      <c r="Y809" t="s">
        <v>1210</v>
      </c>
      <c r="Z809">
        <v>0</v>
      </c>
      <c r="AF809" s="14" t="s">
        <v>153</v>
      </c>
      <c r="AG809" t="s">
        <v>1314</v>
      </c>
      <c r="AH809">
        <v>10</v>
      </c>
      <c r="AI809" t="s">
        <v>153</v>
      </c>
      <c r="AJ809" s="15" t="s">
        <v>1148</v>
      </c>
      <c r="AK809" s="15">
        <v>0</v>
      </c>
      <c r="AL809" s="14" t="s">
        <v>1263</v>
      </c>
      <c r="AM809">
        <v>0</v>
      </c>
      <c r="AN809" s="15">
        <v>4</v>
      </c>
      <c r="AO809" s="15">
        <v>50</v>
      </c>
      <c r="AP809" s="15">
        <v>56</v>
      </c>
      <c r="AQ809" s="14" t="s">
        <v>1284</v>
      </c>
      <c r="AR809" s="15" t="s">
        <v>1316</v>
      </c>
    </row>
    <row r="810" spans="1:44" x14ac:dyDescent="0.2">
      <c r="A810" t="s">
        <v>1127</v>
      </c>
      <c r="B810" s="15" t="s">
        <v>1146</v>
      </c>
      <c r="C810" s="15" t="s">
        <v>1149</v>
      </c>
      <c r="D810" t="s">
        <v>1125</v>
      </c>
      <c r="E810" t="s">
        <v>1126</v>
      </c>
      <c r="F810" t="s">
        <v>1311</v>
      </c>
      <c r="G810" s="15" t="s">
        <v>1165</v>
      </c>
      <c r="H810" s="14" t="s">
        <v>1165</v>
      </c>
      <c r="I810" s="16" t="s">
        <v>1312</v>
      </c>
      <c r="M810" t="s">
        <v>1145</v>
      </c>
      <c r="O810">
        <v>2011</v>
      </c>
      <c r="R810">
        <v>30</v>
      </c>
      <c r="T810" t="s">
        <v>1313</v>
      </c>
      <c r="U810" t="s">
        <v>1246</v>
      </c>
      <c r="V810" s="9" t="s">
        <v>1313</v>
      </c>
      <c r="W810">
        <v>70</v>
      </c>
      <c r="X810" s="9" t="s">
        <v>1291</v>
      </c>
      <c r="Y810" t="s">
        <v>1210</v>
      </c>
      <c r="Z810">
        <v>0</v>
      </c>
      <c r="AF810" s="14" t="s">
        <v>153</v>
      </c>
      <c r="AG810" t="s">
        <v>1314</v>
      </c>
      <c r="AH810">
        <v>10</v>
      </c>
      <c r="AI810" t="s">
        <v>153</v>
      </c>
      <c r="AJ810" s="15" t="s">
        <v>1148</v>
      </c>
      <c r="AK810" s="15">
        <v>0</v>
      </c>
      <c r="AL810" s="14" t="s">
        <v>1263</v>
      </c>
      <c r="AM810" s="14">
        <v>0</v>
      </c>
      <c r="AN810" s="15">
        <v>4</v>
      </c>
      <c r="AO810" s="15">
        <v>50</v>
      </c>
      <c r="AP810" s="15">
        <v>63</v>
      </c>
      <c r="AQ810" s="14" t="s">
        <v>1284</v>
      </c>
      <c r="AR810" s="15" t="s">
        <v>1316</v>
      </c>
    </row>
    <row r="811" spans="1:44" x14ac:dyDescent="0.2">
      <c r="A811" t="s">
        <v>1127</v>
      </c>
      <c r="B811" s="15" t="s">
        <v>1146</v>
      </c>
      <c r="C811" s="15" t="s">
        <v>1149</v>
      </c>
      <c r="D811" t="s">
        <v>1125</v>
      </c>
      <c r="E811" t="s">
        <v>1126</v>
      </c>
      <c r="F811" t="s">
        <v>1311</v>
      </c>
      <c r="G811" s="15" t="s">
        <v>1165</v>
      </c>
      <c r="H811" s="14" t="s">
        <v>1165</v>
      </c>
      <c r="I811" s="16" t="s">
        <v>1312</v>
      </c>
      <c r="M811" t="s">
        <v>1145</v>
      </c>
      <c r="O811">
        <v>2011</v>
      </c>
      <c r="R811">
        <v>30</v>
      </c>
      <c r="T811" t="s">
        <v>1313</v>
      </c>
      <c r="U811" t="s">
        <v>1246</v>
      </c>
      <c r="V811" s="9" t="s">
        <v>1313</v>
      </c>
      <c r="W811">
        <v>70</v>
      </c>
      <c r="X811" s="9" t="s">
        <v>1292</v>
      </c>
      <c r="Y811" t="s">
        <v>1210</v>
      </c>
      <c r="Z811">
        <v>0</v>
      </c>
      <c r="AF811" s="14" t="s">
        <v>153</v>
      </c>
      <c r="AG811" t="s">
        <v>1314</v>
      </c>
      <c r="AH811">
        <v>10</v>
      </c>
      <c r="AI811" t="s">
        <v>153</v>
      </c>
      <c r="AJ811" s="15" t="s">
        <v>1148</v>
      </c>
      <c r="AK811" s="15">
        <v>8.1999999999999993</v>
      </c>
      <c r="AL811" s="14" t="s">
        <v>1263</v>
      </c>
      <c r="AM811" s="14">
        <f>10.878-5.367</f>
        <v>5.5110000000000001</v>
      </c>
      <c r="AN811" s="15">
        <v>4</v>
      </c>
      <c r="AO811" s="15">
        <v>50</v>
      </c>
      <c r="AP811" s="15">
        <v>63</v>
      </c>
      <c r="AQ811" s="14" t="s">
        <v>1284</v>
      </c>
      <c r="AR811" s="15" t="s">
        <v>1316</v>
      </c>
    </row>
    <row r="812" spans="1:44" x14ac:dyDescent="0.2">
      <c r="A812" t="s">
        <v>1127</v>
      </c>
      <c r="B812" s="15" t="s">
        <v>1146</v>
      </c>
      <c r="C812" s="15" t="s">
        <v>1149</v>
      </c>
      <c r="D812" t="s">
        <v>1125</v>
      </c>
      <c r="E812" t="s">
        <v>1126</v>
      </c>
      <c r="F812" t="s">
        <v>1311</v>
      </c>
      <c r="G812" s="15" t="s">
        <v>1165</v>
      </c>
      <c r="H812" s="14" t="s">
        <v>1165</v>
      </c>
      <c r="I812" s="16" t="s">
        <v>1312</v>
      </c>
      <c r="M812" t="s">
        <v>1145</v>
      </c>
      <c r="O812">
        <v>2011</v>
      </c>
      <c r="R812">
        <v>30</v>
      </c>
      <c r="T812" t="s">
        <v>1313</v>
      </c>
      <c r="U812" t="s">
        <v>1246</v>
      </c>
      <c r="V812" s="9" t="s">
        <v>1313</v>
      </c>
      <c r="W812">
        <v>70</v>
      </c>
      <c r="X812" s="9" t="s">
        <v>1201</v>
      </c>
      <c r="Y812" t="s">
        <v>1210</v>
      </c>
      <c r="Z812">
        <v>0</v>
      </c>
      <c r="AF812" s="14" t="s">
        <v>153</v>
      </c>
      <c r="AG812" t="s">
        <v>1314</v>
      </c>
      <c r="AH812">
        <v>10</v>
      </c>
      <c r="AI812" t="s">
        <v>153</v>
      </c>
      <c r="AJ812" s="15" t="s">
        <v>1148</v>
      </c>
      <c r="AK812" s="15">
        <v>16.132999999999999</v>
      </c>
      <c r="AL812" s="14" t="s">
        <v>1263</v>
      </c>
      <c r="AM812" s="14">
        <f>17.278-15.056</f>
        <v>2.2219999999999995</v>
      </c>
      <c r="AN812" s="15">
        <v>4</v>
      </c>
      <c r="AO812" s="15">
        <v>50</v>
      </c>
      <c r="AP812" s="15">
        <v>63</v>
      </c>
      <c r="AQ812" s="14" t="s">
        <v>1284</v>
      </c>
      <c r="AR812" s="15" t="s">
        <v>1316</v>
      </c>
    </row>
    <row r="813" spans="1:44" x14ac:dyDescent="0.2">
      <c r="A813" t="s">
        <v>1127</v>
      </c>
      <c r="B813" s="15" t="s">
        <v>1146</v>
      </c>
      <c r="C813" s="15" t="s">
        <v>1149</v>
      </c>
      <c r="D813" t="s">
        <v>1125</v>
      </c>
      <c r="E813" t="s">
        <v>1126</v>
      </c>
      <c r="F813" t="s">
        <v>1311</v>
      </c>
      <c r="G813" s="15" t="s">
        <v>1165</v>
      </c>
      <c r="H813" s="14" t="s">
        <v>1165</v>
      </c>
      <c r="I813" s="16" t="s">
        <v>1312</v>
      </c>
      <c r="M813" t="s">
        <v>1145</v>
      </c>
      <c r="O813">
        <v>2011</v>
      </c>
      <c r="R813">
        <v>30</v>
      </c>
      <c r="T813" t="s">
        <v>1313</v>
      </c>
      <c r="U813" t="s">
        <v>1246</v>
      </c>
      <c r="V813" s="9" t="s">
        <v>1313</v>
      </c>
      <c r="W813">
        <v>70</v>
      </c>
      <c r="X813" s="9" t="s">
        <v>1293</v>
      </c>
      <c r="Y813" t="s">
        <v>1210</v>
      </c>
      <c r="Z813">
        <v>0</v>
      </c>
      <c r="AF813" s="14" t="s">
        <v>153</v>
      </c>
      <c r="AG813" t="s">
        <v>1314</v>
      </c>
      <c r="AH813">
        <v>10</v>
      </c>
      <c r="AI813" t="s">
        <v>153</v>
      </c>
      <c r="AJ813" s="15" t="s">
        <v>1148</v>
      </c>
      <c r="AK813" s="15">
        <v>0</v>
      </c>
      <c r="AL813" s="14" t="s">
        <v>1263</v>
      </c>
      <c r="AM813">
        <v>0</v>
      </c>
      <c r="AN813" s="15">
        <v>4</v>
      </c>
      <c r="AO813" s="15">
        <v>50</v>
      </c>
      <c r="AP813" s="15">
        <v>63</v>
      </c>
      <c r="AQ813" s="14" t="s">
        <v>1284</v>
      </c>
      <c r="AR813" s="15" t="s">
        <v>1316</v>
      </c>
    </row>
    <row r="814" spans="1:44" x14ac:dyDescent="0.2">
      <c r="A814" t="s">
        <v>1127</v>
      </c>
      <c r="B814" s="15" t="s">
        <v>1146</v>
      </c>
      <c r="C814" s="15" t="s">
        <v>1149</v>
      </c>
      <c r="D814" t="s">
        <v>1125</v>
      </c>
      <c r="E814" t="s">
        <v>1126</v>
      </c>
      <c r="F814" t="s">
        <v>1311</v>
      </c>
      <c r="G814" s="15" t="s">
        <v>1165</v>
      </c>
      <c r="H814" s="14" t="s">
        <v>1165</v>
      </c>
      <c r="I814" s="16" t="s">
        <v>1312</v>
      </c>
      <c r="M814" t="s">
        <v>1145</v>
      </c>
      <c r="O814">
        <v>2011</v>
      </c>
      <c r="R814">
        <v>30</v>
      </c>
      <c r="T814" t="s">
        <v>1313</v>
      </c>
      <c r="U814" t="s">
        <v>1246</v>
      </c>
      <c r="V814" s="9" t="s">
        <v>1313</v>
      </c>
      <c r="W814">
        <v>70</v>
      </c>
      <c r="X814" s="9" t="s">
        <v>1291</v>
      </c>
      <c r="Y814" t="s">
        <v>1210</v>
      </c>
      <c r="Z814">
        <v>0</v>
      </c>
      <c r="AF814" s="14" t="s">
        <v>153</v>
      </c>
      <c r="AG814" t="s">
        <v>1314</v>
      </c>
      <c r="AH814">
        <v>10</v>
      </c>
      <c r="AI814" t="s">
        <v>153</v>
      </c>
      <c r="AJ814" s="15" t="s">
        <v>1148</v>
      </c>
      <c r="AK814" s="15">
        <v>0</v>
      </c>
      <c r="AL814" s="14" t="s">
        <v>1263</v>
      </c>
      <c r="AM814" s="14">
        <v>0</v>
      </c>
      <c r="AN814" s="15">
        <v>4</v>
      </c>
      <c r="AO814" s="15">
        <v>50</v>
      </c>
      <c r="AP814" s="15">
        <v>70</v>
      </c>
      <c r="AQ814" s="14" t="s">
        <v>1284</v>
      </c>
      <c r="AR814" s="15" t="s">
        <v>1316</v>
      </c>
    </row>
    <row r="815" spans="1:44" x14ac:dyDescent="0.2">
      <c r="A815" t="s">
        <v>1127</v>
      </c>
      <c r="B815" s="15" t="s">
        <v>1146</v>
      </c>
      <c r="C815" s="15" t="s">
        <v>1149</v>
      </c>
      <c r="D815" t="s">
        <v>1125</v>
      </c>
      <c r="E815" t="s">
        <v>1126</v>
      </c>
      <c r="F815" t="s">
        <v>1311</v>
      </c>
      <c r="G815" s="15" t="s">
        <v>1165</v>
      </c>
      <c r="H815" s="14" t="s">
        <v>1165</v>
      </c>
      <c r="I815" s="16" t="s">
        <v>1312</v>
      </c>
      <c r="M815" t="s">
        <v>1145</v>
      </c>
      <c r="O815">
        <v>2011</v>
      </c>
      <c r="R815">
        <v>30</v>
      </c>
      <c r="T815" t="s">
        <v>1313</v>
      </c>
      <c r="U815" t="s">
        <v>1246</v>
      </c>
      <c r="V815" s="9" t="s">
        <v>1313</v>
      </c>
      <c r="W815">
        <v>70</v>
      </c>
      <c r="X815" s="9" t="s">
        <v>1292</v>
      </c>
      <c r="Y815" t="s">
        <v>1210</v>
      </c>
      <c r="Z815">
        <v>0</v>
      </c>
      <c r="AF815" s="14" t="s">
        <v>153</v>
      </c>
      <c r="AG815" t="s">
        <v>1314</v>
      </c>
      <c r="AH815">
        <v>10</v>
      </c>
      <c r="AI815" t="s">
        <v>153</v>
      </c>
      <c r="AJ815" s="15" t="s">
        <v>1148</v>
      </c>
      <c r="AK815" s="15">
        <v>8.2669999999999995</v>
      </c>
      <c r="AL815" s="14" t="s">
        <v>1263</v>
      </c>
      <c r="AM815" s="14">
        <f>10.967-5.278</f>
        <v>5.6890000000000009</v>
      </c>
      <c r="AN815" s="15">
        <v>4</v>
      </c>
      <c r="AO815" s="15">
        <v>50</v>
      </c>
      <c r="AP815" s="15">
        <v>70</v>
      </c>
      <c r="AQ815" s="14" t="s">
        <v>1284</v>
      </c>
      <c r="AR815" s="15" t="s">
        <v>1316</v>
      </c>
    </row>
    <row r="816" spans="1:44" x14ac:dyDescent="0.2">
      <c r="A816" t="s">
        <v>1127</v>
      </c>
      <c r="B816" s="15" t="s">
        <v>1146</v>
      </c>
      <c r="C816" s="15" t="s">
        <v>1149</v>
      </c>
      <c r="D816" t="s">
        <v>1125</v>
      </c>
      <c r="E816" t="s">
        <v>1126</v>
      </c>
      <c r="F816" t="s">
        <v>1311</v>
      </c>
      <c r="G816" s="15" t="s">
        <v>1165</v>
      </c>
      <c r="H816" s="14" t="s">
        <v>1165</v>
      </c>
      <c r="I816" s="16" t="s">
        <v>1312</v>
      </c>
      <c r="M816" t="s">
        <v>1145</v>
      </c>
      <c r="O816">
        <v>2011</v>
      </c>
      <c r="R816">
        <v>30</v>
      </c>
      <c r="T816" t="s">
        <v>1313</v>
      </c>
      <c r="U816" t="s">
        <v>1246</v>
      </c>
      <c r="V816" s="9" t="s">
        <v>1313</v>
      </c>
      <c r="W816">
        <v>70</v>
      </c>
      <c r="X816" s="9" t="s">
        <v>1201</v>
      </c>
      <c r="Y816" t="s">
        <v>1210</v>
      </c>
      <c r="Z816">
        <v>0</v>
      </c>
      <c r="AF816" s="14" t="s">
        <v>153</v>
      </c>
      <c r="AG816" t="s">
        <v>1314</v>
      </c>
      <c r="AH816">
        <v>10</v>
      </c>
      <c r="AI816" t="s">
        <v>153</v>
      </c>
      <c r="AJ816" s="15" t="s">
        <v>1148</v>
      </c>
      <c r="AK816" s="15">
        <v>16.3</v>
      </c>
      <c r="AL816" s="14" t="s">
        <v>1263</v>
      </c>
      <c r="AM816" s="14">
        <f>17.278-15.322</f>
        <v>1.9559999999999995</v>
      </c>
      <c r="AN816" s="15">
        <v>4</v>
      </c>
      <c r="AO816" s="15">
        <v>50</v>
      </c>
      <c r="AP816" s="15">
        <v>70</v>
      </c>
      <c r="AQ816" s="14" t="s">
        <v>1284</v>
      </c>
      <c r="AR816" s="15" t="s">
        <v>1316</v>
      </c>
    </row>
    <row r="817" spans="1:44" x14ac:dyDescent="0.2">
      <c r="A817" t="s">
        <v>1127</v>
      </c>
      <c r="B817" s="15" t="s">
        <v>1146</v>
      </c>
      <c r="C817" s="15" t="s">
        <v>1149</v>
      </c>
      <c r="D817" t="s">
        <v>1125</v>
      </c>
      <c r="E817" t="s">
        <v>1126</v>
      </c>
      <c r="F817" t="s">
        <v>1311</v>
      </c>
      <c r="G817" s="15" t="s">
        <v>1165</v>
      </c>
      <c r="H817" s="14" t="s">
        <v>1165</v>
      </c>
      <c r="I817" s="16" t="s">
        <v>1312</v>
      </c>
      <c r="M817" t="s">
        <v>1145</v>
      </c>
      <c r="O817">
        <v>2011</v>
      </c>
      <c r="R817">
        <v>30</v>
      </c>
      <c r="T817" t="s">
        <v>1313</v>
      </c>
      <c r="U817" t="s">
        <v>1246</v>
      </c>
      <c r="V817" s="9" t="s">
        <v>1313</v>
      </c>
      <c r="W817">
        <v>70</v>
      </c>
      <c r="X817" s="9" t="s">
        <v>1293</v>
      </c>
      <c r="Y817" t="s">
        <v>1210</v>
      </c>
      <c r="Z817">
        <v>0</v>
      </c>
      <c r="AF817" s="14" t="s">
        <v>153</v>
      </c>
      <c r="AG817" t="s">
        <v>1314</v>
      </c>
      <c r="AH817">
        <v>10</v>
      </c>
      <c r="AI817" t="s">
        <v>153</v>
      </c>
      <c r="AJ817" s="15" t="s">
        <v>1148</v>
      </c>
      <c r="AK817" s="15">
        <v>0</v>
      </c>
      <c r="AL817" s="14" t="s">
        <v>1263</v>
      </c>
      <c r="AM817">
        <v>0</v>
      </c>
      <c r="AN817" s="15">
        <v>4</v>
      </c>
      <c r="AO817" s="15">
        <v>50</v>
      </c>
      <c r="AP817" s="15">
        <v>70</v>
      </c>
      <c r="AQ817" s="14" t="s">
        <v>1284</v>
      </c>
      <c r="AR817" s="15" t="s">
        <v>1316</v>
      </c>
    </row>
    <row r="818" spans="1:44" x14ac:dyDescent="0.2">
      <c r="A818" t="s">
        <v>1127</v>
      </c>
      <c r="B818" s="15" t="s">
        <v>1146</v>
      </c>
      <c r="C818" s="15" t="s">
        <v>1149</v>
      </c>
      <c r="D818" t="s">
        <v>1125</v>
      </c>
      <c r="E818" t="s">
        <v>1126</v>
      </c>
      <c r="F818" t="s">
        <v>1311</v>
      </c>
      <c r="G818" s="15" t="s">
        <v>1165</v>
      </c>
      <c r="H818" s="14" t="s">
        <v>1165</v>
      </c>
      <c r="I818" s="16" t="s">
        <v>1312</v>
      </c>
      <c r="M818" t="s">
        <v>1145</v>
      </c>
      <c r="O818">
        <v>2011</v>
      </c>
      <c r="R818">
        <v>30</v>
      </c>
      <c r="T818" t="s">
        <v>1313</v>
      </c>
      <c r="U818" t="s">
        <v>1246</v>
      </c>
      <c r="V818" s="9" t="s">
        <v>1313</v>
      </c>
      <c r="W818">
        <v>70</v>
      </c>
      <c r="X818" s="9" t="s">
        <v>1201</v>
      </c>
      <c r="Y818" t="s">
        <v>1210</v>
      </c>
      <c r="Z818">
        <v>0</v>
      </c>
      <c r="AF818" s="14" t="s">
        <v>153</v>
      </c>
      <c r="AG818" t="s">
        <v>1314</v>
      </c>
      <c r="AH818">
        <v>10</v>
      </c>
      <c r="AI818" t="s">
        <v>153</v>
      </c>
      <c r="AJ818" s="15" t="s">
        <v>1148</v>
      </c>
      <c r="AK818" s="15">
        <v>0</v>
      </c>
      <c r="AL818" s="14" t="s">
        <v>1263</v>
      </c>
      <c r="AM818" s="14">
        <v>0</v>
      </c>
      <c r="AN818" s="15">
        <v>4</v>
      </c>
      <c r="AO818" s="15">
        <v>50</v>
      </c>
      <c r="AP818" s="15">
        <v>77</v>
      </c>
      <c r="AQ818" s="14" t="s">
        <v>1284</v>
      </c>
      <c r="AR818" s="15" t="s">
        <v>1316</v>
      </c>
    </row>
    <row r="819" spans="1:44" x14ac:dyDescent="0.2">
      <c r="A819" t="s">
        <v>1127</v>
      </c>
      <c r="B819" s="15" t="s">
        <v>1146</v>
      </c>
      <c r="C819" s="15" t="s">
        <v>1149</v>
      </c>
      <c r="D819" t="s">
        <v>1125</v>
      </c>
      <c r="E819" t="s">
        <v>1126</v>
      </c>
      <c r="F819" t="s">
        <v>1311</v>
      </c>
      <c r="G819" s="15" t="s">
        <v>1165</v>
      </c>
      <c r="H819" s="14" t="s">
        <v>1165</v>
      </c>
      <c r="I819" s="16" t="s">
        <v>1312</v>
      </c>
      <c r="M819" t="s">
        <v>1145</v>
      </c>
      <c r="O819">
        <v>2011</v>
      </c>
      <c r="R819">
        <v>30</v>
      </c>
      <c r="T819" t="s">
        <v>1313</v>
      </c>
      <c r="U819" t="s">
        <v>1246</v>
      </c>
      <c r="V819" s="9" t="s">
        <v>1313</v>
      </c>
      <c r="W819">
        <v>70</v>
      </c>
      <c r="X819" s="9" t="s">
        <v>1292</v>
      </c>
      <c r="Y819" t="s">
        <v>1210</v>
      </c>
      <c r="Z819">
        <v>0</v>
      </c>
      <c r="AF819" s="14" t="s">
        <v>153</v>
      </c>
      <c r="AG819" t="s">
        <v>1314</v>
      </c>
      <c r="AH819">
        <v>10</v>
      </c>
      <c r="AI819" t="s">
        <v>153</v>
      </c>
      <c r="AJ819" s="15" t="s">
        <v>1148</v>
      </c>
      <c r="AK819" s="15">
        <v>8.4670000000000005</v>
      </c>
      <c r="AL819" s="14" t="s">
        <v>1263</v>
      </c>
      <c r="AM819" s="14">
        <f>11.678-5.189</f>
        <v>6.4890000000000008</v>
      </c>
      <c r="AN819" s="15">
        <v>4</v>
      </c>
      <c r="AO819" s="15">
        <v>50</v>
      </c>
      <c r="AP819" s="15">
        <v>77</v>
      </c>
      <c r="AQ819" s="14" t="s">
        <v>1284</v>
      </c>
      <c r="AR819" s="15" t="s">
        <v>1316</v>
      </c>
    </row>
    <row r="820" spans="1:44" x14ac:dyDescent="0.2">
      <c r="A820" t="s">
        <v>1127</v>
      </c>
      <c r="B820" s="15" t="s">
        <v>1146</v>
      </c>
      <c r="C820" s="15" t="s">
        <v>1149</v>
      </c>
      <c r="D820" t="s">
        <v>1125</v>
      </c>
      <c r="E820" t="s">
        <v>1126</v>
      </c>
      <c r="F820" t="s">
        <v>1311</v>
      </c>
      <c r="G820" s="15" t="s">
        <v>1165</v>
      </c>
      <c r="H820" s="14" t="s">
        <v>1165</v>
      </c>
      <c r="I820" s="16" t="s">
        <v>1312</v>
      </c>
      <c r="M820" t="s">
        <v>1145</v>
      </c>
      <c r="O820">
        <v>2011</v>
      </c>
      <c r="R820">
        <v>30</v>
      </c>
      <c r="T820" t="s">
        <v>1313</v>
      </c>
      <c r="U820" t="s">
        <v>1246</v>
      </c>
      <c r="V820" s="9" t="s">
        <v>1313</v>
      </c>
      <c r="W820">
        <v>70</v>
      </c>
      <c r="X820" s="9" t="s">
        <v>1291</v>
      </c>
      <c r="Y820" t="s">
        <v>1210</v>
      </c>
      <c r="Z820">
        <v>0</v>
      </c>
      <c r="AF820" s="14" t="s">
        <v>153</v>
      </c>
      <c r="AG820" t="s">
        <v>1314</v>
      </c>
      <c r="AH820">
        <v>10</v>
      </c>
      <c r="AI820" t="s">
        <v>153</v>
      </c>
      <c r="AJ820" s="15" t="s">
        <v>1148</v>
      </c>
      <c r="AK820" s="15">
        <v>16.2</v>
      </c>
      <c r="AL820" s="14" t="s">
        <v>1263</v>
      </c>
      <c r="AM820" s="14">
        <f>17.278-15.233</f>
        <v>2.0449999999999982</v>
      </c>
      <c r="AN820" s="15">
        <v>4</v>
      </c>
      <c r="AO820" s="15">
        <v>50</v>
      </c>
      <c r="AP820" s="15">
        <v>77</v>
      </c>
      <c r="AQ820" s="14" t="s">
        <v>1284</v>
      </c>
      <c r="AR820" s="15" t="s">
        <v>1316</v>
      </c>
    </row>
    <row r="821" spans="1:44" x14ac:dyDescent="0.2">
      <c r="A821" t="s">
        <v>1127</v>
      </c>
      <c r="B821" s="15" t="s">
        <v>1146</v>
      </c>
      <c r="C821" s="15" t="s">
        <v>1149</v>
      </c>
      <c r="D821" t="s">
        <v>1125</v>
      </c>
      <c r="E821" t="s">
        <v>1126</v>
      </c>
      <c r="F821" t="s">
        <v>1311</v>
      </c>
      <c r="G821" s="15" t="s">
        <v>1165</v>
      </c>
      <c r="H821" s="14" t="s">
        <v>1165</v>
      </c>
      <c r="I821" s="16" t="s">
        <v>1312</v>
      </c>
      <c r="M821" t="s">
        <v>1145</v>
      </c>
      <c r="O821">
        <v>2011</v>
      </c>
      <c r="R821">
        <v>30</v>
      </c>
      <c r="T821" t="s">
        <v>1313</v>
      </c>
      <c r="U821" t="s">
        <v>1246</v>
      </c>
      <c r="V821" s="9" t="s">
        <v>1313</v>
      </c>
      <c r="W821">
        <v>70</v>
      </c>
      <c r="X821" s="9" t="s">
        <v>1293</v>
      </c>
      <c r="Y821" t="s">
        <v>1210</v>
      </c>
      <c r="Z821">
        <v>0</v>
      </c>
      <c r="AF821" s="14" t="s">
        <v>153</v>
      </c>
      <c r="AG821" t="s">
        <v>1314</v>
      </c>
      <c r="AH821">
        <v>10</v>
      </c>
      <c r="AI821" t="s">
        <v>153</v>
      </c>
      <c r="AJ821" s="15" t="s">
        <v>1148</v>
      </c>
      <c r="AK821" s="15">
        <v>0.38900000000000001</v>
      </c>
      <c r="AL821" s="14" t="s">
        <v>1263</v>
      </c>
      <c r="AM821">
        <f>1.544-0.389</f>
        <v>1.155</v>
      </c>
      <c r="AN821" s="15">
        <v>4</v>
      </c>
      <c r="AO821" s="15">
        <v>50</v>
      </c>
      <c r="AP821" s="15">
        <v>77</v>
      </c>
      <c r="AQ821" s="14" t="s">
        <v>1284</v>
      </c>
      <c r="AR821" s="15" t="s">
        <v>1316</v>
      </c>
    </row>
    <row r="822" spans="1:44" x14ac:dyDescent="0.2">
      <c r="A822" t="s">
        <v>1127</v>
      </c>
      <c r="B822" s="15" t="s">
        <v>1146</v>
      </c>
      <c r="C822" s="15" t="s">
        <v>1149</v>
      </c>
      <c r="D822" t="s">
        <v>1125</v>
      </c>
      <c r="E822" t="s">
        <v>1126</v>
      </c>
      <c r="F822" t="s">
        <v>1311</v>
      </c>
      <c r="G822" s="15" t="s">
        <v>1165</v>
      </c>
      <c r="H822" s="14" t="s">
        <v>1165</v>
      </c>
      <c r="I822" s="16" t="s">
        <v>1312</v>
      </c>
      <c r="M822" t="s">
        <v>1145</v>
      </c>
      <c r="O822">
        <v>2011</v>
      </c>
      <c r="R822">
        <v>30</v>
      </c>
      <c r="T822" t="s">
        <v>1313</v>
      </c>
      <c r="U822" t="s">
        <v>1246</v>
      </c>
      <c r="V822" s="9" t="s">
        <v>1313</v>
      </c>
      <c r="W822">
        <v>70</v>
      </c>
      <c r="X822" s="9" t="s">
        <v>1201</v>
      </c>
      <c r="Y822" t="s">
        <v>1210</v>
      </c>
      <c r="Z822">
        <v>0</v>
      </c>
      <c r="AF822" s="14" t="s">
        <v>153</v>
      </c>
      <c r="AG822" t="s">
        <v>1314</v>
      </c>
      <c r="AH822">
        <v>10</v>
      </c>
      <c r="AI822" t="s">
        <v>153</v>
      </c>
      <c r="AJ822" s="15" t="s">
        <v>1148</v>
      </c>
      <c r="AK822" s="15">
        <v>0</v>
      </c>
      <c r="AL822" s="14" t="s">
        <v>1263</v>
      </c>
      <c r="AM822" s="14">
        <v>0</v>
      </c>
      <c r="AN822" s="15">
        <v>4</v>
      </c>
      <c r="AO822" s="15">
        <v>50</v>
      </c>
      <c r="AP822" s="15">
        <v>84</v>
      </c>
      <c r="AQ822" s="14" t="s">
        <v>1284</v>
      </c>
      <c r="AR822" s="15" t="s">
        <v>1316</v>
      </c>
    </row>
    <row r="823" spans="1:44" x14ac:dyDescent="0.2">
      <c r="A823" t="s">
        <v>1127</v>
      </c>
      <c r="B823" s="15" t="s">
        <v>1146</v>
      </c>
      <c r="C823" s="15" t="s">
        <v>1149</v>
      </c>
      <c r="D823" t="s">
        <v>1125</v>
      </c>
      <c r="E823" t="s">
        <v>1126</v>
      </c>
      <c r="F823" t="s">
        <v>1311</v>
      </c>
      <c r="G823" s="15" t="s">
        <v>1165</v>
      </c>
      <c r="H823" s="14" t="s">
        <v>1165</v>
      </c>
      <c r="I823" s="16" t="s">
        <v>1312</v>
      </c>
      <c r="M823" t="s">
        <v>1145</v>
      </c>
      <c r="O823">
        <v>2011</v>
      </c>
      <c r="R823">
        <v>30</v>
      </c>
      <c r="T823" t="s">
        <v>1313</v>
      </c>
      <c r="U823" t="s">
        <v>1246</v>
      </c>
      <c r="V823" s="9" t="s">
        <v>1313</v>
      </c>
      <c r="W823">
        <v>70</v>
      </c>
      <c r="X823" s="9" t="s">
        <v>1292</v>
      </c>
      <c r="Y823" t="s">
        <v>1210</v>
      </c>
      <c r="Z823">
        <v>0</v>
      </c>
      <c r="AF823" s="14" t="s">
        <v>153</v>
      </c>
      <c r="AG823" t="s">
        <v>1314</v>
      </c>
      <c r="AH823">
        <v>10</v>
      </c>
      <c r="AI823" t="s">
        <v>153</v>
      </c>
      <c r="AJ823" s="15" t="s">
        <v>1148</v>
      </c>
      <c r="AK823" s="15">
        <v>8.5329999999999995</v>
      </c>
      <c r="AL823" s="14" t="s">
        <v>1263</v>
      </c>
      <c r="AM823" s="14">
        <f>11.767-5.278</f>
        <v>6.4889999999999999</v>
      </c>
      <c r="AN823" s="15">
        <v>4</v>
      </c>
      <c r="AO823" s="15">
        <v>50</v>
      </c>
      <c r="AP823" s="15">
        <v>84</v>
      </c>
      <c r="AQ823" s="14" t="s">
        <v>1284</v>
      </c>
      <c r="AR823" s="15" t="s">
        <v>1316</v>
      </c>
    </row>
    <row r="824" spans="1:44" x14ac:dyDescent="0.2">
      <c r="A824" t="s">
        <v>1127</v>
      </c>
      <c r="B824" s="15" t="s">
        <v>1146</v>
      </c>
      <c r="C824" s="15" t="s">
        <v>1149</v>
      </c>
      <c r="D824" t="s">
        <v>1125</v>
      </c>
      <c r="E824" t="s">
        <v>1126</v>
      </c>
      <c r="F824" t="s">
        <v>1311</v>
      </c>
      <c r="G824" s="15" t="s">
        <v>1165</v>
      </c>
      <c r="H824" s="14" t="s">
        <v>1165</v>
      </c>
      <c r="I824" s="16" t="s">
        <v>1312</v>
      </c>
      <c r="M824" t="s">
        <v>1145</v>
      </c>
      <c r="O824">
        <v>2011</v>
      </c>
      <c r="R824">
        <v>30</v>
      </c>
      <c r="T824" t="s">
        <v>1313</v>
      </c>
      <c r="U824" t="s">
        <v>1246</v>
      </c>
      <c r="V824" s="9" t="s">
        <v>1313</v>
      </c>
      <c r="W824">
        <v>70</v>
      </c>
      <c r="X824" s="9" t="s">
        <v>1291</v>
      </c>
      <c r="Y824" t="s">
        <v>1210</v>
      </c>
      <c r="Z824">
        <v>0</v>
      </c>
      <c r="AF824" s="14" t="s">
        <v>153</v>
      </c>
      <c r="AG824" t="s">
        <v>1314</v>
      </c>
      <c r="AH824">
        <v>10</v>
      </c>
      <c r="AI824" t="s">
        <v>153</v>
      </c>
      <c r="AJ824" s="15" t="s">
        <v>1148</v>
      </c>
      <c r="AK824" s="15">
        <v>16.2</v>
      </c>
      <c r="AL824" s="14" t="s">
        <v>1263</v>
      </c>
      <c r="AM824" s="14">
        <f>17.278-15.411</f>
        <v>1.8669999999999991</v>
      </c>
      <c r="AN824" s="15">
        <v>4</v>
      </c>
      <c r="AO824" s="15">
        <v>50</v>
      </c>
      <c r="AP824" s="15">
        <v>84</v>
      </c>
      <c r="AQ824" s="14" t="s">
        <v>1284</v>
      </c>
      <c r="AR824" s="15" t="s">
        <v>1316</v>
      </c>
    </row>
    <row r="825" spans="1:44" x14ac:dyDescent="0.2">
      <c r="A825" t="s">
        <v>1127</v>
      </c>
      <c r="B825" s="15" t="s">
        <v>1146</v>
      </c>
      <c r="C825" s="15" t="s">
        <v>1149</v>
      </c>
      <c r="D825" t="s">
        <v>1125</v>
      </c>
      <c r="E825" t="s">
        <v>1126</v>
      </c>
      <c r="F825" t="s">
        <v>1311</v>
      </c>
      <c r="G825" s="15" t="s">
        <v>1165</v>
      </c>
      <c r="H825" s="14" t="s">
        <v>1165</v>
      </c>
      <c r="I825" s="16" t="s">
        <v>1312</v>
      </c>
      <c r="M825" t="s">
        <v>1145</v>
      </c>
      <c r="O825">
        <v>2011</v>
      </c>
      <c r="R825">
        <v>30</v>
      </c>
      <c r="T825" t="s">
        <v>1313</v>
      </c>
      <c r="U825" t="s">
        <v>1246</v>
      </c>
      <c r="V825" s="9" t="s">
        <v>1313</v>
      </c>
      <c r="W825">
        <v>70</v>
      </c>
      <c r="X825" s="9" t="s">
        <v>1293</v>
      </c>
      <c r="Y825" t="s">
        <v>1210</v>
      </c>
      <c r="Z825">
        <v>0</v>
      </c>
      <c r="AF825" s="14" t="s">
        <v>153</v>
      </c>
      <c r="AG825" t="s">
        <v>1314</v>
      </c>
      <c r="AH825">
        <v>10</v>
      </c>
      <c r="AI825" t="s">
        <v>153</v>
      </c>
      <c r="AJ825" s="15" t="s">
        <v>1148</v>
      </c>
      <c r="AK825" s="15">
        <v>0.38900000000000001</v>
      </c>
      <c r="AL825" s="14" t="s">
        <v>1263</v>
      </c>
      <c r="AM825">
        <f>1.544-0.389</f>
        <v>1.155</v>
      </c>
      <c r="AN825" s="15">
        <v>4</v>
      </c>
      <c r="AO825" s="15">
        <v>50</v>
      </c>
      <c r="AP825" s="15">
        <v>84</v>
      </c>
      <c r="AQ825" s="14" t="s">
        <v>1284</v>
      </c>
      <c r="AR825" s="15" t="s">
        <v>1316</v>
      </c>
    </row>
    <row r="826" spans="1:44" x14ac:dyDescent="0.2">
      <c r="A826" t="s">
        <v>1127</v>
      </c>
      <c r="B826" s="15" t="s">
        <v>1146</v>
      </c>
      <c r="C826" s="15" t="s">
        <v>1149</v>
      </c>
      <c r="D826" t="s">
        <v>1125</v>
      </c>
      <c r="E826" t="s">
        <v>1126</v>
      </c>
      <c r="F826" t="s">
        <v>1311</v>
      </c>
      <c r="G826" s="15" t="s">
        <v>1165</v>
      </c>
      <c r="H826" s="14" t="s">
        <v>1165</v>
      </c>
      <c r="I826" s="16" t="s">
        <v>1312</v>
      </c>
      <c r="M826" t="s">
        <v>1145</v>
      </c>
      <c r="O826">
        <v>2011</v>
      </c>
      <c r="R826">
        <v>30</v>
      </c>
      <c r="T826" t="s">
        <v>1313</v>
      </c>
      <c r="U826" t="s">
        <v>1246</v>
      </c>
      <c r="V826" s="9" t="s">
        <v>1313</v>
      </c>
      <c r="W826">
        <v>70</v>
      </c>
      <c r="X826" s="9" t="s">
        <v>1201</v>
      </c>
      <c r="Y826" t="s">
        <v>1210</v>
      </c>
      <c r="Z826">
        <v>0</v>
      </c>
      <c r="AF826" s="14" t="s">
        <v>153</v>
      </c>
      <c r="AG826" t="s">
        <v>1314</v>
      </c>
      <c r="AH826">
        <v>10</v>
      </c>
      <c r="AI826" t="s">
        <v>153</v>
      </c>
      <c r="AJ826" s="15" t="s">
        <v>1148</v>
      </c>
      <c r="AK826" s="15">
        <v>0</v>
      </c>
      <c r="AL826" s="14" t="s">
        <v>1263</v>
      </c>
      <c r="AM826" s="14">
        <v>0</v>
      </c>
      <c r="AN826" s="15">
        <v>4</v>
      </c>
      <c r="AO826" s="15">
        <v>50</v>
      </c>
      <c r="AP826" s="15">
        <v>91</v>
      </c>
      <c r="AQ826" s="14" t="s">
        <v>1284</v>
      </c>
      <c r="AR826" s="15" t="s">
        <v>1316</v>
      </c>
    </row>
    <row r="827" spans="1:44" x14ac:dyDescent="0.2">
      <c r="A827" t="s">
        <v>1127</v>
      </c>
      <c r="B827" s="15" t="s">
        <v>1146</v>
      </c>
      <c r="C827" s="15" t="s">
        <v>1149</v>
      </c>
      <c r="D827" t="s">
        <v>1125</v>
      </c>
      <c r="E827" t="s">
        <v>1126</v>
      </c>
      <c r="F827" t="s">
        <v>1311</v>
      </c>
      <c r="G827" s="15" t="s">
        <v>1165</v>
      </c>
      <c r="H827" s="14" t="s">
        <v>1165</v>
      </c>
      <c r="I827" s="16" t="s">
        <v>1312</v>
      </c>
      <c r="M827" t="s">
        <v>1145</v>
      </c>
      <c r="O827">
        <v>2011</v>
      </c>
      <c r="R827">
        <v>30</v>
      </c>
      <c r="T827" t="s">
        <v>1313</v>
      </c>
      <c r="U827" t="s">
        <v>1246</v>
      </c>
      <c r="V827" s="9" t="s">
        <v>1313</v>
      </c>
      <c r="W827">
        <v>70</v>
      </c>
      <c r="X827" s="9" t="s">
        <v>1292</v>
      </c>
      <c r="Y827" t="s">
        <v>1210</v>
      </c>
      <c r="Z827">
        <v>0</v>
      </c>
      <c r="AF827" s="14" t="s">
        <v>153</v>
      </c>
      <c r="AG827" t="s">
        <v>1314</v>
      </c>
      <c r="AH827">
        <v>10</v>
      </c>
      <c r="AI827" t="s">
        <v>153</v>
      </c>
      <c r="AJ827" s="15" t="s">
        <v>1148</v>
      </c>
      <c r="AK827" s="15">
        <v>8.6669999999999998</v>
      </c>
      <c r="AL827" s="14" t="s">
        <v>1263</v>
      </c>
      <c r="AM827" s="14">
        <f>11.944-5.367</f>
        <v>6.5770000000000008</v>
      </c>
      <c r="AN827" s="15">
        <v>4</v>
      </c>
      <c r="AO827" s="15">
        <v>50</v>
      </c>
      <c r="AP827" s="15">
        <v>91</v>
      </c>
      <c r="AQ827" s="14" t="s">
        <v>1284</v>
      </c>
      <c r="AR827" s="15" t="s">
        <v>1316</v>
      </c>
    </row>
    <row r="828" spans="1:44" x14ac:dyDescent="0.2">
      <c r="A828" t="s">
        <v>1127</v>
      </c>
      <c r="B828" s="15" t="s">
        <v>1146</v>
      </c>
      <c r="C828" s="15" t="s">
        <v>1149</v>
      </c>
      <c r="D828" t="s">
        <v>1125</v>
      </c>
      <c r="E828" t="s">
        <v>1126</v>
      </c>
      <c r="F828" t="s">
        <v>1311</v>
      </c>
      <c r="G828" s="15" t="s">
        <v>1165</v>
      </c>
      <c r="H828" s="14" t="s">
        <v>1165</v>
      </c>
      <c r="I828" s="16" t="s">
        <v>1312</v>
      </c>
      <c r="M828" t="s">
        <v>1145</v>
      </c>
      <c r="O828">
        <v>2011</v>
      </c>
      <c r="R828">
        <v>30</v>
      </c>
      <c r="T828" t="s">
        <v>1313</v>
      </c>
      <c r="U828" t="s">
        <v>1246</v>
      </c>
      <c r="V828" s="9" t="s">
        <v>1313</v>
      </c>
      <c r="W828">
        <v>70</v>
      </c>
      <c r="X828" s="9" t="s">
        <v>1291</v>
      </c>
      <c r="Y828" t="s">
        <v>1210</v>
      </c>
      <c r="Z828">
        <v>0</v>
      </c>
      <c r="AF828" s="14" t="s">
        <v>153</v>
      </c>
      <c r="AG828" t="s">
        <v>1314</v>
      </c>
      <c r="AH828">
        <v>10</v>
      </c>
      <c r="AI828" t="s">
        <v>153</v>
      </c>
      <c r="AJ828" s="15" t="s">
        <v>1148</v>
      </c>
      <c r="AK828" s="15">
        <v>16.2</v>
      </c>
      <c r="AL828" s="14" t="s">
        <v>1263</v>
      </c>
      <c r="AM828" s="14">
        <f>17.278-15.411</f>
        <v>1.8669999999999991</v>
      </c>
      <c r="AN828" s="15">
        <v>4</v>
      </c>
      <c r="AO828" s="15">
        <v>50</v>
      </c>
      <c r="AP828" s="15">
        <v>91</v>
      </c>
      <c r="AQ828" s="14" t="s">
        <v>1284</v>
      </c>
      <c r="AR828" s="15" t="s">
        <v>1316</v>
      </c>
    </row>
    <row r="829" spans="1:44" x14ac:dyDescent="0.2">
      <c r="A829" t="s">
        <v>1127</v>
      </c>
      <c r="B829" s="15" t="s">
        <v>1146</v>
      </c>
      <c r="C829" s="15" t="s">
        <v>1149</v>
      </c>
      <c r="D829" t="s">
        <v>1125</v>
      </c>
      <c r="E829" t="s">
        <v>1126</v>
      </c>
      <c r="F829" t="s">
        <v>1311</v>
      </c>
      <c r="G829" s="15" t="s">
        <v>1165</v>
      </c>
      <c r="H829" s="14" t="s">
        <v>1165</v>
      </c>
      <c r="I829" s="16" t="s">
        <v>1312</v>
      </c>
      <c r="M829" t="s">
        <v>1145</v>
      </c>
      <c r="O829">
        <v>2011</v>
      </c>
      <c r="R829">
        <v>30</v>
      </c>
      <c r="T829" t="s">
        <v>1313</v>
      </c>
      <c r="U829" t="s">
        <v>1246</v>
      </c>
      <c r="V829" s="9" t="s">
        <v>1313</v>
      </c>
      <c r="W829">
        <v>70</v>
      </c>
      <c r="X829" s="9" t="s">
        <v>1293</v>
      </c>
      <c r="Y829" t="s">
        <v>1210</v>
      </c>
      <c r="Z829">
        <v>0</v>
      </c>
      <c r="AF829" s="14" t="s">
        <v>153</v>
      </c>
      <c r="AG829" t="s">
        <v>1314</v>
      </c>
      <c r="AH829">
        <v>10</v>
      </c>
      <c r="AI829" t="s">
        <v>153</v>
      </c>
      <c r="AJ829" s="15" t="s">
        <v>1148</v>
      </c>
      <c r="AK829" s="15">
        <v>0.38900000000000001</v>
      </c>
      <c r="AL829" s="14" t="s">
        <v>1263</v>
      </c>
      <c r="AM829">
        <f>1.544-0.389</f>
        <v>1.155</v>
      </c>
      <c r="AN829" s="15">
        <v>4</v>
      </c>
      <c r="AO829" s="15">
        <v>50</v>
      </c>
      <c r="AP829" s="15">
        <v>91</v>
      </c>
      <c r="AQ829" s="14" t="s">
        <v>1284</v>
      </c>
      <c r="AR829" s="15" t="s">
        <v>1316</v>
      </c>
    </row>
    <row r="830" spans="1:44" x14ac:dyDescent="0.2">
      <c r="A830" t="s">
        <v>1127</v>
      </c>
      <c r="B830" s="15" t="s">
        <v>1146</v>
      </c>
      <c r="C830" s="15" t="s">
        <v>1149</v>
      </c>
      <c r="D830" t="s">
        <v>1125</v>
      </c>
      <c r="E830" t="s">
        <v>1126</v>
      </c>
      <c r="F830" t="s">
        <v>1311</v>
      </c>
      <c r="G830" s="15" t="s">
        <v>1165</v>
      </c>
      <c r="H830" s="14" t="s">
        <v>1165</v>
      </c>
      <c r="I830" s="16" t="s">
        <v>1312</v>
      </c>
      <c r="M830" t="s">
        <v>1145</v>
      </c>
      <c r="O830">
        <v>2011</v>
      </c>
      <c r="R830">
        <v>30</v>
      </c>
      <c r="T830" t="s">
        <v>1313</v>
      </c>
      <c r="U830" t="s">
        <v>1246</v>
      </c>
      <c r="V830" s="9" t="s">
        <v>1313</v>
      </c>
      <c r="W830">
        <v>70</v>
      </c>
      <c r="X830" s="9" t="s">
        <v>1291</v>
      </c>
      <c r="Y830" t="s">
        <v>1210</v>
      </c>
      <c r="Z830">
        <v>0</v>
      </c>
      <c r="AF830" s="14" t="s">
        <v>153</v>
      </c>
      <c r="AG830" t="s">
        <v>1314</v>
      </c>
      <c r="AH830">
        <v>10</v>
      </c>
      <c r="AI830" t="s">
        <v>153</v>
      </c>
      <c r="AJ830" s="15" t="s">
        <v>1148</v>
      </c>
      <c r="AK830" s="15">
        <v>0</v>
      </c>
      <c r="AL830" s="14" t="s">
        <v>1263</v>
      </c>
      <c r="AM830" s="14">
        <v>0</v>
      </c>
      <c r="AN830" s="15">
        <v>4</v>
      </c>
      <c r="AO830" s="15">
        <v>50</v>
      </c>
      <c r="AP830" s="15">
        <v>98</v>
      </c>
      <c r="AQ830" s="14" t="s">
        <v>1284</v>
      </c>
      <c r="AR830" s="15" t="s">
        <v>1316</v>
      </c>
    </row>
    <row r="831" spans="1:44" x14ac:dyDescent="0.2">
      <c r="A831" t="s">
        <v>1127</v>
      </c>
      <c r="B831" s="15" t="s">
        <v>1146</v>
      </c>
      <c r="C831" s="15" t="s">
        <v>1149</v>
      </c>
      <c r="D831" t="s">
        <v>1125</v>
      </c>
      <c r="E831" t="s">
        <v>1126</v>
      </c>
      <c r="F831" t="s">
        <v>1311</v>
      </c>
      <c r="G831" s="15" t="s">
        <v>1165</v>
      </c>
      <c r="H831" s="14" t="s">
        <v>1165</v>
      </c>
      <c r="I831" s="16" t="s">
        <v>1312</v>
      </c>
      <c r="M831" t="s">
        <v>1145</v>
      </c>
      <c r="O831">
        <v>2011</v>
      </c>
      <c r="R831">
        <v>30</v>
      </c>
      <c r="T831" t="s">
        <v>1313</v>
      </c>
      <c r="U831" t="s">
        <v>1246</v>
      </c>
      <c r="V831" s="9" t="s">
        <v>1313</v>
      </c>
      <c r="W831">
        <v>70</v>
      </c>
      <c r="X831" s="9" t="s">
        <v>1292</v>
      </c>
      <c r="Y831" t="s">
        <v>1210</v>
      </c>
      <c r="Z831">
        <v>0</v>
      </c>
      <c r="AF831" s="14" t="s">
        <v>153</v>
      </c>
      <c r="AG831" t="s">
        <v>1314</v>
      </c>
      <c r="AH831">
        <v>10</v>
      </c>
      <c r="AI831" t="s">
        <v>153</v>
      </c>
      <c r="AJ831" s="15" t="s">
        <v>1148</v>
      </c>
      <c r="AK831" s="15">
        <v>9.2669999999999995</v>
      </c>
      <c r="AL831" s="14" t="s">
        <v>1263</v>
      </c>
      <c r="AM831" s="14">
        <f>12.389-5.989</f>
        <v>6.3999999999999995</v>
      </c>
      <c r="AN831" s="15">
        <v>4</v>
      </c>
      <c r="AO831" s="15">
        <v>50</v>
      </c>
      <c r="AP831" s="15">
        <v>98</v>
      </c>
      <c r="AQ831" s="14" t="s">
        <v>1284</v>
      </c>
      <c r="AR831" s="15" t="s">
        <v>1316</v>
      </c>
    </row>
    <row r="832" spans="1:44" x14ac:dyDescent="0.2">
      <c r="A832" t="s">
        <v>1127</v>
      </c>
      <c r="B832" s="15" t="s">
        <v>1146</v>
      </c>
      <c r="C832" s="15" t="s">
        <v>1149</v>
      </c>
      <c r="D832" t="s">
        <v>1125</v>
      </c>
      <c r="E832" t="s">
        <v>1126</v>
      </c>
      <c r="F832" t="s">
        <v>1311</v>
      </c>
      <c r="G832" s="15" t="s">
        <v>1165</v>
      </c>
      <c r="H832" s="14" t="s">
        <v>1165</v>
      </c>
      <c r="I832" s="16" t="s">
        <v>1312</v>
      </c>
      <c r="M832" t="s">
        <v>1145</v>
      </c>
      <c r="O832">
        <v>2011</v>
      </c>
      <c r="R832">
        <v>30</v>
      </c>
      <c r="T832" t="s">
        <v>1313</v>
      </c>
      <c r="U832" t="s">
        <v>1246</v>
      </c>
      <c r="V832" s="9" t="s">
        <v>1313</v>
      </c>
      <c r="W832">
        <v>70</v>
      </c>
      <c r="X832" s="9" t="s">
        <v>1201</v>
      </c>
      <c r="Y832" t="s">
        <v>1210</v>
      </c>
      <c r="Z832">
        <v>0</v>
      </c>
      <c r="AF832" s="14" t="s">
        <v>153</v>
      </c>
      <c r="AG832" t="s">
        <v>1314</v>
      </c>
      <c r="AH832">
        <v>10</v>
      </c>
      <c r="AI832" t="s">
        <v>153</v>
      </c>
      <c r="AJ832" s="15" t="s">
        <v>1148</v>
      </c>
      <c r="AK832" s="15">
        <v>16.466999999999999</v>
      </c>
      <c r="AL832" s="14" t="s">
        <v>1263</v>
      </c>
      <c r="AM832" s="14">
        <f>17.722-15.411</f>
        <v>2.3110000000000017</v>
      </c>
      <c r="AN832" s="15">
        <v>4</v>
      </c>
      <c r="AO832" s="15">
        <v>50</v>
      </c>
      <c r="AP832" s="15">
        <v>98</v>
      </c>
      <c r="AQ832" s="14" t="s">
        <v>1284</v>
      </c>
      <c r="AR832" s="15" t="s">
        <v>1316</v>
      </c>
    </row>
    <row r="833" spans="1:44" x14ac:dyDescent="0.2">
      <c r="A833" t="s">
        <v>1127</v>
      </c>
      <c r="B833" s="15" t="s">
        <v>1146</v>
      </c>
      <c r="C833" s="15" t="s">
        <v>1149</v>
      </c>
      <c r="D833" t="s">
        <v>1125</v>
      </c>
      <c r="E833" t="s">
        <v>1126</v>
      </c>
      <c r="F833" t="s">
        <v>1311</v>
      </c>
      <c r="G833" s="15" t="s">
        <v>1165</v>
      </c>
      <c r="H833" s="14" t="s">
        <v>1165</v>
      </c>
      <c r="I833" s="16" t="s">
        <v>1312</v>
      </c>
      <c r="M833" t="s">
        <v>1145</v>
      </c>
      <c r="O833">
        <v>2011</v>
      </c>
      <c r="R833">
        <v>30</v>
      </c>
      <c r="T833" t="s">
        <v>1313</v>
      </c>
      <c r="U833" t="s">
        <v>1246</v>
      </c>
      <c r="V833" s="9" t="s">
        <v>1313</v>
      </c>
      <c r="W833">
        <v>70</v>
      </c>
      <c r="X833" s="9" t="s">
        <v>1293</v>
      </c>
      <c r="Y833" t="s">
        <v>1210</v>
      </c>
      <c r="Z833">
        <v>0</v>
      </c>
      <c r="AF833" s="14" t="s">
        <v>153</v>
      </c>
      <c r="AG833" t="s">
        <v>1314</v>
      </c>
      <c r="AH833">
        <v>10</v>
      </c>
      <c r="AI833" t="s">
        <v>153</v>
      </c>
      <c r="AJ833" s="15" t="s">
        <v>1148</v>
      </c>
      <c r="AK833" s="15">
        <v>0.38900000000000001</v>
      </c>
      <c r="AL833" s="14" t="s">
        <v>1263</v>
      </c>
      <c r="AM833">
        <f>1.544-0.389</f>
        <v>1.155</v>
      </c>
      <c r="AN833" s="15">
        <v>4</v>
      </c>
      <c r="AO833" s="15">
        <v>50</v>
      </c>
      <c r="AP833" s="15">
        <v>98</v>
      </c>
      <c r="AQ833" s="14" t="s">
        <v>1284</v>
      </c>
      <c r="AR833" s="15" t="s">
        <v>1316</v>
      </c>
    </row>
    <row r="834" spans="1:44" x14ac:dyDescent="0.2">
      <c r="A834" t="s">
        <v>1127</v>
      </c>
      <c r="B834" s="15" t="s">
        <v>1146</v>
      </c>
      <c r="C834" s="15" t="s">
        <v>1149</v>
      </c>
      <c r="D834" t="s">
        <v>1125</v>
      </c>
      <c r="E834" t="s">
        <v>1126</v>
      </c>
      <c r="F834" t="s">
        <v>1311</v>
      </c>
      <c r="G834" s="15" t="s">
        <v>1165</v>
      </c>
      <c r="H834" s="14" t="s">
        <v>1165</v>
      </c>
      <c r="I834" s="16" t="s">
        <v>1312</v>
      </c>
      <c r="M834" t="s">
        <v>1145</v>
      </c>
      <c r="O834">
        <v>2011</v>
      </c>
      <c r="R834">
        <v>30</v>
      </c>
      <c r="T834" t="s">
        <v>1313</v>
      </c>
      <c r="U834" t="s">
        <v>1246</v>
      </c>
      <c r="V834" s="9" t="s">
        <v>1313</v>
      </c>
      <c r="W834">
        <v>70</v>
      </c>
      <c r="X834" s="9" t="s">
        <v>1291</v>
      </c>
      <c r="Y834" t="s">
        <v>1210</v>
      </c>
      <c r="Z834">
        <v>0</v>
      </c>
      <c r="AF834" s="14" t="s">
        <v>153</v>
      </c>
      <c r="AG834" t="s">
        <v>1314</v>
      </c>
      <c r="AH834">
        <v>10</v>
      </c>
      <c r="AI834" t="s">
        <v>153</v>
      </c>
      <c r="AJ834" s="15" t="s">
        <v>1148</v>
      </c>
      <c r="AK834" s="15">
        <v>0.92200000000000004</v>
      </c>
      <c r="AL834" s="14" t="s">
        <v>1263</v>
      </c>
      <c r="AM834" s="14"/>
      <c r="AN834" s="15">
        <v>4</v>
      </c>
      <c r="AO834" s="15">
        <v>50</v>
      </c>
      <c r="AP834" s="15">
        <v>105</v>
      </c>
      <c r="AQ834" s="14" t="s">
        <v>1284</v>
      </c>
      <c r="AR834" s="15" t="s">
        <v>1316</v>
      </c>
    </row>
    <row r="835" spans="1:44" x14ac:dyDescent="0.2">
      <c r="A835" t="s">
        <v>1127</v>
      </c>
      <c r="B835" s="15" t="s">
        <v>1146</v>
      </c>
      <c r="C835" s="15" t="s">
        <v>1149</v>
      </c>
      <c r="D835" t="s">
        <v>1125</v>
      </c>
      <c r="E835" t="s">
        <v>1126</v>
      </c>
      <c r="F835" t="s">
        <v>1311</v>
      </c>
      <c r="G835" s="15" t="s">
        <v>1165</v>
      </c>
      <c r="H835" s="14" t="s">
        <v>1165</v>
      </c>
      <c r="I835" s="16" t="s">
        <v>1312</v>
      </c>
      <c r="M835" t="s">
        <v>1145</v>
      </c>
      <c r="O835">
        <v>2011</v>
      </c>
      <c r="R835">
        <v>30</v>
      </c>
      <c r="T835" t="s">
        <v>1313</v>
      </c>
      <c r="U835" t="s">
        <v>1246</v>
      </c>
      <c r="V835" s="9" t="s">
        <v>1313</v>
      </c>
      <c r="W835">
        <v>70</v>
      </c>
      <c r="X835" s="9" t="s">
        <v>1292</v>
      </c>
      <c r="Y835" t="s">
        <v>1210</v>
      </c>
      <c r="Z835">
        <v>0</v>
      </c>
      <c r="AF835" s="14" t="s">
        <v>153</v>
      </c>
      <c r="AG835" t="s">
        <v>1314</v>
      </c>
      <c r="AH835">
        <v>10</v>
      </c>
      <c r="AI835" t="s">
        <v>153</v>
      </c>
      <c r="AJ835" s="15" t="s">
        <v>1148</v>
      </c>
      <c r="AK835" s="15">
        <v>9.4559999999999995</v>
      </c>
      <c r="AL835" s="14" t="s">
        <v>1263</v>
      </c>
      <c r="AM835" s="14">
        <f>12.567-6.344</f>
        <v>6.2229999999999999</v>
      </c>
      <c r="AN835" s="15">
        <v>4</v>
      </c>
      <c r="AO835" s="15">
        <v>50</v>
      </c>
      <c r="AP835" s="15">
        <v>105</v>
      </c>
      <c r="AQ835" s="14" t="s">
        <v>1284</v>
      </c>
      <c r="AR835" s="15" t="s">
        <v>1316</v>
      </c>
    </row>
    <row r="836" spans="1:44" x14ac:dyDescent="0.2">
      <c r="A836" t="s">
        <v>1127</v>
      </c>
      <c r="B836" s="15" t="s">
        <v>1146</v>
      </c>
      <c r="C836" s="15" t="s">
        <v>1149</v>
      </c>
      <c r="D836" t="s">
        <v>1125</v>
      </c>
      <c r="E836" t="s">
        <v>1126</v>
      </c>
      <c r="F836" t="s">
        <v>1311</v>
      </c>
      <c r="G836" s="15" t="s">
        <v>1165</v>
      </c>
      <c r="H836" s="14" t="s">
        <v>1165</v>
      </c>
      <c r="I836" s="16" t="s">
        <v>1312</v>
      </c>
      <c r="M836" t="s">
        <v>1145</v>
      </c>
      <c r="O836">
        <v>2011</v>
      </c>
      <c r="R836">
        <v>30</v>
      </c>
      <c r="T836" t="s">
        <v>1313</v>
      </c>
      <c r="U836" t="s">
        <v>1246</v>
      </c>
      <c r="V836" s="9" t="s">
        <v>1313</v>
      </c>
      <c r="W836">
        <v>70</v>
      </c>
      <c r="X836" s="9" t="s">
        <v>1201</v>
      </c>
      <c r="Y836" t="s">
        <v>1210</v>
      </c>
      <c r="Z836">
        <v>0</v>
      </c>
      <c r="AF836" s="14" t="s">
        <v>153</v>
      </c>
      <c r="AG836" t="s">
        <v>1314</v>
      </c>
      <c r="AH836">
        <v>10</v>
      </c>
      <c r="AI836" t="s">
        <v>153</v>
      </c>
      <c r="AJ836" s="15" t="s">
        <v>1148</v>
      </c>
      <c r="AK836" s="15">
        <v>16.399999999999999</v>
      </c>
      <c r="AL836" s="14" t="s">
        <v>1263</v>
      </c>
      <c r="AM836" s="14">
        <f>17.722-15.322</f>
        <v>2.4000000000000021</v>
      </c>
      <c r="AN836" s="15">
        <v>4</v>
      </c>
      <c r="AO836" s="15">
        <v>50</v>
      </c>
      <c r="AP836" s="15">
        <v>105</v>
      </c>
      <c r="AQ836" s="14" t="s">
        <v>1284</v>
      </c>
      <c r="AR836" s="15" t="s">
        <v>1316</v>
      </c>
    </row>
    <row r="837" spans="1:44" x14ac:dyDescent="0.2">
      <c r="A837" t="s">
        <v>1127</v>
      </c>
      <c r="B837" s="15" t="s">
        <v>1146</v>
      </c>
      <c r="C837" s="15" t="s">
        <v>1149</v>
      </c>
      <c r="D837" t="s">
        <v>1125</v>
      </c>
      <c r="E837" t="s">
        <v>1126</v>
      </c>
      <c r="F837" t="s">
        <v>1311</v>
      </c>
      <c r="G837" s="15" t="s">
        <v>1165</v>
      </c>
      <c r="H837" s="14" t="s">
        <v>1165</v>
      </c>
      <c r="I837" s="16" t="s">
        <v>1312</v>
      </c>
      <c r="M837" t="s">
        <v>1145</v>
      </c>
      <c r="O837">
        <v>2011</v>
      </c>
      <c r="R837">
        <v>30</v>
      </c>
      <c r="T837" t="s">
        <v>1313</v>
      </c>
      <c r="U837" t="s">
        <v>1246</v>
      </c>
      <c r="V837" s="9" t="s">
        <v>1313</v>
      </c>
      <c r="W837">
        <v>70</v>
      </c>
      <c r="X837" s="9" t="s">
        <v>1293</v>
      </c>
      <c r="Y837" t="s">
        <v>1210</v>
      </c>
      <c r="Z837">
        <v>0</v>
      </c>
      <c r="AF837" s="14" t="s">
        <v>153</v>
      </c>
      <c r="AG837" t="s">
        <v>1314</v>
      </c>
      <c r="AH837">
        <v>10</v>
      </c>
      <c r="AI837" t="s">
        <v>153</v>
      </c>
      <c r="AJ837" s="15" t="s">
        <v>1148</v>
      </c>
      <c r="AK837" s="15">
        <v>0.3</v>
      </c>
      <c r="AL837" s="14" t="s">
        <v>1263</v>
      </c>
      <c r="AM837" s="14"/>
      <c r="AN837" s="15">
        <v>4</v>
      </c>
      <c r="AO837" s="15">
        <v>50</v>
      </c>
      <c r="AP837" s="15">
        <v>105</v>
      </c>
      <c r="AQ837" s="14" t="s">
        <v>1284</v>
      </c>
      <c r="AR837" s="15" t="s">
        <v>1316</v>
      </c>
    </row>
    <row r="838" spans="1:44" x14ac:dyDescent="0.2">
      <c r="A838" t="s">
        <v>1127</v>
      </c>
      <c r="B838" s="15" t="s">
        <v>1146</v>
      </c>
      <c r="C838" s="15" t="s">
        <v>1149</v>
      </c>
      <c r="D838" t="s">
        <v>1125</v>
      </c>
      <c r="E838" t="s">
        <v>1126</v>
      </c>
      <c r="F838" t="s">
        <v>1311</v>
      </c>
      <c r="G838" s="15" t="s">
        <v>1165</v>
      </c>
      <c r="H838" s="14" t="s">
        <v>1165</v>
      </c>
      <c r="I838" s="16" t="s">
        <v>1312</v>
      </c>
      <c r="M838" t="s">
        <v>1145</v>
      </c>
      <c r="O838">
        <v>2011</v>
      </c>
      <c r="R838">
        <v>30</v>
      </c>
      <c r="T838" t="s">
        <v>1313</v>
      </c>
      <c r="U838" t="s">
        <v>1246</v>
      </c>
      <c r="V838" s="9" t="s">
        <v>1313</v>
      </c>
      <c r="W838">
        <v>70</v>
      </c>
      <c r="X838" s="9" t="s">
        <v>1291</v>
      </c>
      <c r="Y838" t="s">
        <v>1210</v>
      </c>
      <c r="Z838">
        <v>0</v>
      </c>
      <c r="AF838" s="14" t="s">
        <v>153</v>
      </c>
      <c r="AG838" t="s">
        <v>1314</v>
      </c>
      <c r="AH838">
        <v>10</v>
      </c>
      <c r="AI838" t="s">
        <v>153</v>
      </c>
      <c r="AJ838" s="15" t="s">
        <v>1148</v>
      </c>
      <c r="AK838" s="15">
        <v>2.9329999999999998</v>
      </c>
      <c r="AL838" s="14" t="s">
        <v>1263</v>
      </c>
      <c r="AM838" s="14">
        <f>5.367-0.744</f>
        <v>4.6230000000000002</v>
      </c>
      <c r="AN838" s="15">
        <v>4</v>
      </c>
      <c r="AO838" s="15">
        <v>50</v>
      </c>
      <c r="AP838" s="15">
        <v>112</v>
      </c>
      <c r="AQ838" s="14" t="s">
        <v>1284</v>
      </c>
      <c r="AR838" s="15" t="s">
        <v>1316</v>
      </c>
    </row>
    <row r="839" spans="1:44" x14ac:dyDescent="0.2">
      <c r="A839" t="s">
        <v>1127</v>
      </c>
      <c r="B839" s="15" t="s">
        <v>1146</v>
      </c>
      <c r="C839" s="15" t="s">
        <v>1149</v>
      </c>
      <c r="D839" t="s">
        <v>1125</v>
      </c>
      <c r="E839" t="s">
        <v>1126</v>
      </c>
      <c r="F839" t="s">
        <v>1311</v>
      </c>
      <c r="G839" s="15" t="s">
        <v>1165</v>
      </c>
      <c r="H839" s="14" t="s">
        <v>1165</v>
      </c>
      <c r="I839" s="16" t="s">
        <v>1312</v>
      </c>
      <c r="M839" t="s">
        <v>1145</v>
      </c>
      <c r="O839">
        <v>2011</v>
      </c>
      <c r="R839">
        <v>30</v>
      </c>
      <c r="T839" t="s">
        <v>1313</v>
      </c>
      <c r="U839" t="s">
        <v>1246</v>
      </c>
      <c r="V839" s="9" t="s">
        <v>1313</v>
      </c>
      <c r="W839">
        <v>70</v>
      </c>
      <c r="X839" s="9" t="s">
        <v>1292</v>
      </c>
      <c r="Y839" t="s">
        <v>1210</v>
      </c>
      <c r="Z839">
        <v>0</v>
      </c>
      <c r="AF839" s="14" t="s">
        <v>153</v>
      </c>
      <c r="AG839" t="s">
        <v>1314</v>
      </c>
      <c r="AH839">
        <v>10</v>
      </c>
      <c r="AI839" t="s">
        <v>153</v>
      </c>
      <c r="AJ839" s="15" t="s">
        <v>1148</v>
      </c>
      <c r="AK839" s="15">
        <v>9.8670000000000009</v>
      </c>
      <c r="AL839" s="14" t="s">
        <v>1263</v>
      </c>
      <c r="AM839" s="14">
        <f>13.011-6.611</f>
        <v>6.3999999999999995</v>
      </c>
      <c r="AN839" s="15">
        <v>4</v>
      </c>
      <c r="AO839" s="15">
        <v>50</v>
      </c>
      <c r="AP839" s="15">
        <v>112</v>
      </c>
      <c r="AQ839" s="14" t="s">
        <v>1284</v>
      </c>
      <c r="AR839" s="15" t="s">
        <v>1316</v>
      </c>
    </row>
    <row r="840" spans="1:44" x14ac:dyDescent="0.2">
      <c r="A840" t="s">
        <v>1127</v>
      </c>
      <c r="B840" s="15" t="s">
        <v>1146</v>
      </c>
      <c r="C840" s="15" t="s">
        <v>1149</v>
      </c>
      <c r="D840" t="s">
        <v>1125</v>
      </c>
      <c r="E840" t="s">
        <v>1126</v>
      </c>
      <c r="F840" t="s">
        <v>1311</v>
      </c>
      <c r="G840" s="15" t="s">
        <v>1165</v>
      </c>
      <c r="H840" s="14" t="s">
        <v>1165</v>
      </c>
      <c r="I840" s="16" t="s">
        <v>1312</v>
      </c>
      <c r="M840" t="s">
        <v>1145</v>
      </c>
      <c r="O840">
        <v>2011</v>
      </c>
      <c r="R840">
        <v>30</v>
      </c>
      <c r="T840" t="s">
        <v>1313</v>
      </c>
      <c r="U840" t="s">
        <v>1246</v>
      </c>
      <c r="V840" s="9" t="s">
        <v>1313</v>
      </c>
      <c r="W840">
        <v>70</v>
      </c>
      <c r="X840" s="9" t="s">
        <v>1201</v>
      </c>
      <c r="Y840" t="s">
        <v>1210</v>
      </c>
      <c r="Z840">
        <v>0</v>
      </c>
      <c r="AF840" s="14" t="s">
        <v>153</v>
      </c>
      <c r="AG840" t="s">
        <v>1314</v>
      </c>
      <c r="AH840">
        <v>10</v>
      </c>
      <c r="AI840" t="s">
        <v>153</v>
      </c>
      <c r="AJ840" s="15" t="s">
        <v>1148</v>
      </c>
      <c r="AK840" s="15">
        <v>16.399999999999999</v>
      </c>
      <c r="AL840" s="14" t="s">
        <v>1263</v>
      </c>
      <c r="AM840" s="14">
        <f>17.722-15.322</f>
        <v>2.4000000000000021</v>
      </c>
      <c r="AN840" s="15">
        <v>4</v>
      </c>
      <c r="AO840" s="15">
        <v>50</v>
      </c>
      <c r="AP840" s="15">
        <v>112</v>
      </c>
      <c r="AQ840" s="14" t="s">
        <v>1284</v>
      </c>
      <c r="AR840" s="15" t="s">
        <v>1316</v>
      </c>
    </row>
    <row r="841" spans="1:44" x14ac:dyDescent="0.2">
      <c r="A841" t="s">
        <v>1127</v>
      </c>
      <c r="B841" s="15" t="s">
        <v>1146</v>
      </c>
      <c r="C841" s="15" t="s">
        <v>1149</v>
      </c>
      <c r="D841" t="s">
        <v>1125</v>
      </c>
      <c r="E841" t="s">
        <v>1126</v>
      </c>
      <c r="F841" t="s">
        <v>1311</v>
      </c>
      <c r="G841" s="15" t="s">
        <v>1165</v>
      </c>
      <c r="H841" s="14" t="s">
        <v>1165</v>
      </c>
      <c r="I841" s="16" t="s">
        <v>1312</v>
      </c>
      <c r="M841" t="s">
        <v>1145</v>
      </c>
      <c r="O841">
        <v>2011</v>
      </c>
      <c r="R841">
        <v>30</v>
      </c>
      <c r="T841" t="s">
        <v>1313</v>
      </c>
      <c r="U841" t="s">
        <v>1246</v>
      </c>
      <c r="V841" s="9" t="s">
        <v>1313</v>
      </c>
      <c r="W841">
        <v>70</v>
      </c>
      <c r="X841" s="9" t="s">
        <v>1293</v>
      </c>
      <c r="Y841" t="s">
        <v>1210</v>
      </c>
      <c r="Z841">
        <v>0</v>
      </c>
      <c r="AF841" s="14" t="s">
        <v>153</v>
      </c>
      <c r="AG841" t="s">
        <v>1314</v>
      </c>
      <c r="AH841">
        <v>10</v>
      </c>
      <c r="AI841" t="s">
        <v>153</v>
      </c>
      <c r="AJ841" s="15" t="s">
        <v>1148</v>
      </c>
      <c r="AK841" s="15">
        <v>0.3</v>
      </c>
      <c r="AL841" s="14" t="s">
        <v>1263</v>
      </c>
      <c r="AM841" s="14">
        <f>1.722-0.3</f>
        <v>1.4219999999999999</v>
      </c>
      <c r="AN841" s="15">
        <v>4</v>
      </c>
      <c r="AO841" s="15">
        <v>50</v>
      </c>
      <c r="AP841" s="15">
        <v>112</v>
      </c>
      <c r="AQ841" s="14" t="s">
        <v>1284</v>
      </c>
      <c r="AR841" s="15" t="s">
        <v>1316</v>
      </c>
    </row>
    <row r="842" spans="1:44" x14ac:dyDescent="0.2">
      <c r="A842" t="s">
        <v>1127</v>
      </c>
      <c r="B842" s="15" t="s">
        <v>1146</v>
      </c>
      <c r="C842" s="15" t="s">
        <v>1149</v>
      </c>
      <c r="D842" t="s">
        <v>1125</v>
      </c>
      <c r="E842" t="s">
        <v>1126</v>
      </c>
      <c r="F842" t="s">
        <v>1311</v>
      </c>
      <c r="G842" s="15" t="s">
        <v>1165</v>
      </c>
      <c r="H842" s="14" t="s">
        <v>1165</v>
      </c>
      <c r="I842" s="16" t="s">
        <v>1312</v>
      </c>
      <c r="M842" t="s">
        <v>1145</v>
      </c>
      <c r="O842">
        <v>2011</v>
      </c>
      <c r="R842">
        <v>30</v>
      </c>
      <c r="T842" t="s">
        <v>1313</v>
      </c>
      <c r="U842" t="s">
        <v>1246</v>
      </c>
      <c r="V842" s="9" t="s">
        <v>1313</v>
      </c>
      <c r="W842">
        <v>70</v>
      </c>
      <c r="X842" s="9" t="s">
        <v>1291</v>
      </c>
      <c r="Y842" t="s">
        <v>1210</v>
      </c>
      <c r="Z842">
        <v>0</v>
      </c>
      <c r="AF842" s="14" t="s">
        <v>153</v>
      </c>
      <c r="AG842" t="s">
        <v>1314</v>
      </c>
      <c r="AH842">
        <v>10</v>
      </c>
      <c r="AI842" t="s">
        <v>153</v>
      </c>
      <c r="AJ842" s="15" t="s">
        <v>1148</v>
      </c>
      <c r="AK842" s="15">
        <v>2.9329999999999998</v>
      </c>
      <c r="AL842" s="14" t="s">
        <v>1263</v>
      </c>
      <c r="AM842" s="14">
        <f>5.367-0.744</f>
        <v>4.6230000000000002</v>
      </c>
      <c r="AN842" s="15">
        <v>4</v>
      </c>
      <c r="AO842" s="15">
        <v>50</v>
      </c>
      <c r="AP842" s="15">
        <v>119</v>
      </c>
      <c r="AQ842" s="14" t="s">
        <v>1284</v>
      </c>
      <c r="AR842" s="15" t="s">
        <v>1316</v>
      </c>
    </row>
    <row r="843" spans="1:44" x14ac:dyDescent="0.2">
      <c r="A843" t="s">
        <v>1127</v>
      </c>
      <c r="B843" s="15" t="s">
        <v>1146</v>
      </c>
      <c r="C843" s="15" t="s">
        <v>1149</v>
      </c>
      <c r="D843" t="s">
        <v>1125</v>
      </c>
      <c r="E843" t="s">
        <v>1126</v>
      </c>
      <c r="F843" t="s">
        <v>1311</v>
      </c>
      <c r="G843" s="15" t="s">
        <v>1165</v>
      </c>
      <c r="H843" s="14" t="s">
        <v>1165</v>
      </c>
      <c r="I843" s="16" t="s">
        <v>1312</v>
      </c>
      <c r="M843" t="s">
        <v>1145</v>
      </c>
      <c r="O843">
        <v>2011</v>
      </c>
      <c r="R843">
        <v>30</v>
      </c>
      <c r="T843" t="s">
        <v>1313</v>
      </c>
      <c r="U843" t="s">
        <v>1246</v>
      </c>
      <c r="V843" s="9" t="s">
        <v>1313</v>
      </c>
      <c r="W843">
        <v>70</v>
      </c>
      <c r="X843" s="9" t="s">
        <v>1292</v>
      </c>
      <c r="Y843" t="s">
        <v>1210</v>
      </c>
      <c r="Z843">
        <v>0</v>
      </c>
      <c r="AF843" s="14" t="s">
        <v>153</v>
      </c>
      <c r="AG843" t="s">
        <v>1314</v>
      </c>
      <c r="AH843">
        <v>10</v>
      </c>
      <c r="AI843" t="s">
        <v>153</v>
      </c>
      <c r="AJ843" s="15" t="s">
        <v>1148</v>
      </c>
      <c r="AK843" s="15">
        <v>9.8670000000000009</v>
      </c>
      <c r="AL843" s="14" t="s">
        <v>1263</v>
      </c>
      <c r="AM843" s="14">
        <f>13.011-6.611</f>
        <v>6.3999999999999995</v>
      </c>
      <c r="AN843" s="15">
        <v>4</v>
      </c>
      <c r="AO843" s="15">
        <v>50</v>
      </c>
      <c r="AP843" s="15">
        <v>119</v>
      </c>
      <c r="AQ843" s="14" t="s">
        <v>1284</v>
      </c>
      <c r="AR843" s="15" t="s">
        <v>1316</v>
      </c>
    </row>
    <row r="844" spans="1:44" x14ac:dyDescent="0.2">
      <c r="A844" t="s">
        <v>1127</v>
      </c>
      <c r="B844" s="15" t="s">
        <v>1146</v>
      </c>
      <c r="C844" s="15" t="s">
        <v>1149</v>
      </c>
      <c r="D844" t="s">
        <v>1125</v>
      </c>
      <c r="E844" t="s">
        <v>1126</v>
      </c>
      <c r="F844" t="s">
        <v>1311</v>
      </c>
      <c r="G844" s="15" t="s">
        <v>1165</v>
      </c>
      <c r="H844" s="14" t="s">
        <v>1165</v>
      </c>
      <c r="I844" s="16" t="s">
        <v>1312</v>
      </c>
      <c r="M844" t="s">
        <v>1145</v>
      </c>
      <c r="O844">
        <v>2011</v>
      </c>
      <c r="R844">
        <v>30</v>
      </c>
      <c r="T844" t="s">
        <v>1313</v>
      </c>
      <c r="U844" t="s">
        <v>1246</v>
      </c>
      <c r="V844" s="9" t="s">
        <v>1313</v>
      </c>
      <c r="W844">
        <v>70</v>
      </c>
      <c r="X844" s="9" t="s">
        <v>1201</v>
      </c>
      <c r="Y844" t="s">
        <v>1210</v>
      </c>
      <c r="Z844">
        <v>0</v>
      </c>
      <c r="AF844" s="14" t="s">
        <v>153</v>
      </c>
      <c r="AG844" t="s">
        <v>1314</v>
      </c>
      <c r="AH844">
        <v>10</v>
      </c>
      <c r="AI844" t="s">
        <v>153</v>
      </c>
      <c r="AJ844" s="15" t="s">
        <v>1148</v>
      </c>
      <c r="AK844" s="15">
        <v>16.399999999999999</v>
      </c>
      <c r="AL844" s="14" t="s">
        <v>1263</v>
      </c>
      <c r="AM844" s="14">
        <f>17.722-15.322</f>
        <v>2.4000000000000021</v>
      </c>
      <c r="AN844" s="15">
        <v>4</v>
      </c>
      <c r="AO844" s="15">
        <v>50</v>
      </c>
      <c r="AP844" s="15">
        <v>119</v>
      </c>
      <c r="AQ844" s="14" t="s">
        <v>1284</v>
      </c>
      <c r="AR844" s="15" t="s">
        <v>1316</v>
      </c>
    </row>
    <row r="845" spans="1:44" x14ac:dyDescent="0.2">
      <c r="A845" t="s">
        <v>1127</v>
      </c>
      <c r="B845" s="15" t="s">
        <v>1146</v>
      </c>
      <c r="C845" s="15" t="s">
        <v>1149</v>
      </c>
      <c r="D845" t="s">
        <v>1125</v>
      </c>
      <c r="E845" t="s">
        <v>1126</v>
      </c>
      <c r="F845" t="s">
        <v>1311</v>
      </c>
      <c r="G845" s="15" t="s">
        <v>1165</v>
      </c>
      <c r="H845" s="14" t="s">
        <v>1165</v>
      </c>
      <c r="I845" s="16" t="s">
        <v>1312</v>
      </c>
      <c r="M845" t="s">
        <v>1145</v>
      </c>
      <c r="O845">
        <v>2011</v>
      </c>
      <c r="R845">
        <v>30</v>
      </c>
      <c r="T845" t="s">
        <v>1313</v>
      </c>
      <c r="U845" t="s">
        <v>1246</v>
      </c>
      <c r="V845" s="9" t="s">
        <v>1313</v>
      </c>
      <c r="W845">
        <v>70</v>
      </c>
      <c r="X845" s="9" t="s">
        <v>1293</v>
      </c>
      <c r="Y845" t="s">
        <v>1210</v>
      </c>
      <c r="Z845">
        <v>0</v>
      </c>
      <c r="AF845" s="14" t="s">
        <v>153</v>
      </c>
      <c r="AG845" t="s">
        <v>1314</v>
      </c>
      <c r="AH845">
        <v>10</v>
      </c>
      <c r="AI845" t="s">
        <v>153</v>
      </c>
      <c r="AJ845" s="15" t="s">
        <v>1148</v>
      </c>
      <c r="AK845" s="15">
        <v>0.3</v>
      </c>
      <c r="AL845" s="14" t="s">
        <v>1263</v>
      </c>
      <c r="AM845" s="14">
        <f>1.722-0.3</f>
        <v>1.4219999999999999</v>
      </c>
      <c r="AN845" s="15">
        <v>4</v>
      </c>
      <c r="AO845" s="15">
        <v>50</v>
      </c>
      <c r="AP845" s="15">
        <v>119</v>
      </c>
      <c r="AQ845" s="14" t="s">
        <v>1284</v>
      </c>
      <c r="AR845" s="15" t="s">
        <v>1316</v>
      </c>
    </row>
    <row r="846" spans="1:44" x14ac:dyDescent="0.2">
      <c r="A846" t="s">
        <v>1127</v>
      </c>
      <c r="B846" s="15" t="s">
        <v>1146</v>
      </c>
      <c r="C846" s="15" t="s">
        <v>1149</v>
      </c>
      <c r="D846" t="s">
        <v>1125</v>
      </c>
      <c r="E846" t="s">
        <v>1126</v>
      </c>
      <c r="F846" t="s">
        <v>1311</v>
      </c>
      <c r="G846" s="15" t="s">
        <v>1165</v>
      </c>
      <c r="H846" s="14" t="s">
        <v>1165</v>
      </c>
      <c r="I846" s="16" t="s">
        <v>1312</v>
      </c>
      <c r="M846" t="s">
        <v>1145</v>
      </c>
      <c r="O846">
        <v>2011</v>
      </c>
      <c r="R846">
        <v>30</v>
      </c>
      <c r="T846" t="s">
        <v>1313</v>
      </c>
      <c r="U846" t="s">
        <v>1246</v>
      </c>
      <c r="V846" s="9" t="s">
        <v>1313</v>
      </c>
      <c r="W846">
        <v>70</v>
      </c>
      <c r="X846" s="9" t="s">
        <v>1291</v>
      </c>
      <c r="Y846" t="s">
        <v>1210</v>
      </c>
      <c r="Z846">
        <v>0</v>
      </c>
      <c r="AF846" s="14" t="s">
        <v>153</v>
      </c>
      <c r="AG846" t="s">
        <v>1314</v>
      </c>
      <c r="AH846">
        <v>10</v>
      </c>
      <c r="AI846" t="s">
        <v>153</v>
      </c>
      <c r="AJ846" s="15" t="s">
        <v>1148</v>
      </c>
      <c r="AK846" s="15">
        <v>2.9329999999999998</v>
      </c>
      <c r="AL846" s="14" t="s">
        <v>1263</v>
      </c>
      <c r="AM846" s="14">
        <f>5.367-0.744</f>
        <v>4.6230000000000002</v>
      </c>
      <c r="AN846" s="15">
        <v>4</v>
      </c>
      <c r="AO846" s="15">
        <v>50</v>
      </c>
      <c r="AP846" s="15">
        <f>AP845+7</f>
        <v>126</v>
      </c>
      <c r="AQ846" s="14" t="s">
        <v>1284</v>
      </c>
      <c r="AR846" s="15" t="s">
        <v>1316</v>
      </c>
    </row>
    <row r="847" spans="1:44" x14ac:dyDescent="0.2">
      <c r="A847" t="s">
        <v>1127</v>
      </c>
      <c r="B847" s="15" t="s">
        <v>1146</v>
      </c>
      <c r="C847" s="15" t="s">
        <v>1149</v>
      </c>
      <c r="D847" t="s">
        <v>1125</v>
      </c>
      <c r="E847" t="s">
        <v>1126</v>
      </c>
      <c r="F847" t="s">
        <v>1311</v>
      </c>
      <c r="G847" s="15" t="s">
        <v>1165</v>
      </c>
      <c r="H847" s="14" t="s">
        <v>1165</v>
      </c>
      <c r="I847" s="16" t="s">
        <v>1312</v>
      </c>
      <c r="M847" t="s">
        <v>1145</v>
      </c>
      <c r="O847">
        <v>2011</v>
      </c>
      <c r="R847">
        <v>30</v>
      </c>
      <c r="T847" t="s">
        <v>1313</v>
      </c>
      <c r="U847" t="s">
        <v>1246</v>
      </c>
      <c r="V847" s="9" t="s">
        <v>1313</v>
      </c>
      <c r="W847">
        <v>70</v>
      </c>
      <c r="X847" s="9" t="s">
        <v>1292</v>
      </c>
      <c r="Y847" t="s">
        <v>1210</v>
      </c>
      <c r="Z847">
        <v>0</v>
      </c>
      <c r="AF847" s="14" t="s">
        <v>153</v>
      </c>
      <c r="AG847" t="s">
        <v>1314</v>
      </c>
      <c r="AH847">
        <v>10</v>
      </c>
      <c r="AI847" t="s">
        <v>153</v>
      </c>
      <c r="AJ847" s="15" t="s">
        <v>1148</v>
      </c>
      <c r="AK847" s="15">
        <v>9.8670000000000009</v>
      </c>
      <c r="AL847" s="14" t="s">
        <v>1263</v>
      </c>
      <c r="AM847" s="14">
        <f>13.011-6.611</f>
        <v>6.3999999999999995</v>
      </c>
      <c r="AN847" s="15">
        <v>4</v>
      </c>
      <c r="AO847" s="15">
        <v>50</v>
      </c>
      <c r="AP847" s="15">
        <v>126</v>
      </c>
      <c r="AQ847" s="14" t="s">
        <v>1284</v>
      </c>
      <c r="AR847" s="15" t="s">
        <v>1316</v>
      </c>
    </row>
    <row r="848" spans="1:44" x14ac:dyDescent="0.2">
      <c r="A848" t="s">
        <v>1127</v>
      </c>
      <c r="B848" s="15" t="s">
        <v>1146</v>
      </c>
      <c r="C848" s="15" t="s">
        <v>1149</v>
      </c>
      <c r="D848" t="s">
        <v>1125</v>
      </c>
      <c r="E848" t="s">
        <v>1126</v>
      </c>
      <c r="F848" t="s">
        <v>1311</v>
      </c>
      <c r="G848" s="15" t="s">
        <v>1165</v>
      </c>
      <c r="H848" s="14" t="s">
        <v>1165</v>
      </c>
      <c r="I848" s="16" t="s">
        <v>1312</v>
      </c>
      <c r="M848" t="s">
        <v>1145</v>
      </c>
      <c r="O848">
        <v>2011</v>
      </c>
      <c r="R848">
        <v>30</v>
      </c>
      <c r="T848" t="s">
        <v>1313</v>
      </c>
      <c r="U848" t="s">
        <v>1246</v>
      </c>
      <c r="V848" s="9" t="s">
        <v>1313</v>
      </c>
      <c r="W848">
        <v>70</v>
      </c>
      <c r="X848" s="9" t="s">
        <v>1201</v>
      </c>
      <c r="Y848" t="s">
        <v>1210</v>
      </c>
      <c r="Z848">
        <v>0</v>
      </c>
      <c r="AF848" s="14" t="s">
        <v>153</v>
      </c>
      <c r="AG848" t="s">
        <v>1314</v>
      </c>
      <c r="AH848">
        <v>10</v>
      </c>
      <c r="AI848" t="s">
        <v>153</v>
      </c>
      <c r="AJ848" s="15" t="s">
        <v>1148</v>
      </c>
      <c r="AK848" s="15">
        <v>16.399999999999999</v>
      </c>
      <c r="AL848" s="14" t="s">
        <v>1263</v>
      </c>
      <c r="AM848" s="14">
        <f>17.722-15.322</f>
        <v>2.4000000000000021</v>
      </c>
      <c r="AN848" s="15">
        <v>4</v>
      </c>
      <c r="AO848" s="15">
        <v>50</v>
      </c>
      <c r="AP848" s="15">
        <v>126</v>
      </c>
      <c r="AQ848" s="14" t="s">
        <v>1284</v>
      </c>
      <c r="AR848" s="15" t="s">
        <v>1316</v>
      </c>
    </row>
    <row r="849" spans="1:44" x14ac:dyDescent="0.2">
      <c r="A849" t="s">
        <v>1127</v>
      </c>
      <c r="B849" s="15" t="s">
        <v>1146</v>
      </c>
      <c r="C849" s="15" t="s">
        <v>1149</v>
      </c>
      <c r="D849" t="s">
        <v>1125</v>
      </c>
      <c r="E849" t="s">
        <v>1126</v>
      </c>
      <c r="F849" t="s">
        <v>1311</v>
      </c>
      <c r="G849" s="15" t="s">
        <v>1165</v>
      </c>
      <c r="H849" s="14" t="s">
        <v>1165</v>
      </c>
      <c r="I849" s="16" t="s">
        <v>1312</v>
      </c>
      <c r="M849" t="s">
        <v>1145</v>
      </c>
      <c r="O849">
        <v>2011</v>
      </c>
      <c r="R849">
        <v>30</v>
      </c>
      <c r="T849" t="s">
        <v>1313</v>
      </c>
      <c r="U849" t="s">
        <v>1246</v>
      </c>
      <c r="V849" s="9" t="s">
        <v>1313</v>
      </c>
      <c r="W849">
        <v>70</v>
      </c>
      <c r="X849" s="9" t="s">
        <v>1293</v>
      </c>
      <c r="Y849" t="s">
        <v>1210</v>
      </c>
      <c r="Z849">
        <v>0</v>
      </c>
      <c r="AF849" s="14" t="s">
        <v>153</v>
      </c>
      <c r="AG849" t="s">
        <v>1314</v>
      </c>
      <c r="AH849">
        <v>10</v>
      </c>
      <c r="AI849" t="s">
        <v>153</v>
      </c>
      <c r="AJ849" s="15" t="s">
        <v>1148</v>
      </c>
      <c r="AK849" s="15">
        <v>0.3</v>
      </c>
      <c r="AL849" s="14" t="s">
        <v>1263</v>
      </c>
      <c r="AM849" s="14">
        <f>1.722-0.3</f>
        <v>1.4219999999999999</v>
      </c>
      <c r="AN849" s="15">
        <v>4</v>
      </c>
      <c r="AO849" s="15">
        <v>50</v>
      </c>
      <c r="AP849" s="15">
        <v>126</v>
      </c>
      <c r="AQ849" s="14" t="s">
        <v>1284</v>
      </c>
      <c r="AR849" s="15" t="s">
        <v>1316</v>
      </c>
    </row>
    <row r="850" spans="1:44" x14ac:dyDescent="0.2">
      <c r="A850" t="s">
        <v>1127</v>
      </c>
      <c r="B850" s="15" t="s">
        <v>1146</v>
      </c>
      <c r="C850" s="15" t="s">
        <v>1149</v>
      </c>
      <c r="D850" t="s">
        <v>1125</v>
      </c>
      <c r="E850" t="s">
        <v>1126</v>
      </c>
      <c r="F850" t="s">
        <v>1311</v>
      </c>
      <c r="G850" s="15" t="s">
        <v>1165</v>
      </c>
      <c r="H850" s="14" t="s">
        <v>1165</v>
      </c>
      <c r="I850" s="16" t="s">
        <v>1312</v>
      </c>
      <c r="M850" t="s">
        <v>1145</v>
      </c>
      <c r="O850">
        <v>2011</v>
      </c>
      <c r="R850">
        <v>30</v>
      </c>
      <c r="T850" t="s">
        <v>1313</v>
      </c>
      <c r="U850" t="s">
        <v>1246</v>
      </c>
      <c r="V850" s="9" t="s">
        <v>1313</v>
      </c>
      <c r="W850">
        <v>70</v>
      </c>
      <c r="X850" s="9" t="s">
        <v>1291</v>
      </c>
      <c r="Y850" t="s">
        <v>1210</v>
      </c>
      <c r="Z850">
        <v>0</v>
      </c>
      <c r="AF850" s="14" t="s">
        <v>153</v>
      </c>
      <c r="AG850" t="s">
        <v>1314</v>
      </c>
      <c r="AH850">
        <v>10</v>
      </c>
      <c r="AI850" t="s">
        <v>153</v>
      </c>
      <c r="AJ850" s="15" t="s">
        <v>1148</v>
      </c>
      <c r="AK850" s="15">
        <v>3.8559999999999999</v>
      </c>
      <c r="AL850" s="14" t="s">
        <v>1263</v>
      </c>
      <c r="AM850" s="14">
        <f>6.344-1.9</f>
        <v>4.4440000000000008</v>
      </c>
      <c r="AN850" s="15">
        <v>4</v>
      </c>
      <c r="AO850" s="15">
        <v>50</v>
      </c>
      <c r="AP850" s="15">
        <v>133</v>
      </c>
      <c r="AQ850" s="14" t="s">
        <v>1284</v>
      </c>
      <c r="AR850" s="15" t="s">
        <v>1316</v>
      </c>
    </row>
    <row r="851" spans="1:44" x14ac:dyDescent="0.2">
      <c r="A851" t="s">
        <v>1127</v>
      </c>
      <c r="B851" s="15" t="s">
        <v>1146</v>
      </c>
      <c r="C851" s="15" t="s">
        <v>1149</v>
      </c>
      <c r="D851" t="s">
        <v>1125</v>
      </c>
      <c r="E851" t="s">
        <v>1126</v>
      </c>
      <c r="F851" t="s">
        <v>1311</v>
      </c>
      <c r="G851" s="15" t="s">
        <v>1165</v>
      </c>
      <c r="H851" s="14" t="s">
        <v>1165</v>
      </c>
      <c r="I851" s="16" t="s">
        <v>1312</v>
      </c>
      <c r="M851" t="s">
        <v>1145</v>
      </c>
      <c r="O851">
        <v>2011</v>
      </c>
      <c r="R851">
        <v>30</v>
      </c>
      <c r="T851" t="s">
        <v>1313</v>
      </c>
      <c r="U851" t="s">
        <v>1246</v>
      </c>
      <c r="V851" s="9" t="s">
        <v>1313</v>
      </c>
      <c r="W851">
        <v>70</v>
      </c>
      <c r="X851" s="9" t="s">
        <v>1292</v>
      </c>
      <c r="Y851" t="s">
        <v>1210</v>
      </c>
      <c r="Z851">
        <v>0</v>
      </c>
      <c r="AF851" s="14" t="s">
        <v>153</v>
      </c>
      <c r="AG851" t="s">
        <v>1314</v>
      </c>
      <c r="AH851">
        <v>10</v>
      </c>
      <c r="AI851" t="s">
        <v>153</v>
      </c>
      <c r="AJ851" s="15" t="s">
        <v>1148</v>
      </c>
      <c r="AK851" s="15">
        <v>9.8670000000000009</v>
      </c>
      <c r="AL851" s="14" t="s">
        <v>1263</v>
      </c>
      <c r="AM851" s="14">
        <f>13.011-6.611</f>
        <v>6.3999999999999995</v>
      </c>
      <c r="AN851" s="15">
        <v>4</v>
      </c>
      <c r="AO851" s="15">
        <v>50</v>
      </c>
      <c r="AP851" s="15">
        <v>133</v>
      </c>
      <c r="AQ851" s="14" t="s">
        <v>1284</v>
      </c>
      <c r="AR851" s="15" t="s">
        <v>1316</v>
      </c>
    </row>
    <row r="852" spans="1:44" x14ac:dyDescent="0.2">
      <c r="A852" t="s">
        <v>1127</v>
      </c>
      <c r="B852" s="15" t="s">
        <v>1146</v>
      </c>
      <c r="C852" s="15" t="s">
        <v>1149</v>
      </c>
      <c r="D852" t="s">
        <v>1125</v>
      </c>
      <c r="E852" t="s">
        <v>1126</v>
      </c>
      <c r="F852" t="s">
        <v>1311</v>
      </c>
      <c r="G852" s="15" t="s">
        <v>1165</v>
      </c>
      <c r="H852" s="14" t="s">
        <v>1165</v>
      </c>
      <c r="I852" s="16" t="s">
        <v>1312</v>
      </c>
      <c r="M852" t="s">
        <v>1145</v>
      </c>
      <c r="O852">
        <v>2011</v>
      </c>
      <c r="R852">
        <v>30</v>
      </c>
      <c r="T852" t="s">
        <v>1313</v>
      </c>
      <c r="U852" t="s">
        <v>1246</v>
      </c>
      <c r="V852" s="9" t="s">
        <v>1313</v>
      </c>
      <c r="W852">
        <v>70</v>
      </c>
      <c r="X852" s="9" t="s">
        <v>1201</v>
      </c>
      <c r="Y852" t="s">
        <v>1210</v>
      </c>
      <c r="Z852">
        <v>0</v>
      </c>
      <c r="AF852" s="14" t="s">
        <v>153</v>
      </c>
      <c r="AG852" t="s">
        <v>1314</v>
      </c>
      <c r="AH852">
        <v>10</v>
      </c>
      <c r="AI852" t="s">
        <v>153</v>
      </c>
      <c r="AJ852" s="15" t="s">
        <v>1148</v>
      </c>
      <c r="AK852" s="15">
        <v>16.399999999999999</v>
      </c>
      <c r="AL852" s="14" t="s">
        <v>1263</v>
      </c>
      <c r="AM852" s="14">
        <f>17.722-15.322</f>
        <v>2.4000000000000021</v>
      </c>
      <c r="AN852" s="15">
        <v>4</v>
      </c>
      <c r="AO852" s="15">
        <v>50</v>
      </c>
      <c r="AP852" s="15">
        <v>133</v>
      </c>
      <c r="AQ852" s="14" t="s">
        <v>1284</v>
      </c>
      <c r="AR852" s="15" t="s">
        <v>1316</v>
      </c>
    </row>
    <row r="853" spans="1:44" x14ac:dyDescent="0.2">
      <c r="A853" t="s">
        <v>1127</v>
      </c>
      <c r="B853" s="15" t="s">
        <v>1146</v>
      </c>
      <c r="C853" s="15" t="s">
        <v>1149</v>
      </c>
      <c r="D853" t="s">
        <v>1125</v>
      </c>
      <c r="E853" t="s">
        <v>1126</v>
      </c>
      <c r="F853" t="s">
        <v>1311</v>
      </c>
      <c r="G853" s="15" t="s">
        <v>1165</v>
      </c>
      <c r="H853" s="14" t="s">
        <v>1165</v>
      </c>
      <c r="I853" s="16" t="s">
        <v>1312</v>
      </c>
      <c r="M853" t="s">
        <v>1145</v>
      </c>
      <c r="O853">
        <v>2011</v>
      </c>
      <c r="R853">
        <v>30</v>
      </c>
      <c r="T853" t="s">
        <v>1313</v>
      </c>
      <c r="U853" t="s">
        <v>1246</v>
      </c>
      <c r="V853" s="9" t="s">
        <v>1313</v>
      </c>
      <c r="W853">
        <v>70</v>
      </c>
      <c r="X853" s="9" t="s">
        <v>1293</v>
      </c>
      <c r="Y853" t="s">
        <v>1210</v>
      </c>
      <c r="Z853">
        <v>0</v>
      </c>
      <c r="AF853" s="14" t="s">
        <v>153</v>
      </c>
      <c r="AG853" t="s">
        <v>1314</v>
      </c>
      <c r="AH853">
        <v>10</v>
      </c>
      <c r="AI853" t="s">
        <v>153</v>
      </c>
      <c r="AJ853" s="15" t="s">
        <v>1148</v>
      </c>
      <c r="AK853" s="15">
        <v>0.53300000000000003</v>
      </c>
      <c r="AL853" s="14" t="s">
        <v>1263</v>
      </c>
      <c r="AM853" s="14">
        <f>1.9</f>
        <v>1.9</v>
      </c>
      <c r="AN853" s="15">
        <v>4</v>
      </c>
      <c r="AO853" s="15">
        <v>50</v>
      </c>
      <c r="AP853" s="15">
        <v>133</v>
      </c>
      <c r="AQ853" s="14" t="s">
        <v>1284</v>
      </c>
      <c r="AR853" s="15" t="s">
        <v>1316</v>
      </c>
    </row>
    <row r="854" spans="1:44" x14ac:dyDescent="0.2">
      <c r="A854" t="s">
        <v>1127</v>
      </c>
      <c r="B854" s="15" t="s">
        <v>1146</v>
      </c>
      <c r="C854" s="15" t="s">
        <v>1149</v>
      </c>
      <c r="D854" t="s">
        <v>1125</v>
      </c>
      <c r="E854" t="s">
        <v>1126</v>
      </c>
      <c r="F854" t="s">
        <v>1311</v>
      </c>
      <c r="G854" s="15" t="s">
        <v>1165</v>
      </c>
      <c r="H854" s="14" t="s">
        <v>1165</v>
      </c>
      <c r="I854" s="16" t="s">
        <v>1312</v>
      </c>
      <c r="M854" t="s">
        <v>1145</v>
      </c>
      <c r="O854">
        <v>2011</v>
      </c>
      <c r="R854">
        <v>30</v>
      </c>
      <c r="T854" t="s">
        <v>1313</v>
      </c>
      <c r="U854" t="s">
        <v>1246</v>
      </c>
      <c r="V854" s="9" t="s">
        <v>1313</v>
      </c>
      <c r="W854">
        <v>70</v>
      </c>
      <c r="X854" s="9" t="s">
        <v>1291</v>
      </c>
      <c r="Y854" t="s">
        <v>1210</v>
      </c>
      <c r="Z854">
        <v>0</v>
      </c>
      <c r="AF854" s="14" t="s">
        <v>153</v>
      </c>
      <c r="AG854" t="s">
        <v>1314</v>
      </c>
      <c r="AH854">
        <v>10</v>
      </c>
      <c r="AI854" t="s">
        <v>153</v>
      </c>
      <c r="AJ854" s="15" t="s">
        <v>1148</v>
      </c>
      <c r="AK854" s="15">
        <v>3.8559999999999999</v>
      </c>
      <c r="AL854" s="14" t="s">
        <v>1263</v>
      </c>
      <c r="AM854" s="14">
        <f>6.344-1.9</f>
        <v>4.4440000000000008</v>
      </c>
      <c r="AN854" s="15">
        <v>4</v>
      </c>
      <c r="AO854" s="15">
        <v>50</v>
      </c>
      <c r="AP854" s="15">
        <v>140</v>
      </c>
      <c r="AQ854" s="14" t="s">
        <v>1284</v>
      </c>
      <c r="AR854" s="15" t="s">
        <v>1316</v>
      </c>
    </row>
    <row r="855" spans="1:44" x14ac:dyDescent="0.2">
      <c r="A855" t="s">
        <v>1127</v>
      </c>
      <c r="B855" s="15" t="s">
        <v>1146</v>
      </c>
      <c r="C855" s="15" t="s">
        <v>1149</v>
      </c>
      <c r="D855" t="s">
        <v>1125</v>
      </c>
      <c r="E855" t="s">
        <v>1126</v>
      </c>
      <c r="F855" t="s">
        <v>1311</v>
      </c>
      <c r="G855" s="15" t="s">
        <v>1165</v>
      </c>
      <c r="H855" s="14" t="s">
        <v>1165</v>
      </c>
      <c r="I855" s="16" t="s">
        <v>1312</v>
      </c>
      <c r="M855" t="s">
        <v>1145</v>
      </c>
      <c r="O855">
        <v>2011</v>
      </c>
      <c r="R855">
        <v>30</v>
      </c>
      <c r="T855" t="s">
        <v>1313</v>
      </c>
      <c r="U855" t="s">
        <v>1246</v>
      </c>
      <c r="V855" s="9" t="s">
        <v>1313</v>
      </c>
      <c r="W855">
        <v>70</v>
      </c>
      <c r="X855" s="9" t="s">
        <v>1292</v>
      </c>
      <c r="Y855" t="s">
        <v>1210</v>
      </c>
      <c r="Z855">
        <v>0</v>
      </c>
      <c r="AF855" s="14" t="s">
        <v>153</v>
      </c>
      <c r="AG855" t="s">
        <v>1314</v>
      </c>
      <c r="AH855">
        <v>10</v>
      </c>
      <c r="AI855" t="s">
        <v>153</v>
      </c>
      <c r="AJ855" s="15" t="s">
        <v>1148</v>
      </c>
      <c r="AK855" s="15">
        <v>9.8670000000000009</v>
      </c>
      <c r="AL855" s="14" t="s">
        <v>1263</v>
      </c>
      <c r="AM855" s="14">
        <f>13.011-6.611</f>
        <v>6.3999999999999995</v>
      </c>
      <c r="AN855" s="15">
        <v>4</v>
      </c>
      <c r="AO855" s="15">
        <v>50</v>
      </c>
      <c r="AP855" s="15">
        <v>140</v>
      </c>
      <c r="AQ855" s="14" t="s">
        <v>1284</v>
      </c>
      <c r="AR855" s="15" t="s">
        <v>1316</v>
      </c>
    </row>
    <row r="856" spans="1:44" x14ac:dyDescent="0.2">
      <c r="A856" t="s">
        <v>1127</v>
      </c>
      <c r="B856" s="15" t="s">
        <v>1146</v>
      </c>
      <c r="C856" s="15" t="s">
        <v>1149</v>
      </c>
      <c r="D856" t="s">
        <v>1125</v>
      </c>
      <c r="E856" t="s">
        <v>1126</v>
      </c>
      <c r="F856" t="s">
        <v>1311</v>
      </c>
      <c r="G856" s="15" t="s">
        <v>1165</v>
      </c>
      <c r="H856" s="14" t="s">
        <v>1165</v>
      </c>
      <c r="I856" s="16" t="s">
        <v>1312</v>
      </c>
      <c r="M856" t="s">
        <v>1145</v>
      </c>
      <c r="O856">
        <v>2011</v>
      </c>
      <c r="R856">
        <v>30</v>
      </c>
      <c r="T856" t="s">
        <v>1313</v>
      </c>
      <c r="U856" t="s">
        <v>1246</v>
      </c>
      <c r="V856" s="9" t="s">
        <v>1313</v>
      </c>
      <c r="W856">
        <v>70</v>
      </c>
      <c r="X856" s="9" t="s">
        <v>1201</v>
      </c>
      <c r="Y856" t="s">
        <v>1210</v>
      </c>
      <c r="Z856">
        <v>0</v>
      </c>
      <c r="AF856" s="14" t="s">
        <v>153</v>
      </c>
      <c r="AG856" t="s">
        <v>1314</v>
      </c>
      <c r="AH856">
        <v>10</v>
      </c>
      <c r="AI856" t="s">
        <v>153</v>
      </c>
      <c r="AJ856" s="15" t="s">
        <v>1148</v>
      </c>
      <c r="AK856" s="15">
        <v>16.399999999999999</v>
      </c>
      <c r="AL856" s="14" t="s">
        <v>1263</v>
      </c>
      <c r="AM856" s="14">
        <f>17.722-15.322</f>
        <v>2.4000000000000021</v>
      </c>
      <c r="AN856" s="15">
        <v>4</v>
      </c>
      <c r="AO856" s="15">
        <v>50</v>
      </c>
      <c r="AP856" s="15">
        <v>140</v>
      </c>
      <c r="AQ856" s="14" t="s">
        <v>1284</v>
      </c>
      <c r="AR856" s="15" t="s">
        <v>1316</v>
      </c>
    </row>
    <row r="857" spans="1:44" x14ac:dyDescent="0.2">
      <c r="A857" t="s">
        <v>1127</v>
      </c>
      <c r="B857" s="15" t="s">
        <v>1146</v>
      </c>
      <c r="C857" s="15" t="s">
        <v>1149</v>
      </c>
      <c r="D857" t="s">
        <v>1125</v>
      </c>
      <c r="E857" t="s">
        <v>1126</v>
      </c>
      <c r="F857" t="s">
        <v>1311</v>
      </c>
      <c r="G857" s="15" t="s">
        <v>1165</v>
      </c>
      <c r="H857" s="14" t="s">
        <v>1165</v>
      </c>
      <c r="I857" s="16" t="s">
        <v>1312</v>
      </c>
      <c r="M857" t="s">
        <v>1145</v>
      </c>
      <c r="O857">
        <v>2011</v>
      </c>
      <c r="R857">
        <v>30</v>
      </c>
      <c r="T857" t="s">
        <v>1313</v>
      </c>
      <c r="U857" t="s">
        <v>1246</v>
      </c>
      <c r="V857" s="9" t="s">
        <v>1313</v>
      </c>
      <c r="W857">
        <v>70</v>
      </c>
      <c r="X857" s="9" t="s">
        <v>1293</v>
      </c>
      <c r="Y857" t="s">
        <v>1210</v>
      </c>
      <c r="Z857">
        <v>0</v>
      </c>
      <c r="AF857" s="14" t="s">
        <v>153</v>
      </c>
      <c r="AG857" t="s">
        <v>1314</v>
      </c>
      <c r="AH857">
        <v>10</v>
      </c>
      <c r="AI857" t="s">
        <v>153</v>
      </c>
      <c r="AJ857" s="15" t="s">
        <v>1148</v>
      </c>
      <c r="AK857" s="15">
        <v>0.53300000000000003</v>
      </c>
      <c r="AL857" s="14" t="s">
        <v>1263</v>
      </c>
      <c r="AM857" s="14">
        <f>1.9</f>
        <v>1.9</v>
      </c>
      <c r="AN857" s="15">
        <v>4</v>
      </c>
      <c r="AO857" s="15">
        <v>50</v>
      </c>
      <c r="AP857" s="15">
        <v>140</v>
      </c>
      <c r="AQ857" s="14" t="s">
        <v>1284</v>
      </c>
      <c r="AR857" s="15" t="s">
        <v>1316</v>
      </c>
    </row>
    <row r="858" spans="1:44" x14ac:dyDescent="0.2">
      <c r="A858" t="s">
        <v>1127</v>
      </c>
      <c r="B858" s="15" t="s">
        <v>1146</v>
      </c>
      <c r="C858" s="15" t="s">
        <v>1149</v>
      </c>
      <c r="D858" t="s">
        <v>1125</v>
      </c>
      <c r="E858" t="s">
        <v>1126</v>
      </c>
      <c r="F858" t="s">
        <v>1311</v>
      </c>
      <c r="G858" s="15" t="s">
        <v>1165</v>
      </c>
      <c r="H858" s="14" t="s">
        <v>1165</v>
      </c>
      <c r="I858" s="16" t="s">
        <v>1312</v>
      </c>
      <c r="M858" t="s">
        <v>1145</v>
      </c>
      <c r="O858">
        <v>2011</v>
      </c>
      <c r="R858">
        <v>30</v>
      </c>
      <c r="T858" t="s">
        <v>1313</v>
      </c>
      <c r="U858" t="s">
        <v>1246</v>
      </c>
      <c r="V858" s="9" t="s">
        <v>1313</v>
      </c>
      <c r="W858">
        <v>70</v>
      </c>
      <c r="X858" s="9" t="s">
        <v>1291</v>
      </c>
      <c r="Y858" t="s">
        <v>1210</v>
      </c>
      <c r="Z858">
        <v>0</v>
      </c>
      <c r="AF858" s="14" t="s">
        <v>153</v>
      </c>
      <c r="AG858" t="s">
        <v>1314</v>
      </c>
      <c r="AH858">
        <v>10</v>
      </c>
      <c r="AI858" t="s">
        <v>153</v>
      </c>
      <c r="AJ858" s="15" t="s">
        <v>1148</v>
      </c>
      <c r="AK858" s="15">
        <v>4.3</v>
      </c>
      <c r="AL858" s="14" t="s">
        <v>1263</v>
      </c>
      <c r="AM858" s="14">
        <f>6.7-2.167</f>
        <v>4.5330000000000004</v>
      </c>
      <c r="AN858" s="15">
        <v>4</v>
      </c>
      <c r="AO858" s="15">
        <v>50</v>
      </c>
      <c r="AP858" s="15">
        <v>147</v>
      </c>
      <c r="AQ858" s="14" t="s">
        <v>1284</v>
      </c>
      <c r="AR858" s="15" t="s">
        <v>1316</v>
      </c>
    </row>
    <row r="859" spans="1:44" x14ac:dyDescent="0.2">
      <c r="A859" t="s">
        <v>1127</v>
      </c>
      <c r="B859" s="15" t="s">
        <v>1146</v>
      </c>
      <c r="C859" s="15" t="s">
        <v>1149</v>
      </c>
      <c r="D859" t="s">
        <v>1125</v>
      </c>
      <c r="E859" t="s">
        <v>1126</v>
      </c>
      <c r="F859" t="s">
        <v>1311</v>
      </c>
      <c r="G859" s="15" t="s">
        <v>1165</v>
      </c>
      <c r="H859" s="14" t="s">
        <v>1165</v>
      </c>
      <c r="I859" s="16" t="s">
        <v>1312</v>
      </c>
      <c r="M859" t="s">
        <v>1145</v>
      </c>
      <c r="O859">
        <v>2011</v>
      </c>
      <c r="R859">
        <v>30</v>
      </c>
      <c r="T859" t="s">
        <v>1313</v>
      </c>
      <c r="U859" t="s">
        <v>1246</v>
      </c>
      <c r="V859" s="9" t="s">
        <v>1313</v>
      </c>
      <c r="W859">
        <v>70</v>
      </c>
      <c r="X859" s="9" t="s">
        <v>1292</v>
      </c>
      <c r="Y859" t="s">
        <v>1210</v>
      </c>
      <c r="Z859">
        <v>0</v>
      </c>
      <c r="AF859" s="14" t="s">
        <v>153</v>
      </c>
      <c r="AG859" t="s">
        <v>1314</v>
      </c>
      <c r="AH859">
        <v>10</v>
      </c>
      <c r="AI859" t="s">
        <v>153</v>
      </c>
      <c r="AJ859" s="15" t="s">
        <v>1148</v>
      </c>
      <c r="AK859" s="15">
        <v>9.8670000000000009</v>
      </c>
      <c r="AL859" s="14" t="s">
        <v>1263</v>
      </c>
      <c r="AM859" s="14">
        <f>13.011-6.611</f>
        <v>6.3999999999999995</v>
      </c>
      <c r="AN859" s="15">
        <v>4</v>
      </c>
      <c r="AO859" s="15">
        <v>50</v>
      </c>
      <c r="AP859" s="15">
        <v>147</v>
      </c>
      <c r="AQ859" s="14" t="s">
        <v>1284</v>
      </c>
      <c r="AR859" s="15" t="s">
        <v>1316</v>
      </c>
    </row>
    <row r="860" spans="1:44" x14ac:dyDescent="0.2">
      <c r="A860" t="s">
        <v>1127</v>
      </c>
      <c r="B860" s="15" t="s">
        <v>1146</v>
      </c>
      <c r="C860" s="15" t="s">
        <v>1149</v>
      </c>
      <c r="D860" t="s">
        <v>1125</v>
      </c>
      <c r="E860" t="s">
        <v>1126</v>
      </c>
      <c r="F860" t="s">
        <v>1311</v>
      </c>
      <c r="G860" s="15" t="s">
        <v>1165</v>
      </c>
      <c r="H860" s="14" t="s">
        <v>1165</v>
      </c>
      <c r="I860" s="16" t="s">
        <v>1312</v>
      </c>
      <c r="M860" t="s">
        <v>1145</v>
      </c>
      <c r="O860">
        <v>2011</v>
      </c>
      <c r="R860">
        <v>30</v>
      </c>
      <c r="T860" t="s">
        <v>1313</v>
      </c>
      <c r="U860" t="s">
        <v>1246</v>
      </c>
      <c r="V860" s="9" t="s">
        <v>1313</v>
      </c>
      <c r="W860">
        <v>70</v>
      </c>
      <c r="X860" s="9" t="s">
        <v>1201</v>
      </c>
      <c r="Y860" t="s">
        <v>1210</v>
      </c>
      <c r="Z860">
        <v>0</v>
      </c>
      <c r="AF860" s="14" t="s">
        <v>153</v>
      </c>
      <c r="AG860" t="s">
        <v>1314</v>
      </c>
      <c r="AH860">
        <v>10</v>
      </c>
      <c r="AI860" t="s">
        <v>153</v>
      </c>
      <c r="AJ860" s="15" t="s">
        <v>1148</v>
      </c>
      <c r="AK860" s="15">
        <v>16.399999999999999</v>
      </c>
      <c r="AL860" s="14" t="s">
        <v>1263</v>
      </c>
      <c r="AM860" s="14">
        <f>17.722-15.322</f>
        <v>2.4000000000000021</v>
      </c>
      <c r="AN860" s="15">
        <v>4</v>
      </c>
      <c r="AO860" s="15">
        <v>50</v>
      </c>
      <c r="AP860" s="15">
        <v>147</v>
      </c>
      <c r="AQ860" s="14" t="s">
        <v>1284</v>
      </c>
      <c r="AR860" s="15" t="s">
        <v>1316</v>
      </c>
    </row>
    <row r="861" spans="1:44" x14ac:dyDescent="0.2">
      <c r="A861" t="s">
        <v>1127</v>
      </c>
      <c r="B861" s="15" t="s">
        <v>1146</v>
      </c>
      <c r="C861" s="15" t="s">
        <v>1149</v>
      </c>
      <c r="D861" t="s">
        <v>1125</v>
      </c>
      <c r="E861" t="s">
        <v>1126</v>
      </c>
      <c r="F861" t="s">
        <v>1311</v>
      </c>
      <c r="G861" s="15" t="s">
        <v>1165</v>
      </c>
      <c r="H861" s="14" t="s">
        <v>1165</v>
      </c>
      <c r="I861" s="16" t="s">
        <v>1312</v>
      </c>
      <c r="M861" t="s">
        <v>1145</v>
      </c>
      <c r="O861">
        <v>2011</v>
      </c>
      <c r="R861">
        <v>30</v>
      </c>
      <c r="T861" t="s">
        <v>1313</v>
      </c>
      <c r="U861" t="s">
        <v>1246</v>
      </c>
      <c r="V861" s="9" t="s">
        <v>1313</v>
      </c>
      <c r="W861">
        <v>70</v>
      </c>
      <c r="X861" s="9" t="s">
        <v>1293</v>
      </c>
      <c r="Y861" t="s">
        <v>1210</v>
      </c>
      <c r="Z861">
        <v>0</v>
      </c>
      <c r="AF861" s="14" t="s">
        <v>153</v>
      </c>
      <c r="AG861" t="s">
        <v>1314</v>
      </c>
      <c r="AH861">
        <v>10</v>
      </c>
      <c r="AI861" t="s">
        <v>153</v>
      </c>
      <c r="AJ861" s="15" t="s">
        <v>1148</v>
      </c>
      <c r="AK861" s="15">
        <v>0.56699999999999995</v>
      </c>
      <c r="AL861" s="14" t="s">
        <v>1263</v>
      </c>
      <c r="AM861" s="14">
        <v>1.9890000000000001</v>
      </c>
      <c r="AN861" s="15">
        <v>4</v>
      </c>
      <c r="AO861" s="15">
        <v>50</v>
      </c>
      <c r="AP861" s="15">
        <v>147</v>
      </c>
      <c r="AQ861" s="14" t="s">
        <v>1284</v>
      </c>
      <c r="AR861" s="15" t="s">
        <v>1316</v>
      </c>
    </row>
    <row r="862" spans="1:44" x14ac:dyDescent="0.2">
      <c r="A862" t="s">
        <v>1127</v>
      </c>
      <c r="B862" s="15" t="s">
        <v>1146</v>
      </c>
      <c r="C862" s="15" t="s">
        <v>1149</v>
      </c>
      <c r="D862" t="s">
        <v>1125</v>
      </c>
      <c r="E862" t="s">
        <v>1126</v>
      </c>
      <c r="F862" t="s">
        <v>1311</v>
      </c>
      <c r="G862" s="15" t="s">
        <v>1165</v>
      </c>
      <c r="H862" s="14" t="s">
        <v>1165</v>
      </c>
      <c r="I862" s="16" t="s">
        <v>1312</v>
      </c>
      <c r="M862" t="s">
        <v>1145</v>
      </c>
      <c r="O862">
        <v>2011</v>
      </c>
      <c r="R862">
        <v>30</v>
      </c>
      <c r="T862" t="s">
        <v>1313</v>
      </c>
      <c r="U862" t="s">
        <v>1246</v>
      </c>
      <c r="V862" s="9" t="s">
        <v>1313</v>
      </c>
      <c r="W862">
        <v>70</v>
      </c>
      <c r="X862" s="9" t="s">
        <v>1291</v>
      </c>
      <c r="Y862" t="s">
        <v>1210</v>
      </c>
      <c r="Z862">
        <v>0</v>
      </c>
      <c r="AF862" s="14" t="s">
        <v>153</v>
      </c>
      <c r="AG862" t="s">
        <v>1314</v>
      </c>
      <c r="AH862">
        <v>10</v>
      </c>
      <c r="AI862" t="s">
        <v>153</v>
      </c>
      <c r="AJ862" s="15" t="s">
        <v>1148</v>
      </c>
      <c r="AK862" s="15">
        <v>4.3</v>
      </c>
      <c r="AL862" s="14" t="s">
        <v>1263</v>
      </c>
      <c r="AM862" s="14">
        <f>6.7-2.167</f>
        <v>4.5330000000000004</v>
      </c>
      <c r="AN862" s="15">
        <v>4</v>
      </c>
      <c r="AO862" s="15">
        <v>50</v>
      </c>
      <c r="AP862" s="15">
        <f>AP861+7</f>
        <v>154</v>
      </c>
      <c r="AQ862" s="14" t="s">
        <v>1284</v>
      </c>
      <c r="AR862" s="15" t="s">
        <v>1316</v>
      </c>
    </row>
    <row r="863" spans="1:44" x14ac:dyDescent="0.2">
      <c r="A863" t="s">
        <v>1127</v>
      </c>
      <c r="B863" s="15" t="s">
        <v>1146</v>
      </c>
      <c r="C863" s="15" t="s">
        <v>1149</v>
      </c>
      <c r="D863" t="s">
        <v>1125</v>
      </c>
      <c r="E863" t="s">
        <v>1126</v>
      </c>
      <c r="F863" t="s">
        <v>1311</v>
      </c>
      <c r="G863" s="15" t="s">
        <v>1165</v>
      </c>
      <c r="H863" s="14" t="s">
        <v>1165</v>
      </c>
      <c r="I863" s="16" t="s">
        <v>1312</v>
      </c>
      <c r="M863" t="s">
        <v>1145</v>
      </c>
      <c r="O863">
        <v>2011</v>
      </c>
      <c r="R863">
        <v>30</v>
      </c>
      <c r="T863" t="s">
        <v>1313</v>
      </c>
      <c r="U863" t="s">
        <v>1246</v>
      </c>
      <c r="V863" s="9" t="s">
        <v>1313</v>
      </c>
      <c r="W863">
        <v>70</v>
      </c>
      <c r="X863" s="9" t="s">
        <v>1292</v>
      </c>
      <c r="Y863" t="s">
        <v>1210</v>
      </c>
      <c r="Z863">
        <v>0</v>
      </c>
      <c r="AF863" s="14" t="s">
        <v>153</v>
      </c>
      <c r="AG863" t="s">
        <v>1314</v>
      </c>
      <c r="AH863">
        <v>10</v>
      </c>
      <c r="AI863" t="s">
        <v>153</v>
      </c>
      <c r="AJ863" s="15" t="s">
        <v>1148</v>
      </c>
      <c r="AK863" s="15">
        <v>9.8670000000000009</v>
      </c>
      <c r="AL863" s="14" t="s">
        <v>1263</v>
      </c>
      <c r="AM863" s="14">
        <f>13.011-6.611</f>
        <v>6.3999999999999995</v>
      </c>
      <c r="AN863" s="15">
        <v>4</v>
      </c>
      <c r="AO863" s="15">
        <v>50</v>
      </c>
      <c r="AP863" s="15">
        <v>154</v>
      </c>
      <c r="AQ863" s="14" t="s">
        <v>1284</v>
      </c>
      <c r="AR863" s="15" t="s">
        <v>1316</v>
      </c>
    </row>
    <row r="864" spans="1:44" x14ac:dyDescent="0.2">
      <c r="A864" t="s">
        <v>1127</v>
      </c>
      <c r="B864" s="15" t="s">
        <v>1146</v>
      </c>
      <c r="C864" s="15" t="s">
        <v>1149</v>
      </c>
      <c r="D864" t="s">
        <v>1125</v>
      </c>
      <c r="E864" t="s">
        <v>1126</v>
      </c>
      <c r="F864" t="s">
        <v>1311</v>
      </c>
      <c r="G864" s="15" t="s">
        <v>1165</v>
      </c>
      <c r="H864" s="14" t="s">
        <v>1165</v>
      </c>
      <c r="I864" s="16" t="s">
        <v>1312</v>
      </c>
      <c r="M864" t="s">
        <v>1145</v>
      </c>
      <c r="O864">
        <v>2011</v>
      </c>
      <c r="R864">
        <v>30</v>
      </c>
      <c r="T864" t="s">
        <v>1313</v>
      </c>
      <c r="U864" t="s">
        <v>1246</v>
      </c>
      <c r="V864" s="9" t="s">
        <v>1313</v>
      </c>
      <c r="W864">
        <v>70</v>
      </c>
      <c r="X864" s="9" t="s">
        <v>1201</v>
      </c>
      <c r="Y864" t="s">
        <v>1210</v>
      </c>
      <c r="Z864">
        <v>0</v>
      </c>
      <c r="AF864" s="14" t="s">
        <v>153</v>
      </c>
      <c r="AG864" t="s">
        <v>1314</v>
      </c>
      <c r="AH864">
        <v>10</v>
      </c>
      <c r="AI864" t="s">
        <v>153</v>
      </c>
      <c r="AJ864" s="15" t="s">
        <v>1148</v>
      </c>
      <c r="AK864" s="15">
        <v>16.399999999999999</v>
      </c>
      <c r="AL864" s="14" t="s">
        <v>1263</v>
      </c>
      <c r="AM864" s="14">
        <f>17.722-15.322</f>
        <v>2.4000000000000021</v>
      </c>
      <c r="AN864" s="15">
        <v>4</v>
      </c>
      <c r="AO864" s="15">
        <v>50</v>
      </c>
      <c r="AP864" s="15">
        <v>154</v>
      </c>
      <c r="AQ864" s="14" t="s">
        <v>1284</v>
      </c>
      <c r="AR864" s="15" t="s">
        <v>1316</v>
      </c>
    </row>
    <row r="865" spans="1:44" x14ac:dyDescent="0.2">
      <c r="A865" t="s">
        <v>1127</v>
      </c>
      <c r="B865" s="15" t="s">
        <v>1146</v>
      </c>
      <c r="C865" s="15" t="s">
        <v>1149</v>
      </c>
      <c r="D865" t="s">
        <v>1125</v>
      </c>
      <c r="E865" t="s">
        <v>1126</v>
      </c>
      <c r="F865" t="s">
        <v>1311</v>
      </c>
      <c r="G865" s="15" t="s">
        <v>1165</v>
      </c>
      <c r="H865" s="14" t="s">
        <v>1165</v>
      </c>
      <c r="I865" s="16" t="s">
        <v>1312</v>
      </c>
      <c r="M865" t="s">
        <v>1145</v>
      </c>
      <c r="O865">
        <v>2011</v>
      </c>
      <c r="R865">
        <v>30</v>
      </c>
      <c r="T865" t="s">
        <v>1313</v>
      </c>
      <c r="U865" t="s">
        <v>1246</v>
      </c>
      <c r="V865" s="9" t="s">
        <v>1313</v>
      </c>
      <c r="W865">
        <v>70</v>
      </c>
      <c r="X865" s="9" t="s">
        <v>1293</v>
      </c>
      <c r="Y865" t="s">
        <v>1210</v>
      </c>
      <c r="Z865">
        <v>0</v>
      </c>
      <c r="AF865" s="14" t="s">
        <v>153</v>
      </c>
      <c r="AG865" t="s">
        <v>1314</v>
      </c>
      <c r="AH865">
        <v>10</v>
      </c>
      <c r="AI865" t="s">
        <v>153</v>
      </c>
      <c r="AJ865" s="15" t="s">
        <v>1148</v>
      </c>
      <c r="AK865" s="15">
        <v>0.56699999999999995</v>
      </c>
      <c r="AL865" s="14" t="s">
        <v>1263</v>
      </c>
      <c r="AM865" s="14">
        <v>1.9890000000000001</v>
      </c>
      <c r="AN865" s="15">
        <v>4</v>
      </c>
      <c r="AO865" s="15">
        <v>50</v>
      </c>
      <c r="AP865" s="15">
        <v>154</v>
      </c>
      <c r="AQ865" s="14" t="s">
        <v>1284</v>
      </c>
      <c r="AR865" s="15" t="s">
        <v>1316</v>
      </c>
    </row>
    <row r="866" spans="1:44" x14ac:dyDescent="0.2">
      <c r="A866" t="s">
        <v>1127</v>
      </c>
      <c r="B866" s="15" t="s">
        <v>1146</v>
      </c>
      <c r="C866" s="15" t="s">
        <v>1149</v>
      </c>
      <c r="D866" t="s">
        <v>1125</v>
      </c>
      <c r="E866" t="s">
        <v>1126</v>
      </c>
      <c r="F866" t="s">
        <v>1311</v>
      </c>
      <c r="G866" s="15" t="s">
        <v>1165</v>
      </c>
      <c r="H866" s="14" t="s">
        <v>1165</v>
      </c>
      <c r="I866" s="16" t="s">
        <v>1312</v>
      </c>
      <c r="M866" t="s">
        <v>1145</v>
      </c>
      <c r="O866">
        <v>2011</v>
      </c>
      <c r="R866">
        <v>30</v>
      </c>
      <c r="T866" t="s">
        <v>1313</v>
      </c>
      <c r="U866" t="s">
        <v>1246</v>
      </c>
      <c r="V866" s="9" t="s">
        <v>1313</v>
      </c>
      <c r="W866">
        <v>70</v>
      </c>
      <c r="X866" s="9" t="s">
        <v>1291</v>
      </c>
      <c r="Y866" t="s">
        <v>1210</v>
      </c>
      <c r="Z866">
        <v>0</v>
      </c>
      <c r="AF866" s="14" t="s">
        <v>153</v>
      </c>
      <c r="AG866" t="s">
        <v>1314</v>
      </c>
      <c r="AH866">
        <v>10</v>
      </c>
      <c r="AI866" t="s">
        <v>153</v>
      </c>
      <c r="AJ866" s="15" t="s">
        <v>1148</v>
      </c>
      <c r="AK866" s="15">
        <v>4.3</v>
      </c>
      <c r="AL866" s="14" t="s">
        <v>1263</v>
      </c>
      <c r="AM866" s="14">
        <f>6.7-2.167</f>
        <v>4.5330000000000004</v>
      </c>
      <c r="AN866" s="15">
        <v>4</v>
      </c>
      <c r="AO866" s="15">
        <v>50</v>
      </c>
      <c r="AP866" s="15">
        <f>154+7</f>
        <v>161</v>
      </c>
      <c r="AQ866" s="14" t="s">
        <v>1284</v>
      </c>
      <c r="AR866" s="15" t="s">
        <v>1316</v>
      </c>
    </row>
    <row r="867" spans="1:44" x14ac:dyDescent="0.2">
      <c r="A867" t="s">
        <v>1127</v>
      </c>
      <c r="B867" s="15" t="s">
        <v>1146</v>
      </c>
      <c r="C867" s="15" t="s">
        <v>1149</v>
      </c>
      <c r="D867" t="s">
        <v>1125</v>
      </c>
      <c r="E867" t="s">
        <v>1126</v>
      </c>
      <c r="F867" t="s">
        <v>1311</v>
      </c>
      <c r="G867" s="15" t="s">
        <v>1165</v>
      </c>
      <c r="H867" s="14" t="s">
        <v>1165</v>
      </c>
      <c r="I867" s="16" t="s">
        <v>1312</v>
      </c>
      <c r="M867" t="s">
        <v>1145</v>
      </c>
      <c r="O867">
        <v>2011</v>
      </c>
      <c r="R867">
        <v>30</v>
      </c>
      <c r="T867" t="s">
        <v>1313</v>
      </c>
      <c r="U867" t="s">
        <v>1246</v>
      </c>
      <c r="V867" s="9" t="s">
        <v>1313</v>
      </c>
      <c r="W867">
        <v>70</v>
      </c>
      <c r="X867" s="9" t="s">
        <v>1292</v>
      </c>
      <c r="Y867" t="s">
        <v>1210</v>
      </c>
      <c r="Z867">
        <v>0</v>
      </c>
      <c r="AF867" s="14" t="s">
        <v>153</v>
      </c>
      <c r="AG867" t="s">
        <v>1314</v>
      </c>
      <c r="AH867">
        <v>10</v>
      </c>
      <c r="AI867" t="s">
        <v>153</v>
      </c>
      <c r="AJ867" s="15" t="s">
        <v>1148</v>
      </c>
      <c r="AK867" s="15">
        <v>9.8670000000000009</v>
      </c>
      <c r="AL867" s="14" t="s">
        <v>1263</v>
      </c>
      <c r="AM867" s="14">
        <f>13.011-6.611</f>
        <v>6.3999999999999995</v>
      </c>
      <c r="AN867" s="15">
        <v>4</v>
      </c>
      <c r="AO867" s="15">
        <v>50</v>
      </c>
      <c r="AP867" s="15">
        <v>161</v>
      </c>
      <c r="AQ867" s="14" t="s">
        <v>1284</v>
      </c>
      <c r="AR867" s="15" t="s">
        <v>1316</v>
      </c>
    </row>
    <row r="868" spans="1:44" x14ac:dyDescent="0.2">
      <c r="A868" t="s">
        <v>1127</v>
      </c>
      <c r="B868" s="15" t="s">
        <v>1146</v>
      </c>
      <c r="C868" s="15" t="s">
        <v>1149</v>
      </c>
      <c r="D868" t="s">
        <v>1125</v>
      </c>
      <c r="E868" t="s">
        <v>1126</v>
      </c>
      <c r="F868" t="s">
        <v>1311</v>
      </c>
      <c r="G868" s="15" t="s">
        <v>1165</v>
      </c>
      <c r="H868" s="14" t="s">
        <v>1165</v>
      </c>
      <c r="I868" s="16" t="s">
        <v>1312</v>
      </c>
      <c r="M868" t="s">
        <v>1145</v>
      </c>
      <c r="O868">
        <v>2011</v>
      </c>
      <c r="R868">
        <v>30</v>
      </c>
      <c r="T868" t="s">
        <v>1313</v>
      </c>
      <c r="U868" t="s">
        <v>1246</v>
      </c>
      <c r="V868" s="9" t="s">
        <v>1313</v>
      </c>
      <c r="W868">
        <v>70</v>
      </c>
      <c r="X868" s="9" t="s">
        <v>1201</v>
      </c>
      <c r="Y868" t="s">
        <v>1210</v>
      </c>
      <c r="Z868">
        <v>0</v>
      </c>
      <c r="AF868" s="14" t="s">
        <v>153</v>
      </c>
      <c r="AG868" t="s">
        <v>1314</v>
      </c>
      <c r="AH868">
        <v>10</v>
      </c>
      <c r="AI868" t="s">
        <v>153</v>
      </c>
      <c r="AJ868" s="15" t="s">
        <v>1148</v>
      </c>
      <c r="AK868" s="15">
        <v>16.399999999999999</v>
      </c>
      <c r="AL868" s="14" t="s">
        <v>1263</v>
      </c>
      <c r="AM868" s="14">
        <f>17.722-15.322</f>
        <v>2.4000000000000021</v>
      </c>
      <c r="AN868" s="15">
        <v>4</v>
      </c>
      <c r="AO868" s="15">
        <v>50</v>
      </c>
      <c r="AP868" s="15">
        <v>161</v>
      </c>
      <c r="AQ868" s="14" t="s">
        <v>1284</v>
      </c>
      <c r="AR868" s="15" t="s">
        <v>1316</v>
      </c>
    </row>
    <row r="869" spans="1:44" x14ac:dyDescent="0.2">
      <c r="A869" t="s">
        <v>1127</v>
      </c>
      <c r="B869" s="15" t="s">
        <v>1146</v>
      </c>
      <c r="C869" s="15" t="s">
        <v>1149</v>
      </c>
      <c r="D869" t="s">
        <v>1125</v>
      </c>
      <c r="E869" t="s">
        <v>1126</v>
      </c>
      <c r="F869" t="s">
        <v>1311</v>
      </c>
      <c r="G869" s="15" t="s">
        <v>1165</v>
      </c>
      <c r="H869" s="14" t="s">
        <v>1165</v>
      </c>
      <c r="I869" s="16" t="s">
        <v>1312</v>
      </c>
      <c r="M869" t="s">
        <v>1145</v>
      </c>
      <c r="O869">
        <v>2011</v>
      </c>
      <c r="R869">
        <v>30</v>
      </c>
      <c r="T869" t="s">
        <v>1313</v>
      </c>
      <c r="U869" t="s">
        <v>1246</v>
      </c>
      <c r="V869" s="9" t="s">
        <v>1313</v>
      </c>
      <c r="W869">
        <v>70</v>
      </c>
      <c r="X869" s="9" t="s">
        <v>1293</v>
      </c>
      <c r="Y869" t="s">
        <v>1210</v>
      </c>
      <c r="Z869">
        <v>0</v>
      </c>
      <c r="AF869" s="14" t="s">
        <v>153</v>
      </c>
      <c r="AG869" t="s">
        <v>1314</v>
      </c>
      <c r="AH869">
        <v>10</v>
      </c>
      <c r="AI869" t="s">
        <v>153</v>
      </c>
      <c r="AJ869" s="15" t="s">
        <v>1148</v>
      </c>
      <c r="AK869" s="15">
        <v>0.56699999999999995</v>
      </c>
      <c r="AL869" s="14" t="s">
        <v>1263</v>
      </c>
      <c r="AM869" s="14">
        <v>1.9890000000000001</v>
      </c>
      <c r="AN869" s="15">
        <v>4</v>
      </c>
      <c r="AO869" s="15">
        <v>50</v>
      </c>
      <c r="AP869" s="15">
        <v>161</v>
      </c>
      <c r="AQ869" s="14" t="s">
        <v>1284</v>
      </c>
      <c r="AR869" s="15" t="s">
        <v>1316</v>
      </c>
    </row>
    <row r="870" spans="1:44" x14ac:dyDescent="0.2">
      <c r="A870" t="s">
        <v>1127</v>
      </c>
      <c r="B870" s="15" t="s">
        <v>1146</v>
      </c>
      <c r="C870" s="15" t="s">
        <v>1149</v>
      </c>
      <c r="D870" t="s">
        <v>1125</v>
      </c>
      <c r="E870" t="s">
        <v>1126</v>
      </c>
      <c r="F870" t="s">
        <v>1311</v>
      </c>
      <c r="G870" s="15" t="s">
        <v>1165</v>
      </c>
      <c r="H870" s="14" t="s">
        <v>1165</v>
      </c>
      <c r="I870" s="16" t="s">
        <v>1312</v>
      </c>
      <c r="M870" t="s">
        <v>1145</v>
      </c>
      <c r="O870">
        <v>2011</v>
      </c>
      <c r="R870">
        <v>30</v>
      </c>
      <c r="T870" t="s">
        <v>1313</v>
      </c>
      <c r="U870" t="s">
        <v>1246</v>
      </c>
      <c r="V870" s="9" t="s">
        <v>1313</v>
      </c>
      <c r="W870">
        <v>70</v>
      </c>
      <c r="X870" s="9" t="s">
        <v>1291</v>
      </c>
      <c r="Y870" t="s">
        <v>1210</v>
      </c>
      <c r="Z870">
        <v>0</v>
      </c>
      <c r="AF870" s="14" t="s">
        <v>153</v>
      </c>
      <c r="AG870" t="s">
        <v>1314</v>
      </c>
      <c r="AH870">
        <v>10</v>
      </c>
      <c r="AI870" t="s">
        <v>153</v>
      </c>
      <c r="AJ870" s="15" t="s">
        <v>1148</v>
      </c>
      <c r="AK870" s="15">
        <v>4.3</v>
      </c>
      <c r="AL870" s="14" t="s">
        <v>1263</v>
      </c>
      <c r="AM870" s="14">
        <f>6.7-2.167</f>
        <v>4.5330000000000004</v>
      </c>
      <c r="AN870" s="15">
        <v>4</v>
      </c>
      <c r="AO870" s="15">
        <v>50</v>
      </c>
      <c r="AP870" s="15">
        <v>168</v>
      </c>
      <c r="AQ870" s="14" t="s">
        <v>1284</v>
      </c>
      <c r="AR870" s="15" t="s">
        <v>1316</v>
      </c>
    </row>
    <row r="871" spans="1:44" x14ac:dyDescent="0.2">
      <c r="A871" t="s">
        <v>1127</v>
      </c>
      <c r="B871" s="15" t="s">
        <v>1146</v>
      </c>
      <c r="C871" s="15" t="s">
        <v>1149</v>
      </c>
      <c r="D871" t="s">
        <v>1125</v>
      </c>
      <c r="E871" t="s">
        <v>1126</v>
      </c>
      <c r="F871" t="s">
        <v>1311</v>
      </c>
      <c r="G871" s="15" t="s">
        <v>1165</v>
      </c>
      <c r="H871" s="14" t="s">
        <v>1165</v>
      </c>
      <c r="I871" s="16" t="s">
        <v>1312</v>
      </c>
      <c r="M871" t="s">
        <v>1145</v>
      </c>
      <c r="O871">
        <v>2011</v>
      </c>
      <c r="R871">
        <v>30</v>
      </c>
      <c r="T871" t="s">
        <v>1313</v>
      </c>
      <c r="U871" t="s">
        <v>1246</v>
      </c>
      <c r="V871" s="9" t="s">
        <v>1313</v>
      </c>
      <c r="W871">
        <v>70</v>
      </c>
      <c r="X871" s="9" t="s">
        <v>1292</v>
      </c>
      <c r="Y871" t="s">
        <v>1210</v>
      </c>
      <c r="Z871">
        <v>0</v>
      </c>
      <c r="AF871" s="14" t="s">
        <v>153</v>
      </c>
      <c r="AG871" t="s">
        <v>1314</v>
      </c>
      <c r="AH871">
        <v>10</v>
      </c>
      <c r="AI871" t="s">
        <v>153</v>
      </c>
      <c r="AJ871" s="15" t="s">
        <v>1148</v>
      </c>
      <c r="AK871" s="15">
        <v>9.8670000000000009</v>
      </c>
      <c r="AL871" s="14" t="s">
        <v>1263</v>
      </c>
      <c r="AM871" s="14">
        <f>13.011-6.611</f>
        <v>6.3999999999999995</v>
      </c>
      <c r="AN871" s="15">
        <v>4</v>
      </c>
      <c r="AO871" s="15">
        <v>50</v>
      </c>
      <c r="AP871" s="15">
        <v>168</v>
      </c>
      <c r="AQ871" s="14" t="s">
        <v>1284</v>
      </c>
      <c r="AR871" s="15" t="s">
        <v>1316</v>
      </c>
    </row>
    <row r="872" spans="1:44" x14ac:dyDescent="0.2">
      <c r="A872" t="s">
        <v>1127</v>
      </c>
      <c r="B872" s="15" t="s">
        <v>1146</v>
      </c>
      <c r="C872" s="15" t="s">
        <v>1149</v>
      </c>
      <c r="D872" t="s">
        <v>1125</v>
      </c>
      <c r="E872" t="s">
        <v>1126</v>
      </c>
      <c r="F872" t="s">
        <v>1311</v>
      </c>
      <c r="G872" s="15" t="s">
        <v>1165</v>
      </c>
      <c r="H872" s="14" t="s">
        <v>1165</v>
      </c>
      <c r="I872" s="16" t="s">
        <v>1312</v>
      </c>
      <c r="M872" t="s">
        <v>1145</v>
      </c>
      <c r="O872">
        <v>2011</v>
      </c>
      <c r="R872">
        <v>30</v>
      </c>
      <c r="T872" t="s">
        <v>1313</v>
      </c>
      <c r="U872" t="s">
        <v>1246</v>
      </c>
      <c r="V872" s="9" t="s">
        <v>1313</v>
      </c>
      <c r="W872">
        <v>70</v>
      </c>
      <c r="X872" s="9" t="s">
        <v>1201</v>
      </c>
      <c r="Y872" t="s">
        <v>1210</v>
      </c>
      <c r="Z872">
        <v>0</v>
      </c>
      <c r="AF872" s="14" t="s">
        <v>153</v>
      </c>
      <c r="AG872" t="s">
        <v>1314</v>
      </c>
      <c r="AH872">
        <v>10</v>
      </c>
      <c r="AI872" t="s">
        <v>153</v>
      </c>
      <c r="AJ872" s="15" t="s">
        <v>1148</v>
      </c>
      <c r="AK872" s="15">
        <v>16.399999999999999</v>
      </c>
      <c r="AL872" s="14" t="s">
        <v>1263</v>
      </c>
      <c r="AM872" s="14">
        <f>17.722-15.322</f>
        <v>2.4000000000000021</v>
      </c>
      <c r="AN872" s="15">
        <v>4</v>
      </c>
      <c r="AO872" s="15">
        <v>50</v>
      </c>
      <c r="AP872" s="15">
        <v>168</v>
      </c>
      <c r="AQ872" s="14" t="s">
        <v>1284</v>
      </c>
      <c r="AR872" s="15" t="s">
        <v>1316</v>
      </c>
    </row>
    <row r="873" spans="1:44" x14ac:dyDescent="0.2">
      <c r="A873" t="s">
        <v>1127</v>
      </c>
      <c r="B873" s="15" t="s">
        <v>1146</v>
      </c>
      <c r="C873" s="15" t="s">
        <v>1149</v>
      </c>
      <c r="D873" t="s">
        <v>1125</v>
      </c>
      <c r="E873" t="s">
        <v>1126</v>
      </c>
      <c r="F873" t="s">
        <v>1311</v>
      </c>
      <c r="G873" s="15" t="s">
        <v>1165</v>
      </c>
      <c r="H873" s="14" t="s">
        <v>1165</v>
      </c>
      <c r="I873" s="16" t="s">
        <v>1312</v>
      </c>
      <c r="M873" t="s">
        <v>1145</v>
      </c>
      <c r="O873">
        <v>2011</v>
      </c>
      <c r="R873">
        <v>30</v>
      </c>
      <c r="T873" t="s">
        <v>1313</v>
      </c>
      <c r="U873" t="s">
        <v>1246</v>
      </c>
      <c r="V873" s="9" t="s">
        <v>1313</v>
      </c>
      <c r="W873">
        <v>70</v>
      </c>
      <c r="X873" s="9" t="s">
        <v>1293</v>
      </c>
      <c r="Y873" t="s">
        <v>1210</v>
      </c>
      <c r="Z873">
        <v>0</v>
      </c>
      <c r="AF873" s="14" t="s">
        <v>153</v>
      </c>
      <c r="AG873" t="s">
        <v>1314</v>
      </c>
      <c r="AH873">
        <v>10</v>
      </c>
      <c r="AI873" t="s">
        <v>153</v>
      </c>
      <c r="AJ873" s="15" t="s">
        <v>1148</v>
      </c>
      <c r="AK873" s="15">
        <v>0.56699999999999995</v>
      </c>
      <c r="AL873" s="14" t="s">
        <v>1263</v>
      </c>
      <c r="AM873" s="14">
        <v>1.9890000000000001</v>
      </c>
      <c r="AN873" s="15">
        <v>4</v>
      </c>
      <c r="AO873" s="15">
        <v>50</v>
      </c>
      <c r="AP873" s="15">
        <v>168</v>
      </c>
      <c r="AQ873" s="14" t="s">
        <v>1284</v>
      </c>
      <c r="AR873" s="15" t="s">
        <v>1316</v>
      </c>
    </row>
    <row r="874" spans="1:44" x14ac:dyDescent="0.2">
      <c r="A874" t="s">
        <v>1127</v>
      </c>
      <c r="B874" s="15" t="s">
        <v>1146</v>
      </c>
      <c r="C874" s="15" t="s">
        <v>1149</v>
      </c>
      <c r="D874" t="s">
        <v>1125</v>
      </c>
      <c r="E874" t="s">
        <v>1126</v>
      </c>
      <c r="F874" t="s">
        <v>1311</v>
      </c>
      <c r="G874" s="15" t="s">
        <v>1165</v>
      </c>
      <c r="H874" s="14" t="s">
        <v>1165</v>
      </c>
      <c r="I874" s="16" t="s">
        <v>1312</v>
      </c>
      <c r="M874" t="s">
        <v>1145</v>
      </c>
      <c r="O874">
        <v>2011</v>
      </c>
      <c r="R874">
        <v>30</v>
      </c>
      <c r="T874" t="s">
        <v>1313</v>
      </c>
      <c r="U874" t="s">
        <v>95</v>
      </c>
      <c r="V874" s="9" t="s">
        <v>1313</v>
      </c>
      <c r="W874">
        <v>70</v>
      </c>
      <c r="X874" s="9" t="s">
        <v>1201</v>
      </c>
      <c r="Y874" t="s">
        <v>1210</v>
      </c>
      <c r="Z874">
        <v>0</v>
      </c>
      <c r="AA874" t="s">
        <v>1317</v>
      </c>
      <c r="AB874">
        <v>10</v>
      </c>
      <c r="AC874">
        <v>1</v>
      </c>
      <c r="AF874" s="14" t="s">
        <v>153</v>
      </c>
      <c r="AG874" t="s">
        <v>1314</v>
      </c>
      <c r="AH874">
        <v>10</v>
      </c>
      <c r="AI874" t="s">
        <v>153</v>
      </c>
      <c r="AJ874" s="15" t="s">
        <v>1148</v>
      </c>
      <c r="AK874" s="15">
        <v>50</v>
      </c>
      <c r="AL874" s="14"/>
      <c r="AN874" s="15">
        <v>4</v>
      </c>
      <c r="AO874" s="15">
        <v>50</v>
      </c>
      <c r="AP874" s="15">
        <v>8.6999999999999993</v>
      </c>
      <c r="AQ874" s="14" t="s">
        <v>1284</v>
      </c>
      <c r="AR874" s="15" t="s">
        <v>3005</v>
      </c>
    </row>
    <row r="875" spans="1:44" x14ac:dyDescent="0.2">
      <c r="A875" t="s">
        <v>1127</v>
      </c>
      <c r="B875" s="15" t="s">
        <v>1146</v>
      </c>
      <c r="C875" s="15" t="s">
        <v>1149</v>
      </c>
      <c r="D875" t="s">
        <v>1125</v>
      </c>
      <c r="E875" t="s">
        <v>1126</v>
      </c>
      <c r="F875" t="s">
        <v>1311</v>
      </c>
      <c r="G875" s="15" t="s">
        <v>1165</v>
      </c>
      <c r="H875" s="14" t="s">
        <v>1165</v>
      </c>
      <c r="I875" s="16" t="s">
        <v>1312</v>
      </c>
      <c r="M875" t="s">
        <v>1145</v>
      </c>
      <c r="O875">
        <v>2011</v>
      </c>
      <c r="R875">
        <v>30</v>
      </c>
      <c r="T875" t="s">
        <v>1313</v>
      </c>
      <c r="U875" t="s">
        <v>95</v>
      </c>
      <c r="V875" s="9" t="s">
        <v>1313</v>
      </c>
      <c r="W875">
        <v>70</v>
      </c>
      <c r="X875" s="9" t="s">
        <v>1201</v>
      </c>
      <c r="Y875" t="s">
        <v>1210</v>
      </c>
      <c r="Z875">
        <v>0</v>
      </c>
      <c r="AA875" t="s">
        <v>1159</v>
      </c>
      <c r="AB875">
        <v>100</v>
      </c>
      <c r="AC875">
        <v>1</v>
      </c>
      <c r="AF875" s="14" t="s">
        <v>153</v>
      </c>
      <c r="AG875" t="s">
        <v>1314</v>
      </c>
      <c r="AH875">
        <v>10</v>
      </c>
      <c r="AI875" t="s">
        <v>153</v>
      </c>
      <c r="AJ875" s="15" t="s">
        <v>1148</v>
      </c>
      <c r="AK875" s="15">
        <v>50</v>
      </c>
      <c r="AL875" s="14"/>
      <c r="AN875" s="15">
        <v>4</v>
      </c>
      <c r="AO875" s="15">
        <v>50</v>
      </c>
      <c r="AP875" s="15">
        <v>20</v>
      </c>
      <c r="AQ875" s="14" t="s">
        <v>1284</v>
      </c>
      <c r="AR875" s="15" t="s">
        <v>3005</v>
      </c>
    </row>
    <row r="876" spans="1:44" x14ac:dyDescent="0.2">
      <c r="A876" t="s">
        <v>1127</v>
      </c>
      <c r="B876" s="15" t="s">
        <v>1146</v>
      </c>
      <c r="C876" s="15" t="s">
        <v>1149</v>
      </c>
      <c r="D876" t="s">
        <v>1125</v>
      </c>
      <c r="E876" t="s">
        <v>1126</v>
      </c>
      <c r="F876" t="s">
        <v>1311</v>
      </c>
      <c r="G876" s="15" t="s">
        <v>1165</v>
      </c>
      <c r="H876" s="14" t="s">
        <v>1165</v>
      </c>
      <c r="I876" s="16" t="s">
        <v>1312</v>
      </c>
      <c r="M876" t="s">
        <v>1145</v>
      </c>
      <c r="O876">
        <v>2011</v>
      </c>
      <c r="R876">
        <v>30</v>
      </c>
      <c r="T876" t="s">
        <v>1313</v>
      </c>
      <c r="U876" t="s">
        <v>95</v>
      </c>
      <c r="V876" s="9" t="s">
        <v>1313</v>
      </c>
      <c r="W876">
        <v>70</v>
      </c>
      <c r="X876" s="9" t="s">
        <v>1201</v>
      </c>
      <c r="Y876" t="s">
        <v>1318</v>
      </c>
      <c r="Z876">
        <v>0</v>
      </c>
      <c r="AA876" t="s">
        <v>1159</v>
      </c>
      <c r="AB876">
        <v>100</v>
      </c>
      <c r="AC876">
        <v>1</v>
      </c>
      <c r="AF876" s="14" t="s">
        <v>153</v>
      </c>
      <c r="AG876" t="s">
        <v>1314</v>
      </c>
      <c r="AH876">
        <v>10</v>
      </c>
      <c r="AI876" t="s">
        <v>153</v>
      </c>
      <c r="AJ876" s="15" t="s">
        <v>1148</v>
      </c>
      <c r="AK876" s="15">
        <v>50</v>
      </c>
      <c r="AL876" s="14"/>
      <c r="AN876" s="15">
        <v>4</v>
      </c>
      <c r="AO876" s="15">
        <v>50</v>
      </c>
      <c r="AP876" s="15">
        <v>17.5</v>
      </c>
      <c r="AQ876" s="14" t="s">
        <v>1284</v>
      </c>
      <c r="AR876" s="15" t="s">
        <v>3005</v>
      </c>
    </row>
    <row r="877" spans="1:44" x14ac:dyDescent="0.2">
      <c r="A877" t="s">
        <v>1127</v>
      </c>
      <c r="B877" s="15" t="s">
        <v>1146</v>
      </c>
      <c r="C877" s="15" t="s">
        <v>1149</v>
      </c>
      <c r="D877" t="s">
        <v>1125</v>
      </c>
      <c r="E877" t="s">
        <v>1126</v>
      </c>
      <c r="F877" t="s">
        <v>1311</v>
      </c>
      <c r="G877" s="15" t="s">
        <v>1165</v>
      </c>
      <c r="H877" s="14" t="s">
        <v>1165</v>
      </c>
      <c r="I877" s="16" t="s">
        <v>1312</v>
      </c>
      <c r="M877" t="s">
        <v>1145</v>
      </c>
      <c r="O877">
        <v>2011</v>
      </c>
      <c r="R877">
        <v>30</v>
      </c>
      <c r="T877" t="s">
        <v>1313</v>
      </c>
      <c r="U877" t="s">
        <v>95</v>
      </c>
      <c r="V877" s="9" t="s">
        <v>1313</v>
      </c>
      <c r="W877">
        <v>70</v>
      </c>
      <c r="X877" s="9" t="s">
        <v>1201</v>
      </c>
      <c r="Y877" t="s">
        <v>1210</v>
      </c>
      <c r="Z877">
        <v>0</v>
      </c>
      <c r="AA877" t="s">
        <v>1159</v>
      </c>
      <c r="AB877">
        <v>200</v>
      </c>
      <c r="AC877">
        <v>1</v>
      </c>
      <c r="AF877" s="14" t="s">
        <v>153</v>
      </c>
      <c r="AG877" t="s">
        <v>1314</v>
      </c>
      <c r="AH877">
        <v>10</v>
      </c>
      <c r="AI877" t="s">
        <v>153</v>
      </c>
      <c r="AJ877" s="15" t="s">
        <v>1148</v>
      </c>
      <c r="AK877" s="15">
        <v>50</v>
      </c>
      <c r="AL877" s="14"/>
      <c r="AN877" s="15">
        <v>4</v>
      </c>
      <c r="AO877" s="15">
        <v>50</v>
      </c>
      <c r="AP877" s="15">
        <v>18.5</v>
      </c>
      <c r="AQ877" s="14" t="s">
        <v>1284</v>
      </c>
      <c r="AR877" s="15" t="s">
        <v>3005</v>
      </c>
    </row>
    <row r="878" spans="1:44" x14ac:dyDescent="0.2">
      <c r="A878" t="s">
        <v>1127</v>
      </c>
      <c r="B878" s="15" t="s">
        <v>1146</v>
      </c>
      <c r="C878" s="15" t="s">
        <v>1149</v>
      </c>
      <c r="D878" t="s">
        <v>1125</v>
      </c>
      <c r="E878" t="s">
        <v>1126</v>
      </c>
      <c r="F878" t="s">
        <v>1311</v>
      </c>
      <c r="G878" s="15" t="s">
        <v>1165</v>
      </c>
      <c r="H878" s="14" t="s">
        <v>1165</v>
      </c>
      <c r="I878" s="16" t="s">
        <v>1312</v>
      </c>
      <c r="M878" t="s">
        <v>1145</v>
      </c>
      <c r="O878">
        <v>2011</v>
      </c>
      <c r="R878">
        <v>30</v>
      </c>
      <c r="T878" t="s">
        <v>1313</v>
      </c>
      <c r="U878" t="s">
        <v>95</v>
      </c>
      <c r="V878" s="9" t="s">
        <v>1313</v>
      </c>
      <c r="W878">
        <v>70</v>
      </c>
      <c r="X878" s="9" t="s">
        <v>1201</v>
      </c>
      <c r="Y878" t="s">
        <v>1319</v>
      </c>
      <c r="Z878">
        <v>0</v>
      </c>
      <c r="AA878" t="s">
        <v>1159</v>
      </c>
      <c r="AB878">
        <v>200</v>
      </c>
      <c r="AC878">
        <v>1</v>
      </c>
      <c r="AF878" s="14" t="s">
        <v>153</v>
      </c>
      <c r="AG878" t="s">
        <v>1314</v>
      </c>
      <c r="AH878">
        <v>10</v>
      </c>
      <c r="AI878" t="s">
        <v>153</v>
      </c>
      <c r="AJ878" s="15" t="s">
        <v>1148</v>
      </c>
      <c r="AK878" s="15">
        <v>50</v>
      </c>
      <c r="AL878" s="14"/>
      <c r="AN878" s="15">
        <v>4</v>
      </c>
      <c r="AO878" s="15">
        <v>50</v>
      </c>
      <c r="AP878" s="15">
        <v>11.3</v>
      </c>
      <c r="AQ878" s="14" t="s">
        <v>1284</v>
      </c>
      <c r="AR878" s="15" t="s">
        <v>3005</v>
      </c>
    </row>
    <row r="879" spans="1:44" x14ac:dyDescent="0.2">
      <c r="A879" t="s">
        <v>1127</v>
      </c>
      <c r="B879" s="15" t="s">
        <v>1146</v>
      </c>
      <c r="C879" s="15" t="s">
        <v>1149</v>
      </c>
      <c r="D879" t="s">
        <v>1125</v>
      </c>
      <c r="E879" t="s">
        <v>1126</v>
      </c>
      <c r="F879" t="s">
        <v>1311</v>
      </c>
      <c r="G879" s="15" t="s">
        <v>1165</v>
      </c>
      <c r="H879" s="14" t="s">
        <v>1165</v>
      </c>
      <c r="I879" s="16" t="s">
        <v>1312</v>
      </c>
      <c r="M879" t="s">
        <v>1145</v>
      </c>
      <c r="O879">
        <v>2011</v>
      </c>
      <c r="R879">
        <v>30</v>
      </c>
      <c r="T879" t="s">
        <v>1313</v>
      </c>
      <c r="U879" t="s">
        <v>95</v>
      </c>
      <c r="V879" s="9" t="s">
        <v>1313</v>
      </c>
      <c r="W879">
        <v>70</v>
      </c>
      <c r="X879" s="9" t="s">
        <v>1201</v>
      </c>
      <c r="Y879" t="s">
        <v>1210</v>
      </c>
      <c r="Z879">
        <v>0</v>
      </c>
      <c r="AA879" t="s">
        <v>1159</v>
      </c>
      <c r="AB879">
        <v>500</v>
      </c>
      <c r="AC879">
        <v>1</v>
      </c>
      <c r="AF879" s="14" t="s">
        <v>153</v>
      </c>
      <c r="AG879" t="s">
        <v>1314</v>
      </c>
      <c r="AH879">
        <v>10</v>
      </c>
      <c r="AI879" t="s">
        <v>153</v>
      </c>
      <c r="AJ879" s="15" t="s">
        <v>1148</v>
      </c>
      <c r="AK879" s="15">
        <v>50</v>
      </c>
      <c r="AL879" s="14"/>
      <c r="AN879" s="15">
        <v>4</v>
      </c>
      <c r="AO879" s="15">
        <v>50</v>
      </c>
      <c r="AP879" s="15">
        <v>39</v>
      </c>
      <c r="AQ879" s="14" t="s">
        <v>1284</v>
      </c>
      <c r="AR879" s="15" t="s">
        <v>3005</v>
      </c>
    </row>
    <row r="880" spans="1:44" x14ac:dyDescent="0.2">
      <c r="A880" t="s">
        <v>1127</v>
      </c>
      <c r="B880" s="15" t="s">
        <v>1146</v>
      </c>
      <c r="C880" s="15" t="s">
        <v>1149</v>
      </c>
      <c r="D880" t="s">
        <v>1125</v>
      </c>
      <c r="E880" t="s">
        <v>1126</v>
      </c>
      <c r="F880" t="s">
        <v>1311</v>
      </c>
      <c r="G880" s="15" t="s">
        <v>1165</v>
      </c>
      <c r="H880" s="14" t="s">
        <v>1165</v>
      </c>
      <c r="I880" s="16" t="s">
        <v>1312</v>
      </c>
      <c r="M880" t="s">
        <v>1145</v>
      </c>
      <c r="O880">
        <v>2011</v>
      </c>
      <c r="R880">
        <v>30</v>
      </c>
      <c r="T880" t="s">
        <v>1313</v>
      </c>
      <c r="U880" t="s">
        <v>95</v>
      </c>
      <c r="V880" s="9" t="s">
        <v>1313</v>
      </c>
      <c r="W880">
        <v>70</v>
      </c>
      <c r="X880" s="9" t="s">
        <v>1201</v>
      </c>
      <c r="Y880" t="s">
        <v>1319</v>
      </c>
      <c r="Z880">
        <v>0</v>
      </c>
      <c r="AA880" t="s">
        <v>1159</v>
      </c>
      <c r="AB880">
        <v>500</v>
      </c>
      <c r="AC880">
        <v>1</v>
      </c>
      <c r="AF880" s="14" t="s">
        <v>153</v>
      </c>
      <c r="AG880" t="s">
        <v>1314</v>
      </c>
      <c r="AH880">
        <v>10</v>
      </c>
      <c r="AI880" t="s">
        <v>153</v>
      </c>
      <c r="AJ880" s="15" t="s">
        <v>1148</v>
      </c>
      <c r="AK880" s="15">
        <v>50</v>
      </c>
      <c r="AL880" s="14"/>
      <c r="AN880" s="15">
        <v>4</v>
      </c>
      <c r="AO880" s="15">
        <v>50</v>
      </c>
      <c r="AP880" s="15">
        <v>9.8000000000000007</v>
      </c>
      <c r="AQ880" s="14" t="s">
        <v>1284</v>
      </c>
      <c r="AR880" s="15" t="s">
        <v>3005</v>
      </c>
    </row>
    <row r="881" spans="1:44" x14ac:dyDescent="0.2">
      <c r="A881" t="s">
        <v>1127</v>
      </c>
      <c r="B881" s="15" t="s">
        <v>1146</v>
      </c>
      <c r="C881" s="15" t="s">
        <v>1149</v>
      </c>
      <c r="D881" t="s">
        <v>1125</v>
      </c>
      <c r="E881" t="s">
        <v>1126</v>
      </c>
      <c r="F881" t="s">
        <v>1311</v>
      </c>
      <c r="G881" s="15" t="s">
        <v>1165</v>
      </c>
      <c r="H881" s="14" t="s">
        <v>1165</v>
      </c>
      <c r="I881" s="16" t="s">
        <v>1312</v>
      </c>
      <c r="M881" t="s">
        <v>1145</v>
      </c>
      <c r="O881">
        <v>2011</v>
      </c>
      <c r="R881">
        <v>30</v>
      </c>
      <c r="T881" t="s">
        <v>1313</v>
      </c>
      <c r="U881" t="s">
        <v>95</v>
      </c>
      <c r="V881" s="9" t="s">
        <v>1313</v>
      </c>
      <c r="W881">
        <v>70</v>
      </c>
      <c r="X881" s="9" t="s">
        <v>1201</v>
      </c>
      <c r="Y881" t="s">
        <v>1318</v>
      </c>
      <c r="Z881">
        <v>0</v>
      </c>
      <c r="AA881" t="s">
        <v>1159</v>
      </c>
      <c r="AB881">
        <v>500</v>
      </c>
      <c r="AC881">
        <v>1</v>
      </c>
      <c r="AF881" s="14" t="s">
        <v>153</v>
      </c>
      <c r="AG881" t="s">
        <v>1314</v>
      </c>
      <c r="AH881">
        <v>10</v>
      </c>
      <c r="AI881" t="s">
        <v>153</v>
      </c>
      <c r="AJ881" s="15" t="s">
        <v>1148</v>
      </c>
      <c r="AK881" s="15">
        <v>50</v>
      </c>
      <c r="AL881" s="14"/>
      <c r="AN881" s="15">
        <v>4</v>
      </c>
      <c r="AO881" s="15">
        <v>50</v>
      </c>
      <c r="AP881" s="15">
        <v>53</v>
      </c>
      <c r="AQ881" s="14" t="s">
        <v>1284</v>
      </c>
      <c r="AR881" s="15" t="s">
        <v>3005</v>
      </c>
    </row>
    <row r="882" spans="1:44" x14ac:dyDescent="0.2">
      <c r="A882" t="s">
        <v>1138</v>
      </c>
      <c r="B882" s="15" t="s">
        <v>1146</v>
      </c>
      <c r="C882" s="15" t="s">
        <v>1149</v>
      </c>
      <c r="D882" t="s">
        <v>1136</v>
      </c>
      <c r="E882" t="s">
        <v>1137</v>
      </c>
      <c r="G882" s="15" t="s">
        <v>153</v>
      </c>
      <c r="H882" s="14" t="s">
        <v>1165</v>
      </c>
      <c r="I882" s="18" t="s">
        <v>1320</v>
      </c>
      <c r="J882">
        <v>32.133333333333297</v>
      </c>
      <c r="K882">
        <v>-50.133333333333297</v>
      </c>
      <c r="L882">
        <v>2320</v>
      </c>
      <c r="M882" t="s">
        <v>1145</v>
      </c>
      <c r="O882">
        <v>2009</v>
      </c>
      <c r="U882" t="s">
        <v>1246</v>
      </c>
      <c r="V882" s="9" t="s">
        <v>1217</v>
      </c>
      <c r="W882">
        <v>120</v>
      </c>
      <c r="X882" s="9" t="s">
        <v>1292</v>
      </c>
      <c r="Z882">
        <v>0</v>
      </c>
      <c r="AD882" t="s">
        <v>1165</v>
      </c>
      <c r="AF882" s="14" t="s">
        <v>153</v>
      </c>
      <c r="AG882" t="s">
        <v>1314</v>
      </c>
      <c r="AH882">
        <v>5</v>
      </c>
      <c r="AI882" t="s">
        <v>1165</v>
      </c>
      <c r="AJ882" s="15" t="s">
        <v>1148</v>
      </c>
      <c r="AK882" s="15">
        <v>36.75</v>
      </c>
      <c r="AL882" t="s">
        <v>1321</v>
      </c>
      <c r="AM882">
        <f>40.33-33.278</f>
        <v>7.0519999999999996</v>
      </c>
      <c r="AN882" s="15">
        <v>4</v>
      </c>
      <c r="AO882" s="15">
        <v>100</v>
      </c>
      <c r="AP882" s="15">
        <v>120</v>
      </c>
      <c r="AQ882" s="14" t="s">
        <v>1322</v>
      </c>
      <c r="AR882" s="15" t="s">
        <v>1155</v>
      </c>
    </row>
    <row r="883" spans="1:44" x14ac:dyDescent="0.2">
      <c r="A883" t="s">
        <v>1138</v>
      </c>
      <c r="B883" s="15" t="s">
        <v>1146</v>
      </c>
      <c r="C883" s="15" t="s">
        <v>1149</v>
      </c>
      <c r="D883" t="s">
        <v>1136</v>
      </c>
      <c r="E883" t="s">
        <v>1137</v>
      </c>
      <c r="G883" s="15" t="s">
        <v>153</v>
      </c>
      <c r="H883" s="14" t="s">
        <v>1165</v>
      </c>
      <c r="I883" s="18" t="s">
        <v>1320</v>
      </c>
      <c r="J883">
        <v>32.133333333333297</v>
      </c>
      <c r="K883">
        <v>-50.133333333333297</v>
      </c>
      <c r="L883">
        <v>2320</v>
      </c>
      <c r="M883" t="s">
        <v>1145</v>
      </c>
      <c r="O883">
        <v>2009</v>
      </c>
      <c r="U883" t="s">
        <v>1323</v>
      </c>
      <c r="V883" s="9" t="s">
        <v>1217</v>
      </c>
      <c r="W883">
        <v>120</v>
      </c>
      <c r="X883" s="9" t="s">
        <v>1292</v>
      </c>
      <c r="Z883">
        <v>0</v>
      </c>
      <c r="AD883" t="s">
        <v>1165</v>
      </c>
      <c r="AF883" s="14" t="s">
        <v>153</v>
      </c>
      <c r="AG883" t="s">
        <v>1324</v>
      </c>
      <c r="AH883">
        <v>1440</v>
      </c>
      <c r="AI883" t="s">
        <v>1165</v>
      </c>
      <c r="AJ883" s="15" t="s">
        <v>1148</v>
      </c>
      <c r="AK883" s="15">
        <v>45.5</v>
      </c>
      <c r="AL883" t="s">
        <v>1321</v>
      </c>
      <c r="AM883">
        <f>50.128-41.19</f>
        <v>8.9380000000000024</v>
      </c>
      <c r="AN883" s="15">
        <v>4</v>
      </c>
      <c r="AO883" s="15">
        <v>100</v>
      </c>
      <c r="AP883" s="15">
        <v>120</v>
      </c>
      <c r="AQ883" s="14" t="s">
        <v>1322</v>
      </c>
      <c r="AR883" s="15" t="s">
        <v>1155</v>
      </c>
    </row>
    <row r="884" spans="1:44" x14ac:dyDescent="0.2">
      <c r="A884" t="s">
        <v>1138</v>
      </c>
      <c r="B884" s="15" t="s">
        <v>1146</v>
      </c>
      <c r="C884" s="15" t="s">
        <v>1149</v>
      </c>
      <c r="D884" t="s">
        <v>1136</v>
      </c>
      <c r="E884" t="s">
        <v>1137</v>
      </c>
      <c r="G884" s="15" t="s">
        <v>153</v>
      </c>
      <c r="H884" s="14" t="s">
        <v>1165</v>
      </c>
      <c r="I884" s="18" t="s">
        <v>1320</v>
      </c>
      <c r="J884">
        <v>32.133333333333297</v>
      </c>
      <c r="K884">
        <v>-50.133333333333297</v>
      </c>
      <c r="L884">
        <v>2320</v>
      </c>
      <c r="M884" t="s">
        <v>1145</v>
      </c>
      <c r="O884">
        <v>2009</v>
      </c>
      <c r="U884" t="s">
        <v>1325</v>
      </c>
      <c r="V884" s="9" t="s">
        <v>1217</v>
      </c>
      <c r="W884">
        <v>120</v>
      </c>
      <c r="X884" s="9" t="s">
        <v>1292</v>
      </c>
      <c r="Z884">
        <v>0</v>
      </c>
      <c r="AA884" t="s">
        <v>1159</v>
      </c>
      <c r="AB884">
        <v>1000</v>
      </c>
      <c r="AC884">
        <v>2</v>
      </c>
      <c r="AD884" t="s">
        <v>1165</v>
      </c>
      <c r="AF884" s="14" t="s">
        <v>153</v>
      </c>
      <c r="AG884" t="s">
        <v>1314</v>
      </c>
      <c r="AH884">
        <v>5</v>
      </c>
      <c r="AI884" t="s">
        <v>1165</v>
      </c>
      <c r="AJ884" s="15" t="s">
        <v>1148</v>
      </c>
      <c r="AK884" s="15">
        <v>40.200000000000003</v>
      </c>
      <c r="AL884" t="s">
        <v>1321</v>
      </c>
      <c r="AM884">
        <f>43.828-36.941</f>
        <v>6.8870000000000005</v>
      </c>
      <c r="AN884" s="15">
        <v>4</v>
      </c>
      <c r="AO884" s="15">
        <v>100</v>
      </c>
      <c r="AP884" s="15">
        <v>120</v>
      </c>
      <c r="AQ884" s="14" t="s">
        <v>1322</v>
      </c>
      <c r="AR884" s="15" t="s">
        <v>1155</v>
      </c>
    </row>
    <row r="885" spans="1:44" x14ac:dyDescent="0.2">
      <c r="A885" t="s">
        <v>1138</v>
      </c>
      <c r="B885" s="15" t="s">
        <v>1146</v>
      </c>
      <c r="C885" s="15" t="s">
        <v>1149</v>
      </c>
      <c r="D885" t="s">
        <v>1136</v>
      </c>
      <c r="E885" t="s">
        <v>1137</v>
      </c>
      <c r="G885" s="15" t="s">
        <v>153</v>
      </c>
      <c r="H885" s="14" t="s">
        <v>1165</v>
      </c>
      <c r="I885" s="18" t="s">
        <v>1320</v>
      </c>
      <c r="J885">
        <v>32.133333333333297</v>
      </c>
      <c r="K885">
        <v>-50.133333333333297</v>
      </c>
      <c r="L885">
        <v>2320</v>
      </c>
      <c r="M885" t="s">
        <v>1145</v>
      </c>
      <c r="O885">
        <v>2009</v>
      </c>
      <c r="U885" t="s">
        <v>1325</v>
      </c>
      <c r="V885" s="9" t="s">
        <v>1217</v>
      </c>
      <c r="W885">
        <v>120</v>
      </c>
      <c r="X885" s="9" t="s">
        <v>1292</v>
      </c>
      <c r="Z885">
        <v>0</v>
      </c>
      <c r="AA885" t="s">
        <v>1159</v>
      </c>
      <c r="AB885">
        <v>1500</v>
      </c>
      <c r="AC885">
        <v>2</v>
      </c>
      <c r="AD885" t="s">
        <v>1165</v>
      </c>
      <c r="AF885" s="14" t="s">
        <v>153</v>
      </c>
      <c r="AG885" t="s">
        <v>1314</v>
      </c>
      <c r="AH885">
        <v>5</v>
      </c>
      <c r="AI885" t="s">
        <v>1165</v>
      </c>
      <c r="AJ885" s="15" t="s">
        <v>1148</v>
      </c>
      <c r="AK885" s="15">
        <v>41</v>
      </c>
      <c r="AL885" t="s">
        <v>1321</v>
      </c>
      <c r="AM885">
        <f>46.758-35.623</f>
        <v>11.135000000000005</v>
      </c>
      <c r="AN885" s="15">
        <v>4</v>
      </c>
      <c r="AO885" s="15">
        <v>100</v>
      </c>
      <c r="AP885" s="15">
        <v>120</v>
      </c>
      <c r="AQ885" s="14" t="s">
        <v>1322</v>
      </c>
      <c r="AR885" s="15" t="s">
        <v>1155</v>
      </c>
    </row>
    <row r="886" spans="1:44" x14ac:dyDescent="0.2">
      <c r="A886" t="s">
        <v>1138</v>
      </c>
      <c r="B886" s="15" t="s">
        <v>1146</v>
      </c>
      <c r="C886" s="15" t="s">
        <v>1149</v>
      </c>
      <c r="D886" t="s">
        <v>1136</v>
      </c>
      <c r="E886" t="s">
        <v>1137</v>
      </c>
      <c r="G886" s="15" t="s">
        <v>153</v>
      </c>
      <c r="H886" s="14" t="s">
        <v>1165</v>
      </c>
      <c r="I886" s="18" t="s">
        <v>1320</v>
      </c>
      <c r="J886">
        <v>32.133333333333297</v>
      </c>
      <c r="K886">
        <v>-50.133333333333297</v>
      </c>
      <c r="L886">
        <v>2320</v>
      </c>
      <c r="M886" t="s">
        <v>1145</v>
      </c>
      <c r="O886">
        <v>2009</v>
      </c>
      <c r="U886" t="s">
        <v>1246</v>
      </c>
      <c r="V886" s="9" t="s">
        <v>1217</v>
      </c>
      <c r="W886">
        <v>120</v>
      </c>
      <c r="X886" s="9" t="s">
        <v>1292</v>
      </c>
      <c r="Z886">
        <v>0</v>
      </c>
      <c r="AD886" t="s">
        <v>1165</v>
      </c>
      <c r="AF886" s="14" t="s">
        <v>153</v>
      </c>
      <c r="AG886" t="s">
        <v>1314</v>
      </c>
      <c r="AH886">
        <v>5</v>
      </c>
      <c r="AI886" t="s">
        <v>1165</v>
      </c>
      <c r="AJ886" s="15" t="s">
        <v>1278</v>
      </c>
      <c r="AK886" s="15">
        <v>0</v>
      </c>
      <c r="AN886" s="15">
        <v>4</v>
      </c>
      <c r="AO886" s="15">
        <v>100</v>
      </c>
      <c r="AP886" s="15">
        <v>1</v>
      </c>
      <c r="AQ886" s="14" t="s">
        <v>1322</v>
      </c>
      <c r="AR886" s="15" t="s">
        <v>1279</v>
      </c>
    </row>
    <row r="887" spans="1:44" x14ac:dyDescent="0.2">
      <c r="A887" t="s">
        <v>1138</v>
      </c>
      <c r="B887" s="15" t="s">
        <v>1146</v>
      </c>
      <c r="C887" s="15" t="s">
        <v>1149</v>
      </c>
      <c r="D887" t="s">
        <v>1136</v>
      </c>
      <c r="E887" t="s">
        <v>1137</v>
      </c>
      <c r="G887" s="15" t="s">
        <v>153</v>
      </c>
      <c r="H887" s="14" t="s">
        <v>1165</v>
      </c>
      <c r="I887" s="18" t="s">
        <v>1320</v>
      </c>
      <c r="J887">
        <v>32.133333333333297</v>
      </c>
      <c r="K887">
        <v>-50.133333333333297</v>
      </c>
      <c r="L887">
        <v>2320</v>
      </c>
      <c r="M887" t="s">
        <v>1145</v>
      </c>
      <c r="O887">
        <v>2009</v>
      </c>
      <c r="U887" t="s">
        <v>1246</v>
      </c>
      <c r="V887" s="9" t="s">
        <v>1217</v>
      </c>
      <c r="W887">
        <v>120</v>
      </c>
      <c r="X887" s="9" t="s">
        <v>1292</v>
      </c>
      <c r="Z887">
        <v>0</v>
      </c>
      <c r="AD887" t="s">
        <v>1165</v>
      </c>
      <c r="AF887" s="14" t="s">
        <v>153</v>
      </c>
      <c r="AG887" t="s">
        <v>1314</v>
      </c>
      <c r="AH887">
        <v>5</v>
      </c>
      <c r="AI887" t="s">
        <v>1165</v>
      </c>
      <c r="AJ887" s="15" t="s">
        <v>1278</v>
      </c>
      <c r="AK887" s="15">
        <v>0</v>
      </c>
      <c r="AN887" s="15">
        <v>4</v>
      </c>
      <c r="AO887" s="15">
        <v>100</v>
      </c>
      <c r="AP887" s="15">
        <v>8</v>
      </c>
      <c r="AQ887" s="14" t="s">
        <v>1322</v>
      </c>
      <c r="AR887" s="15" t="s">
        <v>1279</v>
      </c>
    </row>
    <row r="888" spans="1:44" x14ac:dyDescent="0.2">
      <c r="A888" t="s">
        <v>1138</v>
      </c>
      <c r="B888" s="15" t="s">
        <v>1146</v>
      </c>
      <c r="C888" s="15" t="s">
        <v>1149</v>
      </c>
      <c r="D888" t="s">
        <v>1136</v>
      </c>
      <c r="E888" t="s">
        <v>1137</v>
      </c>
      <c r="G888" s="15" t="s">
        <v>153</v>
      </c>
      <c r="H888" s="14" t="s">
        <v>1165</v>
      </c>
      <c r="I888" s="18" t="s">
        <v>1320</v>
      </c>
      <c r="J888">
        <v>32.133333333333297</v>
      </c>
      <c r="K888">
        <v>-50.133333333333297</v>
      </c>
      <c r="L888">
        <v>2320</v>
      </c>
      <c r="M888" t="s">
        <v>1145</v>
      </c>
      <c r="O888">
        <v>2009</v>
      </c>
      <c r="U888" t="s">
        <v>1246</v>
      </c>
      <c r="V888" s="9" t="s">
        <v>1217</v>
      </c>
      <c r="W888">
        <v>120</v>
      </c>
      <c r="X888" s="9" t="s">
        <v>1292</v>
      </c>
      <c r="Z888">
        <v>0</v>
      </c>
      <c r="AD888" t="s">
        <v>1165</v>
      </c>
      <c r="AF888" s="14" t="s">
        <v>153</v>
      </c>
      <c r="AG888" t="s">
        <v>1314</v>
      </c>
      <c r="AH888">
        <v>5</v>
      </c>
      <c r="AI888" t="s">
        <v>1165</v>
      </c>
      <c r="AJ888" s="15" t="s">
        <v>1278</v>
      </c>
      <c r="AK888" s="15">
        <v>0</v>
      </c>
      <c r="AN888" s="15">
        <v>4</v>
      </c>
      <c r="AO888" s="15">
        <v>100</v>
      </c>
      <c r="AP888" s="15">
        <v>15</v>
      </c>
      <c r="AQ888" s="14" t="s">
        <v>1322</v>
      </c>
      <c r="AR888" s="15" t="s">
        <v>1279</v>
      </c>
    </row>
    <row r="889" spans="1:44" x14ac:dyDescent="0.2">
      <c r="A889" t="s">
        <v>1138</v>
      </c>
      <c r="B889" s="15" t="s">
        <v>1146</v>
      </c>
      <c r="C889" s="15" t="s">
        <v>1149</v>
      </c>
      <c r="D889" t="s">
        <v>1136</v>
      </c>
      <c r="E889" t="s">
        <v>1137</v>
      </c>
      <c r="G889" s="15" t="s">
        <v>153</v>
      </c>
      <c r="H889" s="14" t="s">
        <v>1165</v>
      </c>
      <c r="I889" s="18" t="s">
        <v>1320</v>
      </c>
      <c r="J889">
        <v>32.133333333333297</v>
      </c>
      <c r="K889">
        <v>-50.133333333333297</v>
      </c>
      <c r="L889">
        <v>2320</v>
      </c>
      <c r="M889" t="s">
        <v>1145</v>
      </c>
      <c r="O889">
        <v>2009</v>
      </c>
      <c r="U889" t="s">
        <v>1246</v>
      </c>
      <c r="V889" s="9" t="s">
        <v>1217</v>
      </c>
      <c r="W889">
        <v>120</v>
      </c>
      <c r="X889" s="9" t="s">
        <v>1292</v>
      </c>
      <c r="Z889">
        <v>0</v>
      </c>
      <c r="AD889" t="s">
        <v>1165</v>
      </c>
      <c r="AF889" s="14" t="s">
        <v>153</v>
      </c>
      <c r="AG889" t="s">
        <v>1314</v>
      </c>
      <c r="AH889">
        <v>5</v>
      </c>
      <c r="AI889" t="s">
        <v>1165</v>
      </c>
      <c r="AJ889" s="15" t="s">
        <v>1278</v>
      </c>
      <c r="AK889" s="15">
        <v>0</v>
      </c>
      <c r="AN889" s="15">
        <v>4</v>
      </c>
      <c r="AO889" s="15">
        <v>100</v>
      </c>
      <c r="AP889" s="15">
        <v>22</v>
      </c>
      <c r="AQ889" s="14" t="s">
        <v>1322</v>
      </c>
      <c r="AR889" s="15" t="s">
        <v>1279</v>
      </c>
    </row>
    <row r="890" spans="1:44" x14ac:dyDescent="0.2">
      <c r="A890" t="s">
        <v>1138</v>
      </c>
      <c r="B890" s="15" t="s">
        <v>1146</v>
      </c>
      <c r="C890" s="15" t="s">
        <v>1149</v>
      </c>
      <c r="D890" t="s">
        <v>1136</v>
      </c>
      <c r="E890" t="s">
        <v>1137</v>
      </c>
      <c r="G890" s="15" t="s">
        <v>153</v>
      </c>
      <c r="H890" s="14" t="s">
        <v>1165</v>
      </c>
      <c r="I890" s="18" t="s">
        <v>1320</v>
      </c>
      <c r="J890">
        <v>32.133333333333297</v>
      </c>
      <c r="K890">
        <v>-50.133333333333297</v>
      </c>
      <c r="L890">
        <v>2320</v>
      </c>
      <c r="M890" t="s">
        <v>1145</v>
      </c>
      <c r="O890">
        <v>2009</v>
      </c>
      <c r="U890" t="s">
        <v>1246</v>
      </c>
      <c r="V890" s="9" t="s">
        <v>1217</v>
      </c>
      <c r="W890">
        <v>120</v>
      </c>
      <c r="X890" s="9" t="s">
        <v>1292</v>
      </c>
      <c r="Z890">
        <v>0</v>
      </c>
      <c r="AD890" t="s">
        <v>1165</v>
      </c>
      <c r="AF890" s="14" t="s">
        <v>153</v>
      </c>
      <c r="AG890" t="s">
        <v>1314</v>
      </c>
      <c r="AH890">
        <v>5</v>
      </c>
      <c r="AI890" t="s">
        <v>1165</v>
      </c>
      <c r="AJ890" s="15" t="s">
        <v>1278</v>
      </c>
      <c r="AK890" s="15">
        <v>0</v>
      </c>
      <c r="AN890" s="15">
        <v>4</v>
      </c>
      <c r="AO890" s="15">
        <v>100</v>
      </c>
      <c r="AP890" s="15">
        <v>29</v>
      </c>
      <c r="AQ890" s="14" t="s">
        <v>1322</v>
      </c>
      <c r="AR890" s="15" t="s">
        <v>1279</v>
      </c>
    </row>
    <row r="891" spans="1:44" x14ac:dyDescent="0.2">
      <c r="A891" t="s">
        <v>1138</v>
      </c>
      <c r="B891" s="15" t="s">
        <v>1146</v>
      </c>
      <c r="C891" s="15" t="s">
        <v>1149</v>
      </c>
      <c r="D891" t="s">
        <v>1136</v>
      </c>
      <c r="E891" t="s">
        <v>1137</v>
      </c>
      <c r="G891" s="15" t="s">
        <v>153</v>
      </c>
      <c r="H891" s="14" t="s">
        <v>1165</v>
      </c>
      <c r="I891" s="18" t="s">
        <v>1320</v>
      </c>
      <c r="J891">
        <v>32.133333333333297</v>
      </c>
      <c r="K891">
        <v>-50.133333333333297</v>
      </c>
      <c r="L891">
        <v>2320</v>
      </c>
      <c r="M891" t="s">
        <v>1145</v>
      </c>
      <c r="O891">
        <v>2009</v>
      </c>
      <c r="U891" t="s">
        <v>1246</v>
      </c>
      <c r="V891" s="9" t="s">
        <v>1217</v>
      </c>
      <c r="W891">
        <v>120</v>
      </c>
      <c r="X891" s="9" t="s">
        <v>1292</v>
      </c>
      <c r="Z891">
        <v>0</v>
      </c>
      <c r="AD891" t="s">
        <v>1165</v>
      </c>
      <c r="AF891" s="14" t="s">
        <v>153</v>
      </c>
      <c r="AG891" t="s">
        <v>1314</v>
      </c>
      <c r="AH891">
        <v>5</v>
      </c>
      <c r="AI891" t="s">
        <v>1165</v>
      </c>
      <c r="AJ891" s="15" t="s">
        <v>1278</v>
      </c>
      <c r="AK891" s="15">
        <v>0</v>
      </c>
      <c r="AN891" s="15">
        <v>4</v>
      </c>
      <c r="AO891" s="15">
        <v>100</v>
      </c>
      <c r="AP891" s="15">
        <v>36</v>
      </c>
      <c r="AQ891" s="14" t="s">
        <v>1322</v>
      </c>
      <c r="AR891" s="15" t="s">
        <v>1279</v>
      </c>
    </row>
    <row r="892" spans="1:44" x14ac:dyDescent="0.2">
      <c r="A892" t="s">
        <v>1138</v>
      </c>
      <c r="B892" s="15" t="s">
        <v>1146</v>
      </c>
      <c r="C892" s="15" t="s">
        <v>1149</v>
      </c>
      <c r="D892" t="s">
        <v>1136</v>
      </c>
      <c r="E892" t="s">
        <v>1137</v>
      </c>
      <c r="G892" s="15" t="s">
        <v>153</v>
      </c>
      <c r="H892" s="14" t="s">
        <v>1165</v>
      </c>
      <c r="I892" s="18" t="s">
        <v>1320</v>
      </c>
      <c r="J892">
        <v>32.133333333333297</v>
      </c>
      <c r="K892">
        <v>-50.133333333333297</v>
      </c>
      <c r="L892">
        <v>2320</v>
      </c>
      <c r="M892" t="s">
        <v>1145</v>
      </c>
      <c r="O892">
        <v>2009</v>
      </c>
      <c r="U892" t="s">
        <v>1246</v>
      </c>
      <c r="V892" s="9" t="s">
        <v>1217</v>
      </c>
      <c r="W892">
        <v>120</v>
      </c>
      <c r="X892" s="9" t="s">
        <v>1292</v>
      </c>
      <c r="Z892">
        <v>0</v>
      </c>
      <c r="AD892" t="s">
        <v>1165</v>
      </c>
      <c r="AF892" s="14" t="s">
        <v>153</v>
      </c>
      <c r="AG892" t="s">
        <v>1314</v>
      </c>
      <c r="AH892">
        <v>5</v>
      </c>
      <c r="AI892" t="s">
        <v>1165</v>
      </c>
      <c r="AJ892" s="15" t="s">
        <v>1278</v>
      </c>
      <c r="AK892" s="15">
        <v>0</v>
      </c>
      <c r="AN892" s="15">
        <v>4</v>
      </c>
      <c r="AO892" s="15">
        <v>100</v>
      </c>
      <c r="AP892" s="15">
        <v>43</v>
      </c>
      <c r="AQ892" s="14" t="s">
        <v>1322</v>
      </c>
      <c r="AR892" s="15" t="s">
        <v>1279</v>
      </c>
    </row>
    <row r="893" spans="1:44" x14ac:dyDescent="0.2">
      <c r="A893" t="s">
        <v>1138</v>
      </c>
      <c r="B893" s="15" t="s">
        <v>1146</v>
      </c>
      <c r="C893" s="15" t="s">
        <v>1149</v>
      </c>
      <c r="D893" t="s">
        <v>1136</v>
      </c>
      <c r="E893" t="s">
        <v>1137</v>
      </c>
      <c r="G893" s="15" t="s">
        <v>153</v>
      </c>
      <c r="H893" s="14" t="s">
        <v>1165</v>
      </c>
      <c r="I893" s="18" t="s">
        <v>1320</v>
      </c>
      <c r="J893">
        <v>32.133333333333297</v>
      </c>
      <c r="K893">
        <v>-50.133333333333297</v>
      </c>
      <c r="L893">
        <v>2320</v>
      </c>
      <c r="M893" t="s">
        <v>1145</v>
      </c>
      <c r="O893">
        <v>2009</v>
      </c>
      <c r="U893" t="s">
        <v>1246</v>
      </c>
      <c r="V893" s="9" t="s">
        <v>1217</v>
      </c>
      <c r="W893">
        <v>120</v>
      </c>
      <c r="X893" s="9" t="s">
        <v>1292</v>
      </c>
      <c r="Z893">
        <v>0</v>
      </c>
      <c r="AD893" t="s">
        <v>1165</v>
      </c>
      <c r="AF893" s="14" t="s">
        <v>153</v>
      </c>
      <c r="AG893" t="s">
        <v>1314</v>
      </c>
      <c r="AH893">
        <v>5</v>
      </c>
      <c r="AI893" t="s">
        <v>1165</v>
      </c>
      <c r="AJ893" s="15" t="s">
        <v>1278</v>
      </c>
      <c r="AK893" s="15">
        <v>0.41699999999999998</v>
      </c>
      <c r="AN893" s="15">
        <v>4</v>
      </c>
      <c r="AO893" s="15">
        <v>100</v>
      </c>
      <c r="AP893" s="15">
        <v>50</v>
      </c>
      <c r="AQ893" s="14" t="s">
        <v>1322</v>
      </c>
      <c r="AR893" s="15" t="s">
        <v>1279</v>
      </c>
    </row>
    <row r="894" spans="1:44" x14ac:dyDescent="0.2">
      <c r="A894" t="s">
        <v>1138</v>
      </c>
      <c r="B894" s="15" t="s">
        <v>1146</v>
      </c>
      <c r="C894" s="15" t="s">
        <v>1149</v>
      </c>
      <c r="D894" t="s">
        <v>1136</v>
      </c>
      <c r="E894" t="s">
        <v>1137</v>
      </c>
      <c r="G894" s="15" t="s">
        <v>153</v>
      </c>
      <c r="H894" s="14" t="s">
        <v>1165</v>
      </c>
      <c r="I894" s="18" t="s">
        <v>1320</v>
      </c>
      <c r="J894">
        <v>32.133333333333297</v>
      </c>
      <c r="K894">
        <v>-50.133333333333297</v>
      </c>
      <c r="L894">
        <v>2320</v>
      </c>
      <c r="M894" t="s">
        <v>1145</v>
      </c>
      <c r="O894">
        <v>2009</v>
      </c>
      <c r="U894" t="s">
        <v>1246</v>
      </c>
      <c r="V894" s="9" t="s">
        <v>1217</v>
      </c>
      <c r="W894">
        <v>120</v>
      </c>
      <c r="X894" s="9" t="s">
        <v>1292</v>
      </c>
      <c r="Z894">
        <v>0</v>
      </c>
      <c r="AD894" t="s">
        <v>1165</v>
      </c>
      <c r="AF894" s="14" t="s">
        <v>153</v>
      </c>
      <c r="AG894" t="s">
        <v>1314</v>
      </c>
      <c r="AH894">
        <v>5</v>
      </c>
      <c r="AI894" t="s">
        <v>1165</v>
      </c>
      <c r="AJ894" s="15" t="s">
        <v>1278</v>
      </c>
      <c r="AK894" s="15">
        <v>0.14000000000000001</v>
      </c>
      <c r="AN894" s="15">
        <v>4</v>
      </c>
      <c r="AO894" s="15">
        <v>100</v>
      </c>
      <c r="AP894" s="15">
        <v>57</v>
      </c>
      <c r="AQ894" s="14" t="s">
        <v>1322</v>
      </c>
      <c r="AR894" s="15" t="s">
        <v>1279</v>
      </c>
    </row>
    <row r="895" spans="1:44" x14ac:dyDescent="0.2">
      <c r="A895" t="s">
        <v>1138</v>
      </c>
      <c r="B895" s="15" t="s">
        <v>1146</v>
      </c>
      <c r="C895" s="15" t="s">
        <v>1149</v>
      </c>
      <c r="D895" t="s">
        <v>1136</v>
      </c>
      <c r="E895" t="s">
        <v>1137</v>
      </c>
      <c r="G895" s="15" t="s">
        <v>153</v>
      </c>
      <c r="H895" s="14" t="s">
        <v>1165</v>
      </c>
      <c r="I895" s="18" t="s">
        <v>1320</v>
      </c>
      <c r="J895">
        <v>32.133333333333297</v>
      </c>
      <c r="K895">
        <v>-50.133333333333297</v>
      </c>
      <c r="L895">
        <v>2320</v>
      </c>
      <c r="M895" t="s">
        <v>1145</v>
      </c>
      <c r="O895">
        <v>2009</v>
      </c>
      <c r="U895" t="s">
        <v>1246</v>
      </c>
      <c r="V895" s="9" t="s">
        <v>1217</v>
      </c>
      <c r="W895">
        <v>120</v>
      </c>
      <c r="X895" s="9" t="s">
        <v>1292</v>
      </c>
      <c r="Z895">
        <v>0</v>
      </c>
      <c r="AD895" t="s">
        <v>1165</v>
      </c>
      <c r="AF895" s="14" t="s">
        <v>153</v>
      </c>
      <c r="AG895" t="s">
        <v>1314</v>
      </c>
      <c r="AH895">
        <v>5</v>
      </c>
      <c r="AI895" t="s">
        <v>1165</v>
      </c>
      <c r="AJ895" s="15" t="s">
        <v>1278</v>
      </c>
      <c r="AK895" s="15">
        <v>0.29499999999999998</v>
      </c>
      <c r="AN895" s="15">
        <v>4</v>
      </c>
      <c r="AO895" s="15">
        <v>100</v>
      </c>
      <c r="AP895" s="15">
        <v>64</v>
      </c>
      <c r="AQ895" s="14" t="s">
        <v>1322</v>
      </c>
      <c r="AR895" s="15" t="s">
        <v>1279</v>
      </c>
    </row>
    <row r="896" spans="1:44" x14ac:dyDescent="0.2">
      <c r="A896" t="s">
        <v>1138</v>
      </c>
      <c r="B896" s="15" t="s">
        <v>1146</v>
      </c>
      <c r="C896" s="15" t="s">
        <v>1149</v>
      </c>
      <c r="D896" t="s">
        <v>1136</v>
      </c>
      <c r="E896" t="s">
        <v>1137</v>
      </c>
      <c r="G896" s="15" t="s">
        <v>153</v>
      </c>
      <c r="H896" s="14" t="s">
        <v>1165</v>
      </c>
      <c r="I896" s="18" t="s">
        <v>1320</v>
      </c>
      <c r="J896">
        <v>32.133333333333297</v>
      </c>
      <c r="K896">
        <v>-50.133333333333297</v>
      </c>
      <c r="L896">
        <v>2320</v>
      </c>
      <c r="M896" t="s">
        <v>1145</v>
      </c>
      <c r="O896">
        <v>2009</v>
      </c>
      <c r="U896" t="s">
        <v>1246</v>
      </c>
      <c r="V896" s="9" t="s">
        <v>1217</v>
      </c>
      <c r="W896">
        <v>120</v>
      </c>
      <c r="X896" s="9" t="s">
        <v>1292</v>
      </c>
      <c r="Z896">
        <v>0</v>
      </c>
      <c r="AD896" t="s">
        <v>1165</v>
      </c>
      <c r="AF896" s="14" t="s">
        <v>153</v>
      </c>
      <c r="AG896" t="s">
        <v>1314</v>
      </c>
      <c r="AH896">
        <v>5</v>
      </c>
      <c r="AI896" t="s">
        <v>1165</v>
      </c>
      <c r="AJ896" s="15" t="s">
        <v>1278</v>
      </c>
      <c r="AK896" s="15">
        <v>0.27900000000000003</v>
      </c>
      <c r="AN896" s="15">
        <v>4</v>
      </c>
      <c r="AO896" s="15">
        <v>100</v>
      </c>
      <c r="AP896" s="15">
        <v>71</v>
      </c>
      <c r="AQ896" s="14" t="s">
        <v>1322</v>
      </c>
      <c r="AR896" s="15" t="s">
        <v>1279</v>
      </c>
    </row>
    <row r="897" spans="1:44" x14ac:dyDescent="0.2">
      <c r="A897" t="s">
        <v>1138</v>
      </c>
      <c r="B897" s="15" t="s">
        <v>1146</v>
      </c>
      <c r="C897" s="15" t="s">
        <v>1149</v>
      </c>
      <c r="D897" t="s">
        <v>1136</v>
      </c>
      <c r="E897" t="s">
        <v>1137</v>
      </c>
      <c r="G897" s="15" t="s">
        <v>153</v>
      </c>
      <c r="H897" s="14" t="s">
        <v>1165</v>
      </c>
      <c r="I897" s="18" t="s">
        <v>1320</v>
      </c>
      <c r="J897">
        <v>32.133333333333297</v>
      </c>
      <c r="K897">
        <v>-50.133333333333297</v>
      </c>
      <c r="L897">
        <v>2320</v>
      </c>
      <c r="M897" t="s">
        <v>1145</v>
      </c>
      <c r="O897">
        <v>2009</v>
      </c>
      <c r="U897" t="s">
        <v>1246</v>
      </c>
      <c r="V897" s="9" t="s">
        <v>1217</v>
      </c>
      <c r="W897">
        <v>120</v>
      </c>
      <c r="X897" s="9" t="s">
        <v>1292</v>
      </c>
      <c r="Z897">
        <v>0</v>
      </c>
      <c r="AD897" t="s">
        <v>1165</v>
      </c>
      <c r="AF897" s="14" t="s">
        <v>153</v>
      </c>
      <c r="AG897" t="s">
        <v>1314</v>
      </c>
      <c r="AH897">
        <v>5</v>
      </c>
      <c r="AI897" t="s">
        <v>1165</v>
      </c>
      <c r="AJ897" s="15" t="s">
        <v>1278</v>
      </c>
      <c r="AK897" s="15">
        <v>0.308</v>
      </c>
      <c r="AN897" s="15">
        <v>4</v>
      </c>
      <c r="AO897" s="15">
        <v>100</v>
      </c>
      <c r="AP897" s="15">
        <v>78</v>
      </c>
      <c r="AQ897" s="14" t="s">
        <v>1322</v>
      </c>
      <c r="AR897" s="15" t="s">
        <v>1279</v>
      </c>
    </row>
    <row r="898" spans="1:44" x14ac:dyDescent="0.2">
      <c r="A898" t="s">
        <v>1138</v>
      </c>
      <c r="B898" s="15" t="s">
        <v>1146</v>
      </c>
      <c r="C898" s="15" t="s">
        <v>1149</v>
      </c>
      <c r="D898" t="s">
        <v>1136</v>
      </c>
      <c r="E898" t="s">
        <v>1137</v>
      </c>
      <c r="G898" s="15" t="s">
        <v>153</v>
      </c>
      <c r="H898" s="14" t="s">
        <v>1165</v>
      </c>
      <c r="I898" s="18" t="s">
        <v>1320</v>
      </c>
      <c r="J898">
        <v>32.133333333333297</v>
      </c>
      <c r="K898">
        <v>-50.133333333333297</v>
      </c>
      <c r="L898">
        <v>2320</v>
      </c>
      <c r="M898" t="s">
        <v>1145</v>
      </c>
      <c r="O898">
        <v>2009</v>
      </c>
      <c r="U898" t="s">
        <v>1246</v>
      </c>
      <c r="V898" s="9" t="s">
        <v>1217</v>
      </c>
      <c r="W898">
        <v>120</v>
      </c>
      <c r="X898" s="9" t="s">
        <v>1292</v>
      </c>
      <c r="Z898">
        <v>0</v>
      </c>
      <c r="AD898" t="s">
        <v>1165</v>
      </c>
      <c r="AF898" s="14" t="s">
        <v>153</v>
      </c>
      <c r="AG898" t="s">
        <v>1314</v>
      </c>
      <c r="AH898">
        <v>5</v>
      </c>
      <c r="AI898" t="s">
        <v>1165</v>
      </c>
      <c r="AJ898" s="15" t="s">
        <v>1278</v>
      </c>
      <c r="AK898" s="15">
        <v>0.40699999999999997</v>
      </c>
      <c r="AN898" s="15">
        <v>4</v>
      </c>
      <c r="AO898" s="15">
        <v>100</v>
      </c>
      <c r="AP898" s="15">
        <v>85</v>
      </c>
      <c r="AQ898" s="14" t="s">
        <v>1322</v>
      </c>
      <c r="AR898" s="15" t="s">
        <v>1279</v>
      </c>
    </row>
    <row r="899" spans="1:44" x14ac:dyDescent="0.2">
      <c r="A899" t="s">
        <v>1138</v>
      </c>
      <c r="B899" s="15" t="s">
        <v>1146</v>
      </c>
      <c r="C899" s="15" t="s">
        <v>1149</v>
      </c>
      <c r="D899" t="s">
        <v>1136</v>
      </c>
      <c r="E899" t="s">
        <v>1137</v>
      </c>
      <c r="G899" s="15" t="s">
        <v>153</v>
      </c>
      <c r="H899" s="14" t="s">
        <v>1165</v>
      </c>
      <c r="I899" s="18" t="s">
        <v>1320</v>
      </c>
      <c r="J899">
        <v>32.133333333333297</v>
      </c>
      <c r="K899">
        <v>-50.133333333333297</v>
      </c>
      <c r="L899">
        <v>2320</v>
      </c>
      <c r="M899" t="s">
        <v>1145</v>
      </c>
      <c r="O899">
        <v>2009</v>
      </c>
      <c r="U899" t="s">
        <v>1246</v>
      </c>
      <c r="V899" s="9" t="s">
        <v>1217</v>
      </c>
      <c r="W899">
        <v>120</v>
      </c>
      <c r="X899" s="9" t="s">
        <v>1292</v>
      </c>
      <c r="Z899">
        <v>0</v>
      </c>
      <c r="AD899" t="s">
        <v>1165</v>
      </c>
      <c r="AF899" s="14" t="s">
        <v>153</v>
      </c>
      <c r="AG899" t="s">
        <v>1314</v>
      </c>
      <c r="AH899">
        <v>5</v>
      </c>
      <c r="AI899" t="s">
        <v>1165</v>
      </c>
      <c r="AJ899" s="15" t="s">
        <v>1278</v>
      </c>
      <c r="AK899" s="15">
        <v>5.8999999999999997E-2</v>
      </c>
      <c r="AN899" s="15">
        <v>4</v>
      </c>
      <c r="AO899" s="15">
        <v>100</v>
      </c>
      <c r="AP899" s="15">
        <v>92</v>
      </c>
      <c r="AQ899" s="14" t="s">
        <v>1322</v>
      </c>
      <c r="AR899" s="15" t="s">
        <v>1279</v>
      </c>
    </row>
    <row r="900" spans="1:44" x14ac:dyDescent="0.2">
      <c r="A900" t="s">
        <v>1138</v>
      </c>
      <c r="B900" s="15" t="s">
        <v>1146</v>
      </c>
      <c r="C900" s="15" t="s">
        <v>1149</v>
      </c>
      <c r="D900" t="s">
        <v>1136</v>
      </c>
      <c r="E900" t="s">
        <v>1137</v>
      </c>
      <c r="G900" s="15" t="s">
        <v>153</v>
      </c>
      <c r="H900" s="14" t="s">
        <v>1165</v>
      </c>
      <c r="I900" s="18" t="s">
        <v>1320</v>
      </c>
      <c r="J900">
        <v>32.133333333333297</v>
      </c>
      <c r="K900">
        <v>-50.133333333333297</v>
      </c>
      <c r="L900">
        <v>2320</v>
      </c>
      <c r="M900" t="s">
        <v>1145</v>
      </c>
      <c r="O900">
        <v>2009</v>
      </c>
      <c r="U900" t="s">
        <v>1246</v>
      </c>
      <c r="V900" s="9" t="s">
        <v>1217</v>
      </c>
      <c r="W900">
        <v>120</v>
      </c>
      <c r="X900" s="9" t="s">
        <v>1292</v>
      </c>
      <c r="Z900">
        <v>0</v>
      </c>
      <c r="AD900" t="s">
        <v>1165</v>
      </c>
      <c r="AF900" s="14" t="s">
        <v>153</v>
      </c>
      <c r="AG900" t="s">
        <v>1314</v>
      </c>
      <c r="AH900">
        <v>5</v>
      </c>
      <c r="AI900" t="s">
        <v>1165</v>
      </c>
      <c r="AJ900" s="15" t="s">
        <v>1278</v>
      </c>
      <c r="AK900" s="15">
        <v>9.6000000000000002E-2</v>
      </c>
      <c r="AN900" s="15">
        <v>4</v>
      </c>
      <c r="AO900" s="15">
        <v>100</v>
      </c>
      <c r="AP900" s="15">
        <v>99</v>
      </c>
      <c r="AQ900" s="14" t="s">
        <v>1322</v>
      </c>
      <c r="AR900" s="15" t="s">
        <v>1279</v>
      </c>
    </row>
    <row r="901" spans="1:44" x14ac:dyDescent="0.2">
      <c r="A901" t="s">
        <v>1138</v>
      </c>
      <c r="B901" s="15" t="s">
        <v>1146</v>
      </c>
      <c r="C901" s="15" t="s">
        <v>1149</v>
      </c>
      <c r="D901" t="s">
        <v>1136</v>
      </c>
      <c r="E901" t="s">
        <v>1137</v>
      </c>
      <c r="G901" s="15" t="s">
        <v>153</v>
      </c>
      <c r="H901" s="14" t="s">
        <v>1165</v>
      </c>
      <c r="I901" s="18" t="s">
        <v>1320</v>
      </c>
      <c r="J901">
        <v>32.133333333333297</v>
      </c>
      <c r="K901">
        <v>-50.133333333333297</v>
      </c>
      <c r="L901">
        <v>2320</v>
      </c>
      <c r="M901" t="s">
        <v>1145</v>
      </c>
      <c r="O901">
        <v>2009</v>
      </c>
      <c r="U901" t="s">
        <v>1246</v>
      </c>
      <c r="V901" s="9" t="s">
        <v>1217</v>
      </c>
      <c r="W901">
        <v>120</v>
      </c>
      <c r="X901" s="9" t="s">
        <v>1292</v>
      </c>
      <c r="Z901">
        <v>0</v>
      </c>
      <c r="AD901" t="s">
        <v>1165</v>
      </c>
      <c r="AF901" s="14" t="s">
        <v>153</v>
      </c>
      <c r="AG901" t="s">
        <v>1314</v>
      </c>
      <c r="AH901">
        <v>5</v>
      </c>
      <c r="AI901" t="s">
        <v>1165</v>
      </c>
      <c r="AJ901" s="15" t="s">
        <v>1278</v>
      </c>
      <c r="AK901" s="15">
        <v>0.09</v>
      </c>
      <c r="AN901" s="15">
        <v>4</v>
      </c>
      <c r="AO901" s="15">
        <v>100</v>
      </c>
      <c r="AP901" s="15">
        <v>106</v>
      </c>
      <c r="AQ901" s="14" t="s">
        <v>1322</v>
      </c>
      <c r="AR901" s="15" t="s">
        <v>1279</v>
      </c>
    </row>
    <row r="902" spans="1:44" x14ac:dyDescent="0.2">
      <c r="A902" t="s">
        <v>1138</v>
      </c>
      <c r="B902" s="15" t="s">
        <v>1146</v>
      </c>
      <c r="C902" s="15" t="s">
        <v>1149</v>
      </c>
      <c r="D902" t="s">
        <v>1136</v>
      </c>
      <c r="E902" t="s">
        <v>1137</v>
      </c>
      <c r="G902" s="15" t="s">
        <v>153</v>
      </c>
      <c r="H902" s="14" t="s">
        <v>1165</v>
      </c>
      <c r="I902" s="18" t="s">
        <v>1320</v>
      </c>
      <c r="J902">
        <v>32.133333333333297</v>
      </c>
      <c r="K902">
        <v>-50.133333333333297</v>
      </c>
      <c r="L902">
        <v>2320</v>
      </c>
      <c r="M902" t="s">
        <v>1145</v>
      </c>
      <c r="O902">
        <v>2009</v>
      </c>
      <c r="U902" t="s">
        <v>1246</v>
      </c>
      <c r="V902" s="9" t="s">
        <v>1217</v>
      </c>
      <c r="W902">
        <v>120</v>
      </c>
      <c r="X902" s="9" t="s">
        <v>1292</v>
      </c>
      <c r="Z902">
        <v>0</v>
      </c>
      <c r="AD902" t="s">
        <v>1165</v>
      </c>
      <c r="AF902" s="14" t="s">
        <v>153</v>
      </c>
      <c r="AG902" t="s">
        <v>1314</v>
      </c>
      <c r="AH902">
        <v>5</v>
      </c>
      <c r="AI902" t="s">
        <v>1165</v>
      </c>
      <c r="AJ902" s="15" t="s">
        <v>1278</v>
      </c>
      <c r="AK902" s="15">
        <v>8.5999999999999993E-2</v>
      </c>
      <c r="AN902" s="15">
        <v>4</v>
      </c>
      <c r="AO902" s="15">
        <v>100</v>
      </c>
      <c r="AP902" s="15">
        <v>113</v>
      </c>
      <c r="AQ902" s="14" t="s">
        <v>1322</v>
      </c>
      <c r="AR902" s="15" t="s">
        <v>1279</v>
      </c>
    </row>
    <row r="903" spans="1:44" x14ac:dyDescent="0.2">
      <c r="A903" t="s">
        <v>1138</v>
      </c>
      <c r="B903" s="15" t="s">
        <v>1146</v>
      </c>
      <c r="C903" s="15" t="s">
        <v>1149</v>
      </c>
      <c r="D903" t="s">
        <v>1136</v>
      </c>
      <c r="E903" t="s">
        <v>1137</v>
      </c>
      <c r="G903" s="15" t="s">
        <v>153</v>
      </c>
      <c r="H903" s="14" t="s">
        <v>1165</v>
      </c>
      <c r="I903" s="18" t="s">
        <v>1320</v>
      </c>
      <c r="J903">
        <v>32.133333333333297</v>
      </c>
      <c r="K903">
        <v>-50.133333333333297</v>
      </c>
      <c r="L903">
        <v>2320</v>
      </c>
      <c r="M903" t="s">
        <v>1145</v>
      </c>
      <c r="O903">
        <v>2009</v>
      </c>
      <c r="U903" t="s">
        <v>1246</v>
      </c>
      <c r="V903" s="9" t="s">
        <v>1217</v>
      </c>
      <c r="W903">
        <v>120</v>
      </c>
      <c r="X903" s="9" t="s">
        <v>1292</v>
      </c>
      <c r="Z903">
        <v>0</v>
      </c>
      <c r="AD903" t="s">
        <v>1165</v>
      </c>
      <c r="AF903" s="14" t="s">
        <v>153</v>
      </c>
      <c r="AG903" t="s">
        <v>1314</v>
      </c>
      <c r="AH903">
        <v>5</v>
      </c>
      <c r="AI903" t="s">
        <v>1165</v>
      </c>
      <c r="AJ903" s="15" t="s">
        <v>1278</v>
      </c>
      <c r="AK903" s="15">
        <v>1.7000000000000001E-2</v>
      </c>
      <c r="AN903" s="15">
        <v>4</v>
      </c>
      <c r="AO903" s="15">
        <v>100</v>
      </c>
      <c r="AP903" s="15">
        <v>120</v>
      </c>
      <c r="AQ903" s="14" t="s">
        <v>1322</v>
      </c>
      <c r="AR903" s="15" t="s">
        <v>1279</v>
      </c>
    </row>
    <row r="904" spans="1:44" x14ac:dyDescent="0.2">
      <c r="A904" t="s">
        <v>1138</v>
      </c>
      <c r="B904" s="15" t="s">
        <v>1146</v>
      </c>
      <c r="C904" s="15" t="s">
        <v>1149</v>
      </c>
      <c r="D904" t="s">
        <v>1136</v>
      </c>
      <c r="E904" t="s">
        <v>1137</v>
      </c>
      <c r="G904" s="15" t="s">
        <v>153</v>
      </c>
      <c r="H904" s="14" t="s">
        <v>1165</v>
      </c>
      <c r="I904" s="18" t="s">
        <v>1320</v>
      </c>
      <c r="J904">
        <v>32.133333333333297</v>
      </c>
      <c r="K904">
        <v>-50.133333333333297</v>
      </c>
      <c r="L904">
        <v>2320</v>
      </c>
      <c r="M904" t="s">
        <v>1145</v>
      </c>
      <c r="O904">
        <v>2009</v>
      </c>
      <c r="U904" t="s">
        <v>1323</v>
      </c>
      <c r="V904" s="9" t="s">
        <v>1217</v>
      </c>
      <c r="W904">
        <v>120</v>
      </c>
      <c r="X904" s="9" t="s">
        <v>1292</v>
      </c>
      <c r="Z904">
        <v>0</v>
      </c>
      <c r="AD904" t="s">
        <v>1165</v>
      </c>
      <c r="AF904" s="14" t="s">
        <v>153</v>
      </c>
      <c r="AG904" t="s">
        <v>1324</v>
      </c>
      <c r="AH904">
        <v>1440</v>
      </c>
      <c r="AI904" t="s">
        <v>1165</v>
      </c>
      <c r="AJ904" s="15" t="s">
        <v>1278</v>
      </c>
      <c r="AK904" s="15">
        <v>0</v>
      </c>
      <c r="AN904" s="15">
        <v>4</v>
      </c>
      <c r="AO904" s="15">
        <v>100</v>
      </c>
      <c r="AP904" s="15">
        <v>1</v>
      </c>
      <c r="AQ904" s="14" t="s">
        <v>1322</v>
      </c>
      <c r="AR904" s="15" t="s">
        <v>1279</v>
      </c>
    </row>
    <row r="905" spans="1:44" x14ac:dyDescent="0.2">
      <c r="A905" t="s">
        <v>1138</v>
      </c>
      <c r="B905" s="15" t="s">
        <v>1146</v>
      </c>
      <c r="C905" s="15" t="s">
        <v>1149</v>
      </c>
      <c r="D905" t="s">
        <v>1136</v>
      </c>
      <c r="E905" t="s">
        <v>1137</v>
      </c>
      <c r="G905" s="15" t="s">
        <v>153</v>
      </c>
      <c r="H905" s="14" t="s">
        <v>1165</v>
      </c>
      <c r="I905" s="18" t="s">
        <v>1320</v>
      </c>
      <c r="J905">
        <v>32.133333333333297</v>
      </c>
      <c r="K905">
        <v>-50.133333333333297</v>
      </c>
      <c r="L905">
        <v>2320</v>
      </c>
      <c r="M905" t="s">
        <v>1145</v>
      </c>
      <c r="O905">
        <v>2009</v>
      </c>
      <c r="U905" t="s">
        <v>1323</v>
      </c>
      <c r="V905" s="9" t="s">
        <v>1217</v>
      </c>
      <c r="W905">
        <v>120</v>
      </c>
      <c r="X905" s="9" t="s">
        <v>1292</v>
      </c>
      <c r="Z905">
        <v>0</v>
      </c>
      <c r="AD905" t="s">
        <v>1165</v>
      </c>
      <c r="AF905" s="14" t="s">
        <v>153</v>
      </c>
      <c r="AG905" t="s">
        <v>1324</v>
      </c>
      <c r="AH905">
        <v>1440</v>
      </c>
      <c r="AI905" t="s">
        <v>1165</v>
      </c>
      <c r="AJ905" s="15" t="s">
        <v>1278</v>
      </c>
      <c r="AK905" s="15">
        <v>0</v>
      </c>
      <c r="AN905" s="15">
        <v>4</v>
      </c>
      <c r="AO905" s="15">
        <v>100</v>
      </c>
      <c r="AP905" s="15">
        <v>8</v>
      </c>
      <c r="AQ905" s="14" t="s">
        <v>1322</v>
      </c>
      <c r="AR905" s="15" t="s">
        <v>1279</v>
      </c>
    </row>
    <row r="906" spans="1:44" x14ac:dyDescent="0.2">
      <c r="A906" t="s">
        <v>1138</v>
      </c>
      <c r="B906" s="15" t="s">
        <v>1146</v>
      </c>
      <c r="C906" s="15" t="s">
        <v>1149</v>
      </c>
      <c r="D906" t="s">
        <v>1136</v>
      </c>
      <c r="E906" t="s">
        <v>1137</v>
      </c>
      <c r="G906" s="15" t="s">
        <v>153</v>
      </c>
      <c r="H906" s="14" t="s">
        <v>1165</v>
      </c>
      <c r="I906" s="18" t="s">
        <v>1320</v>
      </c>
      <c r="J906">
        <v>32.133333333333297</v>
      </c>
      <c r="K906">
        <v>-50.133333333333297</v>
      </c>
      <c r="L906">
        <v>2320</v>
      </c>
      <c r="M906" t="s">
        <v>1145</v>
      </c>
      <c r="O906">
        <v>2009</v>
      </c>
      <c r="U906" t="s">
        <v>1323</v>
      </c>
      <c r="V906" s="9" t="s">
        <v>1217</v>
      </c>
      <c r="W906">
        <v>120</v>
      </c>
      <c r="X906" s="9" t="s">
        <v>1292</v>
      </c>
      <c r="Z906">
        <v>0</v>
      </c>
      <c r="AD906" t="s">
        <v>1165</v>
      </c>
      <c r="AF906" s="14" t="s">
        <v>153</v>
      </c>
      <c r="AG906" t="s">
        <v>1324</v>
      </c>
      <c r="AH906">
        <v>1440</v>
      </c>
      <c r="AI906" t="s">
        <v>1165</v>
      </c>
      <c r="AJ906" s="15" t="s">
        <v>1278</v>
      </c>
      <c r="AK906" s="15">
        <v>0</v>
      </c>
      <c r="AN906" s="15">
        <v>4</v>
      </c>
      <c r="AO906" s="15">
        <v>100</v>
      </c>
      <c r="AP906" s="15">
        <v>15</v>
      </c>
      <c r="AQ906" s="14" t="s">
        <v>1322</v>
      </c>
      <c r="AR906" s="15" t="s">
        <v>1279</v>
      </c>
    </row>
    <row r="907" spans="1:44" x14ac:dyDescent="0.2">
      <c r="A907" t="s">
        <v>1138</v>
      </c>
      <c r="B907" s="15" t="s">
        <v>1146</v>
      </c>
      <c r="C907" s="15" t="s">
        <v>1149</v>
      </c>
      <c r="D907" t="s">
        <v>1136</v>
      </c>
      <c r="E907" t="s">
        <v>1137</v>
      </c>
      <c r="G907" s="15" t="s">
        <v>153</v>
      </c>
      <c r="H907" s="14" t="s">
        <v>1165</v>
      </c>
      <c r="I907" s="18" t="s">
        <v>1320</v>
      </c>
      <c r="J907">
        <v>32.133333333333297</v>
      </c>
      <c r="K907">
        <v>-50.133333333333297</v>
      </c>
      <c r="L907">
        <v>2320</v>
      </c>
      <c r="M907" t="s">
        <v>1145</v>
      </c>
      <c r="O907">
        <v>2009</v>
      </c>
      <c r="U907" t="s">
        <v>1323</v>
      </c>
      <c r="V907" s="9" t="s">
        <v>1217</v>
      </c>
      <c r="W907">
        <v>120</v>
      </c>
      <c r="X907" s="9" t="s">
        <v>1292</v>
      </c>
      <c r="Z907">
        <v>0</v>
      </c>
      <c r="AD907" t="s">
        <v>1165</v>
      </c>
      <c r="AF907" s="14" t="s">
        <v>153</v>
      </c>
      <c r="AG907" t="s">
        <v>1324</v>
      </c>
      <c r="AH907">
        <v>1440</v>
      </c>
      <c r="AI907" t="s">
        <v>1165</v>
      </c>
      <c r="AJ907" s="15" t="s">
        <v>1278</v>
      </c>
      <c r="AK907" s="15">
        <v>0</v>
      </c>
      <c r="AN907" s="15">
        <v>4</v>
      </c>
      <c r="AO907" s="15">
        <v>100</v>
      </c>
      <c r="AP907" s="15">
        <v>22</v>
      </c>
      <c r="AQ907" s="14" t="s">
        <v>1322</v>
      </c>
      <c r="AR907" s="15" t="s">
        <v>1279</v>
      </c>
    </row>
    <row r="908" spans="1:44" x14ac:dyDescent="0.2">
      <c r="A908" t="s">
        <v>1138</v>
      </c>
      <c r="B908" s="15" t="s">
        <v>1146</v>
      </c>
      <c r="C908" s="15" t="s">
        <v>1149</v>
      </c>
      <c r="D908" t="s">
        <v>1136</v>
      </c>
      <c r="E908" t="s">
        <v>1137</v>
      </c>
      <c r="G908" s="15" t="s">
        <v>153</v>
      </c>
      <c r="H908" s="14" t="s">
        <v>1165</v>
      </c>
      <c r="I908" s="18" t="s">
        <v>1320</v>
      </c>
      <c r="J908">
        <v>32.133333333333297</v>
      </c>
      <c r="K908">
        <v>-50.133333333333297</v>
      </c>
      <c r="L908">
        <v>2320</v>
      </c>
      <c r="M908" t="s">
        <v>1145</v>
      </c>
      <c r="O908">
        <v>2009</v>
      </c>
      <c r="U908" t="s">
        <v>1323</v>
      </c>
      <c r="V908" s="9" t="s">
        <v>1217</v>
      </c>
      <c r="W908">
        <v>120</v>
      </c>
      <c r="X908" s="9" t="s">
        <v>1292</v>
      </c>
      <c r="Z908">
        <v>0</v>
      </c>
      <c r="AD908" t="s">
        <v>1165</v>
      </c>
      <c r="AF908" s="14" t="s">
        <v>153</v>
      </c>
      <c r="AG908" t="s">
        <v>1324</v>
      </c>
      <c r="AH908">
        <v>1440</v>
      </c>
      <c r="AI908" t="s">
        <v>1165</v>
      </c>
      <c r="AJ908" s="15" t="s">
        <v>1278</v>
      </c>
      <c r="AK908" s="15">
        <v>0</v>
      </c>
      <c r="AN908" s="15">
        <v>4</v>
      </c>
      <c r="AO908" s="15">
        <v>100</v>
      </c>
      <c r="AP908" s="15">
        <v>29</v>
      </c>
      <c r="AQ908" s="14" t="s">
        <v>1322</v>
      </c>
      <c r="AR908" s="15" t="s">
        <v>1279</v>
      </c>
    </row>
    <row r="909" spans="1:44" x14ac:dyDescent="0.2">
      <c r="A909" t="s">
        <v>1138</v>
      </c>
      <c r="B909" s="15" t="s">
        <v>1146</v>
      </c>
      <c r="C909" s="15" t="s">
        <v>1149</v>
      </c>
      <c r="D909" t="s">
        <v>1136</v>
      </c>
      <c r="E909" t="s">
        <v>1137</v>
      </c>
      <c r="G909" s="15" t="s">
        <v>153</v>
      </c>
      <c r="H909" s="14" t="s">
        <v>1165</v>
      </c>
      <c r="I909" s="18" t="s">
        <v>1320</v>
      </c>
      <c r="J909">
        <v>32.133333333333297</v>
      </c>
      <c r="K909">
        <v>-50.133333333333297</v>
      </c>
      <c r="L909">
        <v>2320</v>
      </c>
      <c r="M909" t="s">
        <v>1145</v>
      </c>
      <c r="O909">
        <v>2009</v>
      </c>
      <c r="U909" t="s">
        <v>1323</v>
      </c>
      <c r="V909" s="9" t="s">
        <v>1217</v>
      </c>
      <c r="W909">
        <v>120</v>
      </c>
      <c r="X909" s="9" t="s">
        <v>1292</v>
      </c>
      <c r="Z909">
        <v>0</v>
      </c>
      <c r="AD909" t="s">
        <v>1165</v>
      </c>
      <c r="AF909" s="14" t="s">
        <v>153</v>
      </c>
      <c r="AG909" t="s">
        <v>1324</v>
      </c>
      <c r="AH909">
        <v>1440</v>
      </c>
      <c r="AI909" t="s">
        <v>1165</v>
      </c>
      <c r="AJ909" s="15" t="s">
        <v>1278</v>
      </c>
      <c r="AK909" s="15">
        <v>0</v>
      </c>
      <c r="AN909" s="15">
        <v>4</v>
      </c>
      <c r="AO909" s="15">
        <v>100</v>
      </c>
      <c r="AP909" s="15">
        <v>36</v>
      </c>
      <c r="AQ909" s="14" t="s">
        <v>1322</v>
      </c>
      <c r="AR909" s="15" t="s">
        <v>1279</v>
      </c>
    </row>
    <row r="910" spans="1:44" x14ac:dyDescent="0.2">
      <c r="A910" t="s">
        <v>1138</v>
      </c>
      <c r="B910" s="15" t="s">
        <v>1146</v>
      </c>
      <c r="C910" s="15" t="s">
        <v>1149</v>
      </c>
      <c r="D910" t="s">
        <v>1136</v>
      </c>
      <c r="E910" t="s">
        <v>1137</v>
      </c>
      <c r="G910" s="15" t="s">
        <v>153</v>
      </c>
      <c r="H910" s="14" t="s">
        <v>1165</v>
      </c>
      <c r="I910" s="18" t="s">
        <v>1320</v>
      </c>
      <c r="J910">
        <v>32.133333333333297</v>
      </c>
      <c r="K910">
        <v>-50.133333333333297</v>
      </c>
      <c r="L910">
        <v>2320</v>
      </c>
      <c r="M910" t="s">
        <v>1145</v>
      </c>
      <c r="O910">
        <v>2009</v>
      </c>
      <c r="U910" t="s">
        <v>1323</v>
      </c>
      <c r="V910" s="9" t="s">
        <v>1217</v>
      </c>
      <c r="W910">
        <v>120</v>
      </c>
      <c r="X910" s="9" t="s">
        <v>1292</v>
      </c>
      <c r="Z910">
        <v>0</v>
      </c>
      <c r="AD910" t="s">
        <v>1165</v>
      </c>
      <c r="AF910" s="14" t="s">
        <v>153</v>
      </c>
      <c r="AG910" t="s">
        <v>1324</v>
      </c>
      <c r="AH910">
        <v>1440</v>
      </c>
      <c r="AI910" t="s">
        <v>1165</v>
      </c>
      <c r="AJ910" s="15" t="s">
        <v>1278</v>
      </c>
      <c r="AK910" s="15">
        <v>0</v>
      </c>
      <c r="AN910" s="15">
        <v>4</v>
      </c>
      <c r="AO910" s="15">
        <v>100</v>
      </c>
      <c r="AP910" s="15">
        <v>43</v>
      </c>
      <c r="AQ910" s="14" t="s">
        <v>1322</v>
      </c>
      <c r="AR910" s="15" t="s">
        <v>1279</v>
      </c>
    </row>
    <row r="911" spans="1:44" x14ac:dyDescent="0.2">
      <c r="A911" t="s">
        <v>1138</v>
      </c>
      <c r="B911" s="15" t="s">
        <v>1146</v>
      </c>
      <c r="C911" s="15" t="s">
        <v>1149</v>
      </c>
      <c r="D911" t="s">
        <v>1136</v>
      </c>
      <c r="E911" t="s">
        <v>1137</v>
      </c>
      <c r="G911" s="15" t="s">
        <v>153</v>
      </c>
      <c r="H911" s="14" t="s">
        <v>1165</v>
      </c>
      <c r="I911" s="18" t="s">
        <v>1320</v>
      </c>
      <c r="J911">
        <v>32.133333333333297</v>
      </c>
      <c r="K911">
        <v>-50.133333333333297</v>
      </c>
      <c r="L911">
        <v>2320</v>
      </c>
      <c r="M911" t="s">
        <v>1145</v>
      </c>
      <c r="O911">
        <v>2009</v>
      </c>
      <c r="U911" t="s">
        <v>1323</v>
      </c>
      <c r="V911" s="9" t="s">
        <v>1217</v>
      </c>
      <c r="W911">
        <v>120</v>
      </c>
      <c r="X911" s="9" t="s">
        <v>1292</v>
      </c>
      <c r="Z911">
        <v>0</v>
      </c>
      <c r="AD911" t="s">
        <v>1165</v>
      </c>
      <c r="AF911" s="14" t="s">
        <v>153</v>
      </c>
      <c r="AG911" t="s">
        <v>1324</v>
      </c>
      <c r="AH911">
        <v>1440</v>
      </c>
      <c r="AI911" t="s">
        <v>1165</v>
      </c>
      <c r="AJ911" s="15" t="s">
        <v>1278</v>
      </c>
      <c r="AK911" s="15">
        <v>0.20799999999999999</v>
      </c>
      <c r="AN911" s="15">
        <v>4</v>
      </c>
      <c r="AO911" s="15">
        <v>100</v>
      </c>
      <c r="AP911" s="15">
        <v>50</v>
      </c>
      <c r="AQ911" s="14" t="s">
        <v>1322</v>
      </c>
      <c r="AR911" s="15" t="s">
        <v>1279</v>
      </c>
    </row>
    <row r="912" spans="1:44" x14ac:dyDescent="0.2">
      <c r="A912" t="s">
        <v>1138</v>
      </c>
      <c r="B912" s="15" t="s">
        <v>1146</v>
      </c>
      <c r="C912" s="15" t="s">
        <v>1149</v>
      </c>
      <c r="D912" t="s">
        <v>1136</v>
      </c>
      <c r="E912" t="s">
        <v>1137</v>
      </c>
      <c r="G912" s="15" t="s">
        <v>153</v>
      </c>
      <c r="H912" s="14" t="s">
        <v>1165</v>
      </c>
      <c r="I912" s="18" t="s">
        <v>1320</v>
      </c>
      <c r="J912">
        <v>32.133333333333297</v>
      </c>
      <c r="K912">
        <v>-50.133333333333297</v>
      </c>
      <c r="L912">
        <v>2320</v>
      </c>
      <c r="M912" t="s">
        <v>1145</v>
      </c>
      <c r="O912">
        <v>2009</v>
      </c>
      <c r="U912" t="s">
        <v>1323</v>
      </c>
      <c r="V912" s="9" t="s">
        <v>1217</v>
      </c>
      <c r="W912">
        <v>120</v>
      </c>
      <c r="X912" s="9" t="s">
        <v>1292</v>
      </c>
      <c r="Z912">
        <v>0</v>
      </c>
      <c r="AD912" t="s">
        <v>1165</v>
      </c>
      <c r="AF912" s="14" t="s">
        <v>153</v>
      </c>
      <c r="AG912" t="s">
        <v>1324</v>
      </c>
      <c r="AH912">
        <v>1440</v>
      </c>
      <c r="AI912" t="s">
        <v>1165</v>
      </c>
      <c r="AJ912" s="15" t="s">
        <v>1278</v>
      </c>
      <c r="AK912" s="15">
        <v>0.08</v>
      </c>
      <c r="AN912" s="15">
        <v>4</v>
      </c>
      <c r="AO912" s="15">
        <v>100</v>
      </c>
      <c r="AP912" s="15">
        <v>57</v>
      </c>
      <c r="AQ912" s="14" t="s">
        <v>1322</v>
      </c>
      <c r="AR912" s="15" t="s">
        <v>1279</v>
      </c>
    </row>
    <row r="913" spans="1:44" x14ac:dyDescent="0.2">
      <c r="A913" t="s">
        <v>1138</v>
      </c>
      <c r="B913" s="15" t="s">
        <v>1146</v>
      </c>
      <c r="C913" s="15" t="s">
        <v>1149</v>
      </c>
      <c r="D913" t="s">
        <v>1136</v>
      </c>
      <c r="E913" t="s">
        <v>1137</v>
      </c>
      <c r="G913" s="15" t="s">
        <v>153</v>
      </c>
      <c r="H913" s="14" t="s">
        <v>1165</v>
      </c>
      <c r="I913" s="18" t="s">
        <v>1320</v>
      </c>
      <c r="J913">
        <v>32.133333333333297</v>
      </c>
      <c r="K913">
        <v>-50.133333333333297</v>
      </c>
      <c r="L913">
        <v>2320</v>
      </c>
      <c r="M913" t="s">
        <v>1145</v>
      </c>
      <c r="O913">
        <v>2009</v>
      </c>
      <c r="U913" t="s">
        <v>1323</v>
      </c>
      <c r="V913" s="9" t="s">
        <v>1217</v>
      </c>
      <c r="W913">
        <v>120</v>
      </c>
      <c r="X913" s="9" t="s">
        <v>1292</v>
      </c>
      <c r="Z913">
        <v>0</v>
      </c>
      <c r="AD913" t="s">
        <v>1165</v>
      </c>
      <c r="AF913" s="14" t="s">
        <v>153</v>
      </c>
      <c r="AG913" t="s">
        <v>1324</v>
      </c>
      <c r="AH913">
        <v>1440</v>
      </c>
      <c r="AI913" t="s">
        <v>1165</v>
      </c>
      <c r="AJ913" s="15" t="s">
        <v>1278</v>
      </c>
      <c r="AK913" s="15">
        <v>0.47299999999999998</v>
      </c>
      <c r="AN913" s="15">
        <v>4</v>
      </c>
      <c r="AO913" s="15">
        <v>100</v>
      </c>
      <c r="AP913" s="15">
        <v>64</v>
      </c>
      <c r="AQ913" s="14" t="s">
        <v>1322</v>
      </c>
      <c r="AR913" s="15" t="s">
        <v>1279</v>
      </c>
    </row>
    <row r="914" spans="1:44" x14ac:dyDescent="0.2">
      <c r="A914" t="s">
        <v>1138</v>
      </c>
      <c r="B914" s="15" t="s">
        <v>1146</v>
      </c>
      <c r="C914" s="15" t="s">
        <v>1149</v>
      </c>
      <c r="D914" t="s">
        <v>1136</v>
      </c>
      <c r="E914" t="s">
        <v>1137</v>
      </c>
      <c r="G914" s="15" t="s">
        <v>153</v>
      </c>
      <c r="H914" s="14" t="s">
        <v>1165</v>
      </c>
      <c r="I914" s="18" t="s">
        <v>1320</v>
      </c>
      <c r="J914">
        <v>32.133333333333297</v>
      </c>
      <c r="K914">
        <v>-50.133333333333297</v>
      </c>
      <c r="L914">
        <v>2320</v>
      </c>
      <c r="M914" t="s">
        <v>1145</v>
      </c>
      <c r="O914">
        <v>2009</v>
      </c>
      <c r="U914" t="s">
        <v>1323</v>
      </c>
      <c r="V914" s="9" t="s">
        <v>1217</v>
      </c>
      <c r="W914">
        <v>120</v>
      </c>
      <c r="X914" s="9" t="s">
        <v>1292</v>
      </c>
      <c r="Z914">
        <v>0</v>
      </c>
      <c r="AD914" t="s">
        <v>1165</v>
      </c>
      <c r="AF914" s="14" t="s">
        <v>153</v>
      </c>
      <c r="AG914" t="s">
        <v>1324</v>
      </c>
      <c r="AH914">
        <v>1440</v>
      </c>
      <c r="AI914" t="s">
        <v>1165</v>
      </c>
      <c r="AJ914" s="15" t="s">
        <v>1278</v>
      </c>
      <c r="AK914" s="15">
        <v>0.436</v>
      </c>
      <c r="AN914" s="15">
        <v>4</v>
      </c>
      <c r="AO914" s="15">
        <v>100</v>
      </c>
      <c r="AP914" s="15">
        <v>71</v>
      </c>
      <c r="AQ914" s="14" t="s">
        <v>1322</v>
      </c>
      <c r="AR914" s="15" t="s">
        <v>1279</v>
      </c>
    </row>
    <row r="915" spans="1:44" x14ac:dyDescent="0.2">
      <c r="A915" t="s">
        <v>1138</v>
      </c>
      <c r="B915" s="15" t="s">
        <v>1146</v>
      </c>
      <c r="C915" s="15" t="s">
        <v>1149</v>
      </c>
      <c r="D915" t="s">
        <v>1136</v>
      </c>
      <c r="E915" t="s">
        <v>1137</v>
      </c>
      <c r="G915" s="15" t="s">
        <v>153</v>
      </c>
      <c r="H915" s="14" t="s">
        <v>1165</v>
      </c>
      <c r="I915" s="18" t="s">
        <v>1320</v>
      </c>
      <c r="J915">
        <v>32.133333333333297</v>
      </c>
      <c r="K915">
        <v>-50.133333333333297</v>
      </c>
      <c r="L915">
        <v>2320</v>
      </c>
      <c r="M915" t="s">
        <v>1145</v>
      </c>
      <c r="O915">
        <v>2009</v>
      </c>
      <c r="U915" t="s">
        <v>1323</v>
      </c>
      <c r="V915" s="9" t="s">
        <v>1217</v>
      </c>
      <c r="W915">
        <v>120</v>
      </c>
      <c r="X915" s="9" t="s">
        <v>1292</v>
      </c>
      <c r="Z915">
        <v>0</v>
      </c>
      <c r="AD915" t="s">
        <v>1165</v>
      </c>
      <c r="AF915" s="14" t="s">
        <v>153</v>
      </c>
      <c r="AG915" t="s">
        <v>1324</v>
      </c>
      <c r="AH915">
        <v>1440</v>
      </c>
      <c r="AI915" t="s">
        <v>1165</v>
      </c>
      <c r="AJ915" s="15" t="s">
        <v>1278</v>
      </c>
      <c r="AK915" s="15">
        <v>0.42199999999999999</v>
      </c>
      <c r="AN915" s="15">
        <v>4</v>
      </c>
      <c r="AO915" s="15">
        <v>100</v>
      </c>
      <c r="AP915" s="15">
        <v>78</v>
      </c>
      <c r="AQ915" s="14" t="s">
        <v>1322</v>
      </c>
      <c r="AR915" s="15" t="s">
        <v>1279</v>
      </c>
    </row>
    <row r="916" spans="1:44" x14ac:dyDescent="0.2">
      <c r="A916" t="s">
        <v>1138</v>
      </c>
      <c r="B916" s="15" t="s">
        <v>1146</v>
      </c>
      <c r="C916" s="15" t="s">
        <v>1149</v>
      </c>
      <c r="D916" t="s">
        <v>1136</v>
      </c>
      <c r="E916" t="s">
        <v>1137</v>
      </c>
      <c r="G916" s="15" t="s">
        <v>153</v>
      </c>
      <c r="H916" s="14" t="s">
        <v>1165</v>
      </c>
      <c r="I916" s="18" t="s">
        <v>1320</v>
      </c>
      <c r="J916">
        <v>32.133333333333297</v>
      </c>
      <c r="K916">
        <v>-50.133333333333297</v>
      </c>
      <c r="L916">
        <v>2320</v>
      </c>
      <c r="M916" t="s">
        <v>1145</v>
      </c>
      <c r="O916">
        <v>2009</v>
      </c>
      <c r="U916" t="s">
        <v>1323</v>
      </c>
      <c r="V916" s="9" t="s">
        <v>1217</v>
      </c>
      <c r="W916">
        <v>120</v>
      </c>
      <c r="X916" s="9" t="s">
        <v>1292</v>
      </c>
      <c r="Z916">
        <v>0</v>
      </c>
      <c r="AD916" t="s">
        <v>1165</v>
      </c>
      <c r="AF916" s="14" t="s">
        <v>153</v>
      </c>
      <c r="AG916" t="s">
        <v>1324</v>
      </c>
      <c r="AH916">
        <v>1440</v>
      </c>
      <c r="AI916" t="s">
        <v>1165</v>
      </c>
      <c r="AJ916" s="15" t="s">
        <v>1278</v>
      </c>
      <c r="AK916" s="15">
        <v>0.61399999999999999</v>
      </c>
      <c r="AN916" s="15">
        <v>4</v>
      </c>
      <c r="AO916" s="15">
        <v>100</v>
      </c>
      <c r="AP916" s="15">
        <v>85</v>
      </c>
      <c r="AQ916" s="14" t="s">
        <v>1322</v>
      </c>
      <c r="AR916" s="15" t="s">
        <v>1279</v>
      </c>
    </row>
    <row r="917" spans="1:44" x14ac:dyDescent="0.2">
      <c r="A917" t="s">
        <v>1138</v>
      </c>
      <c r="B917" s="15" t="s">
        <v>1146</v>
      </c>
      <c r="C917" s="15" t="s">
        <v>1149</v>
      </c>
      <c r="D917" t="s">
        <v>1136</v>
      </c>
      <c r="E917" t="s">
        <v>1137</v>
      </c>
      <c r="G917" s="15" t="s">
        <v>153</v>
      </c>
      <c r="H917" s="14" t="s">
        <v>1165</v>
      </c>
      <c r="I917" s="18" t="s">
        <v>1320</v>
      </c>
      <c r="J917">
        <v>32.133333333333297</v>
      </c>
      <c r="K917">
        <v>-50.133333333333297</v>
      </c>
      <c r="L917">
        <v>2320</v>
      </c>
      <c r="M917" t="s">
        <v>1145</v>
      </c>
      <c r="O917">
        <v>2009</v>
      </c>
      <c r="U917" t="s">
        <v>1323</v>
      </c>
      <c r="V917" s="9" t="s">
        <v>1217</v>
      </c>
      <c r="W917">
        <v>120</v>
      </c>
      <c r="X917" s="9" t="s">
        <v>1292</v>
      </c>
      <c r="Z917">
        <v>0</v>
      </c>
      <c r="AD917" t="s">
        <v>1165</v>
      </c>
      <c r="AF917" s="14" t="s">
        <v>153</v>
      </c>
      <c r="AG917" t="s">
        <v>1324</v>
      </c>
      <c r="AH917">
        <v>1440</v>
      </c>
      <c r="AI917" t="s">
        <v>1165</v>
      </c>
      <c r="AJ917" s="15" t="s">
        <v>1278</v>
      </c>
      <c r="AK917" s="15">
        <v>0.247</v>
      </c>
      <c r="AN917" s="15">
        <v>4</v>
      </c>
      <c r="AO917" s="15">
        <v>100</v>
      </c>
      <c r="AP917" s="15">
        <v>92</v>
      </c>
      <c r="AQ917" s="14" t="s">
        <v>1322</v>
      </c>
      <c r="AR917" s="15" t="s">
        <v>1279</v>
      </c>
    </row>
    <row r="918" spans="1:44" x14ac:dyDescent="0.2">
      <c r="A918" t="s">
        <v>1138</v>
      </c>
      <c r="B918" s="15" t="s">
        <v>1146</v>
      </c>
      <c r="C918" s="15" t="s">
        <v>1149</v>
      </c>
      <c r="D918" t="s">
        <v>1136</v>
      </c>
      <c r="E918" t="s">
        <v>1137</v>
      </c>
      <c r="G918" s="15" t="s">
        <v>153</v>
      </c>
      <c r="H918" s="14" t="s">
        <v>1165</v>
      </c>
      <c r="I918" s="18" t="s">
        <v>1320</v>
      </c>
      <c r="J918">
        <v>32.133333333333297</v>
      </c>
      <c r="K918">
        <v>-50.133333333333297</v>
      </c>
      <c r="L918">
        <v>2320</v>
      </c>
      <c r="M918" t="s">
        <v>1145</v>
      </c>
      <c r="O918">
        <v>2009</v>
      </c>
      <c r="U918" t="s">
        <v>1323</v>
      </c>
      <c r="V918" s="9" t="s">
        <v>1217</v>
      </c>
      <c r="W918">
        <v>120</v>
      </c>
      <c r="X918" s="9" t="s">
        <v>1292</v>
      </c>
      <c r="Z918">
        <v>0</v>
      </c>
      <c r="AD918" t="s">
        <v>1165</v>
      </c>
      <c r="AF918" s="14" t="s">
        <v>153</v>
      </c>
      <c r="AG918" t="s">
        <v>1324</v>
      </c>
      <c r="AH918">
        <v>1440</v>
      </c>
      <c r="AI918" t="s">
        <v>1165</v>
      </c>
      <c r="AJ918" s="15" t="s">
        <v>1278</v>
      </c>
      <c r="AK918" s="15">
        <v>5.5E-2</v>
      </c>
      <c r="AN918" s="15">
        <v>4</v>
      </c>
      <c r="AO918" s="15">
        <v>100</v>
      </c>
      <c r="AP918" s="15">
        <v>99</v>
      </c>
      <c r="AQ918" s="14" t="s">
        <v>1322</v>
      </c>
      <c r="AR918" s="15" t="s">
        <v>1279</v>
      </c>
    </row>
    <row r="919" spans="1:44" x14ac:dyDescent="0.2">
      <c r="A919" t="s">
        <v>1138</v>
      </c>
      <c r="B919" s="15" t="s">
        <v>1146</v>
      </c>
      <c r="C919" s="15" t="s">
        <v>1149</v>
      </c>
      <c r="D919" t="s">
        <v>1136</v>
      </c>
      <c r="E919" t="s">
        <v>1137</v>
      </c>
      <c r="G919" s="15" t="s">
        <v>153</v>
      </c>
      <c r="H919" s="14" t="s">
        <v>1165</v>
      </c>
      <c r="I919" s="18" t="s">
        <v>1320</v>
      </c>
      <c r="J919">
        <v>32.133333333333297</v>
      </c>
      <c r="K919">
        <v>-50.133333333333297</v>
      </c>
      <c r="L919">
        <v>2320</v>
      </c>
      <c r="M919" t="s">
        <v>1145</v>
      </c>
      <c r="O919">
        <v>2009</v>
      </c>
      <c r="U919" t="s">
        <v>1323</v>
      </c>
      <c r="V919" s="9" t="s">
        <v>1217</v>
      </c>
      <c r="W919">
        <v>120</v>
      </c>
      <c r="X919" s="9" t="s">
        <v>1292</v>
      </c>
      <c r="Z919">
        <v>0</v>
      </c>
      <c r="AD919" t="s">
        <v>1165</v>
      </c>
      <c r="AF919" s="14" t="s">
        <v>153</v>
      </c>
      <c r="AG919" t="s">
        <v>1324</v>
      </c>
      <c r="AH919">
        <v>1440</v>
      </c>
      <c r="AI919" t="s">
        <v>1165</v>
      </c>
      <c r="AJ919" s="15" t="s">
        <v>1278</v>
      </c>
      <c r="AK919" s="15">
        <v>5.8999999999999997E-2</v>
      </c>
      <c r="AN919" s="15">
        <v>4</v>
      </c>
      <c r="AO919" s="15">
        <v>100</v>
      </c>
      <c r="AP919" s="15">
        <v>106</v>
      </c>
      <c r="AQ919" s="14" t="s">
        <v>1322</v>
      </c>
      <c r="AR919" s="15" t="s">
        <v>1279</v>
      </c>
    </row>
    <row r="920" spans="1:44" x14ac:dyDescent="0.2">
      <c r="A920" t="s">
        <v>1138</v>
      </c>
      <c r="B920" s="15" t="s">
        <v>1146</v>
      </c>
      <c r="C920" s="15" t="s">
        <v>1149</v>
      </c>
      <c r="D920" t="s">
        <v>1136</v>
      </c>
      <c r="E920" t="s">
        <v>1137</v>
      </c>
      <c r="G920" s="15" t="s">
        <v>153</v>
      </c>
      <c r="H920" s="14" t="s">
        <v>1165</v>
      </c>
      <c r="I920" s="18" t="s">
        <v>1320</v>
      </c>
      <c r="J920">
        <v>32.133333333333297</v>
      </c>
      <c r="K920">
        <v>-50.133333333333297</v>
      </c>
      <c r="L920">
        <v>2320</v>
      </c>
      <c r="M920" t="s">
        <v>1145</v>
      </c>
      <c r="O920">
        <v>2009</v>
      </c>
      <c r="U920" t="s">
        <v>1323</v>
      </c>
      <c r="V920" s="9" t="s">
        <v>1217</v>
      </c>
      <c r="W920">
        <v>120</v>
      </c>
      <c r="X920" s="9" t="s">
        <v>1292</v>
      </c>
      <c r="Z920">
        <v>0</v>
      </c>
      <c r="AD920" t="s">
        <v>1165</v>
      </c>
      <c r="AF920" s="14" t="s">
        <v>153</v>
      </c>
      <c r="AG920" t="s">
        <v>1324</v>
      </c>
      <c r="AH920">
        <v>1440</v>
      </c>
      <c r="AI920" t="s">
        <v>1165</v>
      </c>
      <c r="AJ920" s="15" t="s">
        <v>1278</v>
      </c>
      <c r="AK920" s="15">
        <v>2.1000000000000001E-2</v>
      </c>
      <c r="AN920" s="15">
        <v>4</v>
      </c>
      <c r="AO920" s="15">
        <v>100</v>
      </c>
      <c r="AP920" s="15">
        <v>113</v>
      </c>
      <c r="AQ920" s="14" t="s">
        <v>1322</v>
      </c>
      <c r="AR920" s="15" t="s">
        <v>1279</v>
      </c>
    </row>
    <row r="921" spans="1:44" x14ac:dyDescent="0.2">
      <c r="A921" t="s">
        <v>1138</v>
      </c>
      <c r="B921" s="15" t="s">
        <v>1146</v>
      </c>
      <c r="C921" s="15" t="s">
        <v>1149</v>
      </c>
      <c r="D921" t="s">
        <v>1136</v>
      </c>
      <c r="E921" t="s">
        <v>1137</v>
      </c>
      <c r="G921" s="15" t="s">
        <v>153</v>
      </c>
      <c r="H921" s="14" t="s">
        <v>1165</v>
      </c>
      <c r="I921" s="18" t="s">
        <v>1320</v>
      </c>
      <c r="J921">
        <v>32.133333333333297</v>
      </c>
      <c r="K921">
        <v>-50.133333333333297</v>
      </c>
      <c r="L921">
        <v>2320</v>
      </c>
      <c r="M921" t="s">
        <v>1145</v>
      </c>
      <c r="O921">
        <v>2009</v>
      </c>
      <c r="U921" t="s">
        <v>1323</v>
      </c>
      <c r="V921" s="9" t="s">
        <v>1217</v>
      </c>
      <c r="W921">
        <v>120</v>
      </c>
      <c r="X921" s="9" t="s">
        <v>1292</v>
      </c>
      <c r="Z921">
        <v>0</v>
      </c>
      <c r="AD921" t="s">
        <v>1165</v>
      </c>
      <c r="AF921" s="14" t="s">
        <v>153</v>
      </c>
      <c r="AG921" t="s">
        <v>1324</v>
      </c>
      <c r="AH921">
        <v>1440</v>
      </c>
      <c r="AI921" t="s">
        <v>1165</v>
      </c>
      <c r="AJ921" s="15" t="s">
        <v>1278</v>
      </c>
      <c r="AK921" s="15">
        <v>1.9E-2</v>
      </c>
      <c r="AN921" s="15">
        <v>4</v>
      </c>
      <c r="AO921" s="15">
        <v>100</v>
      </c>
      <c r="AP921" s="15">
        <v>120</v>
      </c>
      <c r="AQ921" s="14" t="s">
        <v>1322</v>
      </c>
      <c r="AR921" s="15" t="s">
        <v>1279</v>
      </c>
    </row>
    <row r="922" spans="1:44" x14ac:dyDescent="0.2">
      <c r="A922" t="s">
        <v>1138</v>
      </c>
      <c r="B922" s="15" t="s">
        <v>1146</v>
      </c>
      <c r="C922" s="15" t="s">
        <v>1149</v>
      </c>
      <c r="D922" t="s">
        <v>1136</v>
      </c>
      <c r="E922" t="s">
        <v>1137</v>
      </c>
      <c r="G922" s="15" t="s">
        <v>153</v>
      </c>
      <c r="H922" s="14" t="s">
        <v>1165</v>
      </c>
      <c r="I922" s="18" t="s">
        <v>1320</v>
      </c>
      <c r="J922">
        <v>32.133333333333297</v>
      </c>
      <c r="K922">
        <v>-50.133333333333297</v>
      </c>
      <c r="L922">
        <v>2320</v>
      </c>
      <c r="M922" t="s">
        <v>1145</v>
      </c>
      <c r="O922">
        <v>2009</v>
      </c>
      <c r="U922" t="s">
        <v>1325</v>
      </c>
      <c r="V922" s="9" t="s">
        <v>1217</v>
      </c>
      <c r="W922">
        <v>120</v>
      </c>
      <c r="X922" s="9" t="s">
        <v>1292</v>
      </c>
      <c r="Z922">
        <v>0</v>
      </c>
      <c r="AA922" t="s">
        <v>1159</v>
      </c>
      <c r="AB922">
        <v>1000</v>
      </c>
      <c r="AC922">
        <v>2</v>
      </c>
      <c r="AD922" t="s">
        <v>1165</v>
      </c>
      <c r="AF922" s="14" t="s">
        <v>153</v>
      </c>
      <c r="AG922" t="s">
        <v>1314</v>
      </c>
      <c r="AH922">
        <v>5</v>
      </c>
      <c r="AI922" t="s">
        <v>1165</v>
      </c>
      <c r="AJ922" s="15" t="s">
        <v>1278</v>
      </c>
      <c r="AK922" s="15">
        <v>0</v>
      </c>
      <c r="AN922" s="15">
        <v>4</v>
      </c>
      <c r="AO922" s="15">
        <v>100</v>
      </c>
      <c r="AP922" s="15">
        <v>1</v>
      </c>
      <c r="AQ922" s="14" t="s">
        <v>1322</v>
      </c>
      <c r="AR922" s="15" t="s">
        <v>1279</v>
      </c>
    </row>
    <row r="923" spans="1:44" x14ac:dyDescent="0.2">
      <c r="A923" t="s">
        <v>1138</v>
      </c>
      <c r="B923" s="15" t="s">
        <v>1146</v>
      </c>
      <c r="C923" s="15" t="s">
        <v>1149</v>
      </c>
      <c r="D923" t="s">
        <v>1136</v>
      </c>
      <c r="E923" t="s">
        <v>1137</v>
      </c>
      <c r="G923" s="15" t="s">
        <v>153</v>
      </c>
      <c r="H923" s="14" t="s">
        <v>1165</v>
      </c>
      <c r="I923" s="18" t="s">
        <v>1320</v>
      </c>
      <c r="J923">
        <v>32.133333333333297</v>
      </c>
      <c r="K923">
        <v>-50.133333333333297</v>
      </c>
      <c r="L923">
        <v>2320</v>
      </c>
      <c r="M923" t="s">
        <v>1145</v>
      </c>
      <c r="O923">
        <v>2009</v>
      </c>
      <c r="U923" t="s">
        <v>1325</v>
      </c>
      <c r="V923" s="9" t="s">
        <v>1217</v>
      </c>
      <c r="W923">
        <v>120</v>
      </c>
      <c r="X923" s="9" t="s">
        <v>1292</v>
      </c>
      <c r="Z923">
        <v>0</v>
      </c>
      <c r="AA923" t="s">
        <v>1159</v>
      </c>
      <c r="AB923">
        <v>1000</v>
      </c>
      <c r="AC923">
        <v>2</v>
      </c>
      <c r="AD923" t="s">
        <v>1165</v>
      </c>
      <c r="AF923" s="14" t="s">
        <v>153</v>
      </c>
      <c r="AG923" t="s">
        <v>1314</v>
      </c>
      <c r="AH923">
        <v>5</v>
      </c>
      <c r="AI923" t="s">
        <v>1165</v>
      </c>
      <c r="AJ923" s="15" t="s">
        <v>1278</v>
      </c>
      <c r="AK923" s="15">
        <v>0</v>
      </c>
      <c r="AN923" s="15">
        <v>4</v>
      </c>
      <c r="AO923" s="15">
        <v>100</v>
      </c>
      <c r="AP923" s="15">
        <v>8</v>
      </c>
      <c r="AQ923" s="14" t="s">
        <v>1322</v>
      </c>
      <c r="AR923" s="15" t="s">
        <v>1279</v>
      </c>
    </row>
    <row r="924" spans="1:44" x14ac:dyDescent="0.2">
      <c r="A924" t="s">
        <v>1138</v>
      </c>
      <c r="B924" s="15" t="s">
        <v>1146</v>
      </c>
      <c r="C924" s="15" t="s">
        <v>1149</v>
      </c>
      <c r="D924" t="s">
        <v>1136</v>
      </c>
      <c r="E924" t="s">
        <v>1137</v>
      </c>
      <c r="G924" s="15" t="s">
        <v>153</v>
      </c>
      <c r="H924" s="14" t="s">
        <v>1165</v>
      </c>
      <c r="I924" s="18" t="s">
        <v>1320</v>
      </c>
      <c r="J924">
        <v>32.133333333333297</v>
      </c>
      <c r="K924">
        <v>-50.133333333333297</v>
      </c>
      <c r="L924">
        <v>2320</v>
      </c>
      <c r="M924" t="s">
        <v>1145</v>
      </c>
      <c r="O924">
        <v>2009</v>
      </c>
      <c r="U924" t="s">
        <v>1325</v>
      </c>
      <c r="V924" s="9" t="s">
        <v>1217</v>
      </c>
      <c r="W924">
        <v>120</v>
      </c>
      <c r="X924" s="9" t="s">
        <v>1292</v>
      </c>
      <c r="Z924">
        <v>0</v>
      </c>
      <c r="AA924" t="s">
        <v>1159</v>
      </c>
      <c r="AB924">
        <v>1000</v>
      </c>
      <c r="AC924">
        <v>2</v>
      </c>
      <c r="AD924" t="s">
        <v>1165</v>
      </c>
      <c r="AF924" s="14" t="s">
        <v>153</v>
      </c>
      <c r="AG924" t="s">
        <v>1314</v>
      </c>
      <c r="AH924">
        <v>5</v>
      </c>
      <c r="AI924" t="s">
        <v>1165</v>
      </c>
      <c r="AJ924" s="15" t="s">
        <v>1278</v>
      </c>
      <c r="AK924" s="15">
        <v>0</v>
      </c>
      <c r="AN924" s="15">
        <v>4</v>
      </c>
      <c r="AO924" s="15">
        <v>100</v>
      </c>
      <c r="AP924" s="15">
        <v>15</v>
      </c>
      <c r="AQ924" s="14" t="s">
        <v>1322</v>
      </c>
      <c r="AR924" s="15" t="s">
        <v>1279</v>
      </c>
    </row>
    <row r="925" spans="1:44" x14ac:dyDescent="0.2">
      <c r="A925" t="s">
        <v>1138</v>
      </c>
      <c r="B925" s="15" t="s">
        <v>1146</v>
      </c>
      <c r="C925" s="15" t="s">
        <v>1149</v>
      </c>
      <c r="D925" t="s">
        <v>1136</v>
      </c>
      <c r="E925" t="s">
        <v>1137</v>
      </c>
      <c r="G925" s="15" t="s">
        <v>153</v>
      </c>
      <c r="H925" s="14" t="s">
        <v>1165</v>
      </c>
      <c r="I925" s="18" t="s">
        <v>1320</v>
      </c>
      <c r="J925">
        <v>32.133333333333297</v>
      </c>
      <c r="K925">
        <v>-50.133333333333297</v>
      </c>
      <c r="L925">
        <v>2320</v>
      </c>
      <c r="M925" t="s">
        <v>1145</v>
      </c>
      <c r="O925">
        <v>2009</v>
      </c>
      <c r="U925" t="s">
        <v>1325</v>
      </c>
      <c r="V925" s="9" t="s">
        <v>1217</v>
      </c>
      <c r="W925">
        <v>120</v>
      </c>
      <c r="X925" s="9" t="s">
        <v>1292</v>
      </c>
      <c r="Z925">
        <v>0</v>
      </c>
      <c r="AA925" t="s">
        <v>1159</v>
      </c>
      <c r="AB925">
        <v>1000</v>
      </c>
      <c r="AC925">
        <v>2</v>
      </c>
      <c r="AD925" t="s">
        <v>1165</v>
      </c>
      <c r="AF925" s="14" t="s">
        <v>153</v>
      </c>
      <c r="AG925" t="s">
        <v>1314</v>
      </c>
      <c r="AH925">
        <v>5</v>
      </c>
      <c r="AI925" t="s">
        <v>1165</v>
      </c>
      <c r="AJ925" s="15" t="s">
        <v>1278</v>
      </c>
      <c r="AK925" s="15">
        <v>0</v>
      </c>
      <c r="AN925" s="15">
        <v>4</v>
      </c>
      <c r="AO925" s="15">
        <v>100</v>
      </c>
      <c r="AP925" s="15">
        <v>22</v>
      </c>
      <c r="AQ925" s="14" t="s">
        <v>1322</v>
      </c>
      <c r="AR925" s="15" t="s">
        <v>1279</v>
      </c>
    </row>
    <row r="926" spans="1:44" x14ac:dyDescent="0.2">
      <c r="A926" t="s">
        <v>1138</v>
      </c>
      <c r="B926" s="15" t="s">
        <v>1146</v>
      </c>
      <c r="C926" s="15" t="s">
        <v>1149</v>
      </c>
      <c r="D926" t="s">
        <v>1136</v>
      </c>
      <c r="E926" t="s">
        <v>1137</v>
      </c>
      <c r="G926" s="15" t="s">
        <v>153</v>
      </c>
      <c r="H926" s="14" t="s">
        <v>1165</v>
      </c>
      <c r="I926" s="18" t="s">
        <v>1320</v>
      </c>
      <c r="J926">
        <v>32.133333333333297</v>
      </c>
      <c r="K926">
        <v>-50.133333333333297</v>
      </c>
      <c r="L926">
        <v>2320</v>
      </c>
      <c r="M926" t="s">
        <v>1145</v>
      </c>
      <c r="O926">
        <v>2009</v>
      </c>
      <c r="U926" t="s">
        <v>1325</v>
      </c>
      <c r="V926" s="9" t="s">
        <v>1217</v>
      </c>
      <c r="W926">
        <v>120</v>
      </c>
      <c r="X926" s="9" t="s">
        <v>1292</v>
      </c>
      <c r="Z926">
        <v>0</v>
      </c>
      <c r="AA926" t="s">
        <v>1159</v>
      </c>
      <c r="AB926">
        <v>1000</v>
      </c>
      <c r="AC926">
        <v>2</v>
      </c>
      <c r="AD926" t="s">
        <v>1165</v>
      </c>
      <c r="AF926" s="14" t="s">
        <v>153</v>
      </c>
      <c r="AG926" t="s">
        <v>1314</v>
      </c>
      <c r="AH926">
        <v>5</v>
      </c>
      <c r="AI926" t="s">
        <v>1165</v>
      </c>
      <c r="AJ926" s="15" t="s">
        <v>1278</v>
      </c>
      <c r="AK926" s="15">
        <v>0</v>
      </c>
      <c r="AN926" s="15">
        <v>4</v>
      </c>
      <c r="AO926" s="15">
        <v>100</v>
      </c>
      <c r="AP926" s="15">
        <v>29</v>
      </c>
      <c r="AQ926" s="14" t="s">
        <v>1322</v>
      </c>
      <c r="AR926" s="15" t="s">
        <v>1279</v>
      </c>
    </row>
    <row r="927" spans="1:44" x14ac:dyDescent="0.2">
      <c r="A927" t="s">
        <v>1138</v>
      </c>
      <c r="B927" s="15" t="s">
        <v>1146</v>
      </c>
      <c r="C927" s="15" t="s">
        <v>1149</v>
      </c>
      <c r="D927" t="s">
        <v>1136</v>
      </c>
      <c r="E927" t="s">
        <v>1137</v>
      </c>
      <c r="G927" s="15" t="s">
        <v>153</v>
      </c>
      <c r="H927" s="14" t="s">
        <v>1165</v>
      </c>
      <c r="I927" s="18" t="s">
        <v>1320</v>
      </c>
      <c r="J927">
        <v>32.133333333333297</v>
      </c>
      <c r="K927">
        <v>-50.133333333333297</v>
      </c>
      <c r="L927">
        <v>2320</v>
      </c>
      <c r="M927" t="s">
        <v>1145</v>
      </c>
      <c r="O927">
        <v>2009</v>
      </c>
      <c r="U927" t="s">
        <v>1325</v>
      </c>
      <c r="V927" s="9" t="s">
        <v>1217</v>
      </c>
      <c r="W927">
        <v>120</v>
      </c>
      <c r="X927" s="9" t="s">
        <v>1292</v>
      </c>
      <c r="Z927">
        <v>0</v>
      </c>
      <c r="AA927" t="s">
        <v>1159</v>
      </c>
      <c r="AB927">
        <v>1000</v>
      </c>
      <c r="AC927">
        <v>2</v>
      </c>
      <c r="AD927" t="s">
        <v>1165</v>
      </c>
      <c r="AF927" s="14" t="s">
        <v>153</v>
      </c>
      <c r="AG927" t="s">
        <v>1314</v>
      </c>
      <c r="AH927">
        <v>5</v>
      </c>
      <c r="AI927" t="s">
        <v>1165</v>
      </c>
      <c r="AJ927" s="15" t="s">
        <v>1278</v>
      </c>
      <c r="AK927" s="15">
        <v>0</v>
      </c>
      <c r="AN927" s="15">
        <v>4</v>
      </c>
      <c r="AO927" s="15">
        <v>100</v>
      </c>
      <c r="AP927" s="15">
        <v>36</v>
      </c>
      <c r="AQ927" s="14" t="s">
        <v>1322</v>
      </c>
      <c r="AR927" s="15" t="s">
        <v>1279</v>
      </c>
    </row>
    <row r="928" spans="1:44" x14ac:dyDescent="0.2">
      <c r="A928" t="s">
        <v>1138</v>
      </c>
      <c r="B928" s="15" t="s">
        <v>1146</v>
      </c>
      <c r="C928" s="15" t="s">
        <v>1149</v>
      </c>
      <c r="D928" t="s">
        <v>1136</v>
      </c>
      <c r="E928" t="s">
        <v>1137</v>
      </c>
      <c r="G928" s="15" t="s">
        <v>153</v>
      </c>
      <c r="H928" s="14" t="s">
        <v>1165</v>
      </c>
      <c r="I928" s="18" t="s">
        <v>1320</v>
      </c>
      <c r="J928">
        <v>32.133333333333297</v>
      </c>
      <c r="K928">
        <v>-50.133333333333297</v>
      </c>
      <c r="L928">
        <v>2320</v>
      </c>
      <c r="M928" t="s">
        <v>1145</v>
      </c>
      <c r="O928">
        <v>2009</v>
      </c>
      <c r="U928" t="s">
        <v>1325</v>
      </c>
      <c r="V928" s="9" t="s">
        <v>1217</v>
      </c>
      <c r="W928">
        <v>120</v>
      </c>
      <c r="X928" s="9" t="s">
        <v>1292</v>
      </c>
      <c r="Z928">
        <v>0</v>
      </c>
      <c r="AA928" t="s">
        <v>1159</v>
      </c>
      <c r="AB928">
        <v>1000</v>
      </c>
      <c r="AC928">
        <v>2</v>
      </c>
      <c r="AD928" t="s">
        <v>1165</v>
      </c>
      <c r="AF928" s="14" t="s">
        <v>153</v>
      </c>
      <c r="AG928" t="s">
        <v>1314</v>
      </c>
      <c r="AH928">
        <v>5</v>
      </c>
      <c r="AI928" t="s">
        <v>1165</v>
      </c>
      <c r="AJ928" s="15" t="s">
        <v>1278</v>
      </c>
      <c r="AK928" s="15">
        <v>0</v>
      </c>
      <c r="AN928" s="15">
        <v>4</v>
      </c>
      <c r="AO928" s="15">
        <v>100</v>
      </c>
      <c r="AP928" s="15">
        <v>43</v>
      </c>
      <c r="AQ928" s="14" t="s">
        <v>1322</v>
      </c>
      <c r="AR928" s="15" t="s">
        <v>1279</v>
      </c>
    </row>
    <row r="929" spans="1:44" x14ac:dyDescent="0.2">
      <c r="A929" t="s">
        <v>1138</v>
      </c>
      <c r="B929" s="15" t="s">
        <v>1146</v>
      </c>
      <c r="C929" s="15" t="s">
        <v>1149</v>
      </c>
      <c r="D929" t="s">
        <v>1136</v>
      </c>
      <c r="E929" t="s">
        <v>1137</v>
      </c>
      <c r="G929" s="15" t="s">
        <v>153</v>
      </c>
      <c r="H929" s="14" t="s">
        <v>1165</v>
      </c>
      <c r="I929" s="18" t="s">
        <v>1320</v>
      </c>
      <c r="J929">
        <v>32.133333333333297</v>
      </c>
      <c r="K929">
        <v>-50.133333333333297</v>
      </c>
      <c r="L929">
        <v>2320</v>
      </c>
      <c r="M929" t="s">
        <v>1145</v>
      </c>
      <c r="O929">
        <v>2009</v>
      </c>
      <c r="U929" t="s">
        <v>1325</v>
      </c>
      <c r="V929" s="9" t="s">
        <v>1217</v>
      </c>
      <c r="W929">
        <v>120</v>
      </c>
      <c r="X929" s="9" t="s">
        <v>1292</v>
      </c>
      <c r="Z929">
        <v>0</v>
      </c>
      <c r="AA929" t="s">
        <v>1159</v>
      </c>
      <c r="AB929">
        <v>1000</v>
      </c>
      <c r="AC929">
        <v>2</v>
      </c>
      <c r="AD929" t="s">
        <v>1165</v>
      </c>
      <c r="AF929" s="14" t="s">
        <v>153</v>
      </c>
      <c r="AG929" t="s">
        <v>1314</v>
      </c>
      <c r="AH929">
        <v>5</v>
      </c>
      <c r="AI929" t="s">
        <v>1165</v>
      </c>
      <c r="AJ929" s="15" t="s">
        <v>1278</v>
      </c>
      <c r="AK929" s="15">
        <v>1.9E-2</v>
      </c>
      <c r="AN929" s="15">
        <v>4</v>
      </c>
      <c r="AO929" s="15">
        <v>100</v>
      </c>
      <c r="AP929" s="15">
        <v>50</v>
      </c>
      <c r="AQ929" s="14" t="s">
        <v>1322</v>
      </c>
      <c r="AR929" s="15" t="s">
        <v>1279</v>
      </c>
    </row>
    <row r="930" spans="1:44" x14ac:dyDescent="0.2">
      <c r="A930" t="s">
        <v>1138</v>
      </c>
      <c r="B930" s="15" t="s">
        <v>1146</v>
      </c>
      <c r="C930" s="15" t="s">
        <v>1149</v>
      </c>
      <c r="D930" t="s">
        <v>1136</v>
      </c>
      <c r="E930" t="s">
        <v>1137</v>
      </c>
      <c r="G930" s="15" t="s">
        <v>153</v>
      </c>
      <c r="H930" s="14" t="s">
        <v>1165</v>
      </c>
      <c r="I930" s="18" t="s">
        <v>1320</v>
      </c>
      <c r="J930">
        <v>32.133333333333297</v>
      </c>
      <c r="K930">
        <v>-50.133333333333297</v>
      </c>
      <c r="L930">
        <v>2320</v>
      </c>
      <c r="M930" t="s">
        <v>1145</v>
      </c>
      <c r="O930">
        <v>2009</v>
      </c>
      <c r="U930" t="s">
        <v>1325</v>
      </c>
      <c r="V930" s="9" t="s">
        <v>1217</v>
      </c>
      <c r="W930">
        <v>120</v>
      </c>
      <c r="X930" s="9" t="s">
        <v>1292</v>
      </c>
      <c r="Z930">
        <v>0</v>
      </c>
      <c r="AA930" t="s">
        <v>1159</v>
      </c>
      <c r="AB930">
        <v>1000</v>
      </c>
      <c r="AC930">
        <v>2</v>
      </c>
      <c r="AD930" t="s">
        <v>1165</v>
      </c>
      <c r="AF930" s="14" t="s">
        <v>153</v>
      </c>
      <c r="AG930" t="s">
        <v>1314</v>
      </c>
      <c r="AH930">
        <v>5</v>
      </c>
      <c r="AI930" t="s">
        <v>1165</v>
      </c>
      <c r="AJ930" s="15" t="s">
        <v>1278</v>
      </c>
      <c r="AK930" s="15">
        <v>1.2999999999999999E-2</v>
      </c>
      <c r="AN930" s="15">
        <v>4</v>
      </c>
      <c r="AO930" s="15">
        <v>100</v>
      </c>
      <c r="AP930" s="15">
        <v>57</v>
      </c>
      <c r="AQ930" s="14" t="s">
        <v>1322</v>
      </c>
      <c r="AR930" s="15" t="s">
        <v>1279</v>
      </c>
    </row>
    <row r="931" spans="1:44" x14ac:dyDescent="0.2">
      <c r="A931" t="s">
        <v>1138</v>
      </c>
      <c r="B931" s="15" t="s">
        <v>1146</v>
      </c>
      <c r="C931" s="15" t="s">
        <v>1149</v>
      </c>
      <c r="D931" t="s">
        <v>1136</v>
      </c>
      <c r="E931" t="s">
        <v>1137</v>
      </c>
      <c r="G931" s="15" t="s">
        <v>153</v>
      </c>
      <c r="H931" s="14" t="s">
        <v>1165</v>
      </c>
      <c r="I931" s="18" t="s">
        <v>1320</v>
      </c>
      <c r="J931">
        <v>32.133333333333297</v>
      </c>
      <c r="K931">
        <v>-50.133333333333297</v>
      </c>
      <c r="L931">
        <v>2320</v>
      </c>
      <c r="M931" t="s">
        <v>1145</v>
      </c>
      <c r="O931">
        <v>2009</v>
      </c>
      <c r="U931" t="s">
        <v>1325</v>
      </c>
      <c r="V931" s="9" t="s">
        <v>1217</v>
      </c>
      <c r="W931">
        <v>120</v>
      </c>
      <c r="X931" s="9" t="s">
        <v>1292</v>
      </c>
      <c r="Z931">
        <v>0</v>
      </c>
      <c r="AA931" t="s">
        <v>1159</v>
      </c>
      <c r="AB931">
        <v>1000</v>
      </c>
      <c r="AC931">
        <v>2</v>
      </c>
      <c r="AD931" t="s">
        <v>1165</v>
      </c>
      <c r="AF931" s="14" t="s">
        <v>153</v>
      </c>
      <c r="AG931" t="s">
        <v>1314</v>
      </c>
      <c r="AH931">
        <v>5</v>
      </c>
      <c r="AI931" t="s">
        <v>1165</v>
      </c>
      <c r="AJ931" s="15" t="s">
        <v>1278</v>
      </c>
      <c r="AK931" s="15">
        <v>0.28899999999999998</v>
      </c>
      <c r="AN931" s="15">
        <v>4</v>
      </c>
      <c r="AO931" s="15">
        <v>100</v>
      </c>
      <c r="AP931" s="15">
        <v>64</v>
      </c>
      <c r="AQ931" s="14" t="s">
        <v>1322</v>
      </c>
      <c r="AR931" s="15" t="s">
        <v>1279</v>
      </c>
    </row>
    <row r="932" spans="1:44" x14ac:dyDescent="0.2">
      <c r="A932" t="s">
        <v>1138</v>
      </c>
      <c r="B932" s="15" t="s">
        <v>1146</v>
      </c>
      <c r="C932" s="15" t="s">
        <v>1149</v>
      </c>
      <c r="D932" t="s">
        <v>1136</v>
      </c>
      <c r="E932" t="s">
        <v>1137</v>
      </c>
      <c r="G932" s="15" t="s">
        <v>153</v>
      </c>
      <c r="H932" s="14" t="s">
        <v>1165</v>
      </c>
      <c r="I932" s="18" t="s">
        <v>1320</v>
      </c>
      <c r="J932">
        <v>32.133333333333297</v>
      </c>
      <c r="K932">
        <v>-50.133333333333297</v>
      </c>
      <c r="L932">
        <v>2320</v>
      </c>
      <c r="M932" t="s">
        <v>1145</v>
      </c>
      <c r="O932">
        <v>2009</v>
      </c>
      <c r="U932" t="s">
        <v>1325</v>
      </c>
      <c r="V932" s="9" t="s">
        <v>1217</v>
      </c>
      <c r="W932">
        <v>120</v>
      </c>
      <c r="X932" s="9" t="s">
        <v>1292</v>
      </c>
      <c r="Z932">
        <v>0</v>
      </c>
      <c r="AA932" t="s">
        <v>1159</v>
      </c>
      <c r="AB932">
        <v>1000</v>
      </c>
      <c r="AC932">
        <v>2</v>
      </c>
      <c r="AD932" t="s">
        <v>1165</v>
      </c>
      <c r="AF932" s="14" t="s">
        <v>153</v>
      </c>
      <c r="AG932" t="s">
        <v>1314</v>
      </c>
      <c r="AH932">
        <v>5</v>
      </c>
      <c r="AI932" t="s">
        <v>1165</v>
      </c>
      <c r="AJ932" s="15" t="s">
        <v>1278</v>
      </c>
      <c r="AK932" s="15">
        <v>0.27400000000000002</v>
      </c>
      <c r="AN932" s="15">
        <v>4</v>
      </c>
      <c r="AO932" s="15">
        <v>100</v>
      </c>
      <c r="AP932" s="15">
        <v>71</v>
      </c>
      <c r="AQ932" s="14" t="s">
        <v>1322</v>
      </c>
      <c r="AR932" s="15" t="s">
        <v>1279</v>
      </c>
    </row>
    <row r="933" spans="1:44" x14ac:dyDescent="0.2">
      <c r="A933" t="s">
        <v>1138</v>
      </c>
      <c r="B933" s="15" t="s">
        <v>1146</v>
      </c>
      <c r="C933" s="15" t="s">
        <v>1149</v>
      </c>
      <c r="D933" t="s">
        <v>1136</v>
      </c>
      <c r="E933" t="s">
        <v>1137</v>
      </c>
      <c r="G933" s="15" t="s">
        <v>153</v>
      </c>
      <c r="H933" s="14" t="s">
        <v>1165</v>
      </c>
      <c r="I933" s="18" t="s">
        <v>1320</v>
      </c>
      <c r="J933">
        <v>32.133333333333297</v>
      </c>
      <c r="K933">
        <v>-50.133333333333297</v>
      </c>
      <c r="L933">
        <v>2320</v>
      </c>
      <c r="M933" t="s">
        <v>1145</v>
      </c>
      <c r="O933">
        <v>2009</v>
      </c>
      <c r="U933" t="s">
        <v>1325</v>
      </c>
      <c r="V933" s="9" t="s">
        <v>1217</v>
      </c>
      <c r="W933">
        <v>120</v>
      </c>
      <c r="X933" s="9" t="s">
        <v>1292</v>
      </c>
      <c r="Z933">
        <v>0</v>
      </c>
      <c r="AA933" t="s">
        <v>1159</v>
      </c>
      <c r="AB933">
        <v>1000</v>
      </c>
      <c r="AC933">
        <v>2</v>
      </c>
      <c r="AD933" t="s">
        <v>1165</v>
      </c>
      <c r="AF933" s="14" t="s">
        <v>153</v>
      </c>
      <c r="AG933" t="s">
        <v>1314</v>
      </c>
      <c r="AH933">
        <v>5</v>
      </c>
      <c r="AI933" t="s">
        <v>1165</v>
      </c>
      <c r="AJ933" s="15" t="s">
        <v>1278</v>
      </c>
      <c r="AK933" s="15">
        <v>0.27800000000000002</v>
      </c>
      <c r="AN933" s="15">
        <v>4</v>
      </c>
      <c r="AO933" s="15">
        <v>100</v>
      </c>
      <c r="AP933" s="15">
        <v>78</v>
      </c>
      <c r="AQ933" s="14" t="s">
        <v>1322</v>
      </c>
      <c r="AR933" s="15" t="s">
        <v>1279</v>
      </c>
    </row>
    <row r="934" spans="1:44" x14ac:dyDescent="0.2">
      <c r="A934" t="s">
        <v>1138</v>
      </c>
      <c r="B934" s="15" t="s">
        <v>1146</v>
      </c>
      <c r="C934" s="15" t="s">
        <v>1149</v>
      </c>
      <c r="D934" t="s">
        <v>1136</v>
      </c>
      <c r="E934" t="s">
        <v>1137</v>
      </c>
      <c r="G934" s="15" t="s">
        <v>153</v>
      </c>
      <c r="H934" s="14" t="s">
        <v>1165</v>
      </c>
      <c r="I934" s="18" t="s">
        <v>1320</v>
      </c>
      <c r="J934">
        <v>32.133333333333297</v>
      </c>
      <c r="K934">
        <v>-50.133333333333297</v>
      </c>
      <c r="L934">
        <v>2320</v>
      </c>
      <c r="M934" t="s">
        <v>1145</v>
      </c>
      <c r="O934">
        <v>2009</v>
      </c>
      <c r="U934" t="s">
        <v>1325</v>
      </c>
      <c r="V934" s="9" t="s">
        <v>1217</v>
      </c>
      <c r="W934">
        <v>120</v>
      </c>
      <c r="X934" s="9" t="s">
        <v>1292</v>
      </c>
      <c r="Z934">
        <v>0</v>
      </c>
      <c r="AA934" t="s">
        <v>1159</v>
      </c>
      <c r="AB934">
        <v>1000</v>
      </c>
      <c r="AC934">
        <v>2</v>
      </c>
      <c r="AD934" t="s">
        <v>1165</v>
      </c>
      <c r="AF934" s="14" t="s">
        <v>153</v>
      </c>
      <c r="AG934" t="s">
        <v>1314</v>
      </c>
      <c r="AH934">
        <v>5</v>
      </c>
      <c r="AI934" t="s">
        <v>1165</v>
      </c>
      <c r="AJ934" s="15" t="s">
        <v>1278</v>
      </c>
      <c r="AK934" s="15">
        <v>0.50700000000000001</v>
      </c>
      <c r="AN934" s="15">
        <v>4</v>
      </c>
      <c r="AO934" s="15">
        <v>100</v>
      </c>
      <c r="AP934" s="15">
        <v>85</v>
      </c>
      <c r="AQ934" s="14" t="s">
        <v>1322</v>
      </c>
      <c r="AR934" s="15" t="s">
        <v>1279</v>
      </c>
    </row>
    <row r="935" spans="1:44" x14ac:dyDescent="0.2">
      <c r="A935" t="s">
        <v>1138</v>
      </c>
      <c r="B935" s="15" t="s">
        <v>1146</v>
      </c>
      <c r="C935" s="15" t="s">
        <v>1149</v>
      </c>
      <c r="D935" t="s">
        <v>1136</v>
      </c>
      <c r="E935" t="s">
        <v>1137</v>
      </c>
      <c r="G935" s="15" t="s">
        <v>153</v>
      </c>
      <c r="H935" s="14" t="s">
        <v>1165</v>
      </c>
      <c r="I935" s="18" t="s">
        <v>1320</v>
      </c>
      <c r="J935">
        <v>32.133333333333297</v>
      </c>
      <c r="K935">
        <v>-50.133333333333297</v>
      </c>
      <c r="L935">
        <v>2320</v>
      </c>
      <c r="M935" t="s">
        <v>1145</v>
      </c>
      <c r="O935">
        <v>2009</v>
      </c>
      <c r="U935" t="s">
        <v>1325</v>
      </c>
      <c r="V935" s="9" t="s">
        <v>1217</v>
      </c>
      <c r="W935">
        <v>120</v>
      </c>
      <c r="X935" s="9" t="s">
        <v>1292</v>
      </c>
      <c r="Z935">
        <v>0</v>
      </c>
      <c r="AA935" t="s">
        <v>1159</v>
      </c>
      <c r="AB935">
        <v>1000</v>
      </c>
      <c r="AC935">
        <v>2</v>
      </c>
      <c r="AD935" t="s">
        <v>1165</v>
      </c>
      <c r="AF935" s="14" t="s">
        <v>153</v>
      </c>
      <c r="AG935" t="s">
        <v>1314</v>
      </c>
      <c r="AH935">
        <v>5</v>
      </c>
      <c r="AI935" t="s">
        <v>1165</v>
      </c>
      <c r="AJ935" s="15" t="s">
        <v>1278</v>
      </c>
      <c r="AK935" s="15">
        <v>0.432</v>
      </c>
      <c r="AN935" s="15">
        <v>4</v>
      </c>
      <c r="AO935" s="15">
        <v>100</v>
      </c>
      <c r="AP935" s="15">
        <v>92</v>
      </c>
      <c r="AQ935" s="14" t="s">
        <v>1322</v>
      </c>
      <c r="AR935" s="15" t="s">
        <v>1279</v>
      </c>
    </row>
    <row r="936" spans="1:44" x14ac:dyDescent="0.2">
      <c r="A936" t="s">
        <v>1138</v>
      </c>
      <c r="B936" s="15" t="s">
        <v>1146</v>
      </c>
      <c r="C936" s="15" t="s">
        <v>1149</v>
      </c>
      <c r="D936" t="s">
        <v>1136</v>
      </c>
      <c r="E936" t="s">
        <v>1137</v>
      </c>
      <c r="G936" s="15" t="s">
        <v>153</v>
      </c>
      <c r="H936" s="14" t="s">
        <v>1165</v>
      </c>
      <c r="I936" s="18" t="s">
        <v>1320</v>
      </c>
      <c r="J936">
        <v>32.133333333333297</v>
      </c>
      <c r="K936">
        <v>-50.133333333333297</v>
      </c>
      <c r="L936">
        <v>2320</v>
      </c>
      <c r="M936" t="s">
        <v>1145</v>
      </c>
      <c r="O936">
        <v>2009</v>
      </c>
      <c r="U936" t="s">
        <v>1325</v>
      </c>
      <c r="V936" s="9" t="s">
        <v>1217</v>
      </c>
      <c r="W936">
        <v>120</v>
      </c>
      <c r="X936" s="9" t="s">
        <v>1292</v>
      </c>
      <c r="Z936">
        <v>0</v>
      </c>
      <c r="AA936" t="s">
        <v>1159</v>
      </c>
      <c r="AB936">
        <v>1000</v>
      </c>
      <c r="AC936">
        <v>2</v>
      </c>
      <c r="AD936" t="s">
        <v>1165</v>
      </c>
      <c r="AF936" s="14" t="s">
        <v>153</v>
      </c>
      <c r="AG936" t="s">
        <v>1314</v>
      </c>
      <c r="AH936">
        <v>5</v>
      </c>
      <c r="AI936" t="s">
        <v>1165</v>
      </c>
      <c r="AJ936" s="15" t="s">
        <v>1278</v>
      </c>
      <c r="AK936" s="15">
        <v>0.14599999999999999</v>
      </c>
      <c r="AN936" s="15">
        <v>4</v>
      </c>
      <c r="AO936" s="15">
        <v>100</v>
      </c>
      <c r="AP936" s="15">
        <v>99</v>
      </c>
      <c r="AQ936" s="14" t="s">
        <v>1322</v>
      </c>
      <c r="AR936" s="15" t="s">
        <v>1279</v>
      </c>
    </row>
    <row r="937" spans="1:44" x14ac:dyDescent="0.2">
      <c r="A937" t="s">
        <v>1138</v>
      </c>
      <c r="B937" s="15" t="s">
        <v>1146</v>
      </c>
      <c r="C937" s="15" t="s">
        <v>1149</v>
      </c>
      <c r="D937" t="s">
        <v>1136</v>
      </c>
      <c r="E937" t="s">
        <v>1137</v>
      </c>
      <c r="G937" s="15" t="s">
        <v>153</v>
      </c>
      <c r="H937" s="14" t="s">
        <v>1165</v>
      </c>
      <c r="I937" s="18" t="s">
        <v>1320</v>
      </c>
      <c r="J937">
        <v>32.133333333333297</v>
      </c>
      <c r="K937">
        <v>-50.133333333333297</v>
      </c>
      <c r="L937">
        <v>2320</v>
      </c>
      <c r="M937" t="s">
        <v>1145</v>
      </c>
      <c r="O937">
        <v>2009</v>
      </c>
      <c r="U937" t="s">
        <v>1325</v>
      </c>
      <c r="V937" s="9" t="s">
        <v>1217</v>
      </c>
      <c r="W937">
        <v>120</v>
      </c>
      <c r="X937" s="9" t="s">
        <v>1292</v>
      </c>
      <c r="Z937">
        <v>0</v>
      </c>
      <c r="AA937" t="s">
        <v>1159</v>
      </c>
      <c r="AB937">
        <v>1000</v>
      </c>
      <c r="AC937">
        <v>2</v>
      </c>
      <c r="AD937" t="s">
        <v>1165</v>
      </c>
      <c r="AF937" s="14" t="s">
        <v>153</v>
      </c>
      <c r="AG937" t="s">
        <v>1314</v>
      </c>
      <c r="AH937">
        <v>5</v>
      </c>
      <c r="AI937" t="s">
        <v>1165</v>
      </c>
      <c r="AJ937" s="15" t="s">
        <v>1278</v>
      </c>
      <c r="AK937" s="15">
        <v>2.1999999999999999E-2</v>
      </c>
      <c r="AN937" s="15">
        <v>4</v>
      </c>
      <c r="AO937" s="15">
        <v>100</v>
      </c>
      <c r="AP937" s="15">
        <v>106</v>
      </c>
      <c r="AQ937" s="14" t="s">
        <v>1322</v>
      </c>
      <c r="AR937" s="15" t="s">
        <v>1279</v>
      </c>
    </row>
    <row r="938" spans="1:44" x14ac:dyDescent="0.2">
      <c r="A938" t="s">
        <v>1138</v>
      </c>
      <c r="B938" s="15" t="s">
        <v>1146</v>
      </c>
      <c r="C938" s="15" t="s">
        <v>1149</v>
      </c>
      <c r="D938" t="s">
        <v>1136</v>
      </c>
      <c r="E938" t="s">
        <v>1137</v>
      </c>
      <c r="G938" s="15" t="s">
        <v>153</v>
      </c>
      <c r="H938" s="14" t="s">
        <v>1165</v>
      </c>
      <c r="I938" s="18" t="s">
        <v>1320</v>
      </c>
      <c r="J938">
        <v>32.133333333333297</v>
      </c>
      <c r="K938">
        <v>-50.133333333333297</v>
      </c>
      <c r="L938">
        <v>2320</v>
      </c>
      <c r="M938" t="s">
        <v>1145</v>
      </c>
      <c r="O938">
        <v>2009</v>
      </c>
      <c r="U938" t="s">
        <v>1325</v>
      </c>
      <c r="V938" s="9" t="s">
        <v>1217</v>
      </c>
      <c r="W938">
        <v>120</v>
      </c>
      <c r="X938" s="9" t="s">
        <v>1292</v>
      </c>
      <c r="Z938">
        <v>0</v>
      </c>
      <c r="AA938" t="s">
        <v>1159</v>
      </c>
      <c r="AB938">
        <v>1000</v>
      </c>
      <c r="AC938">
        <v>2</v>
      </c>
      <c r="AD938" t="s">
        <v>1165</v>
      </c>
      <c r="AF938" s="14" t="s">
        <v>153</v>
      </c>
      <c r="AG938" t="s">
        <v>1314</v>
      </c>
      <c r="AH938">
        <v>5</v>
      </c>
      <c r="AI938" t="s">
        <v>1165</v>
      </c>
      <c r="AJ938" s="15" t="s">
        <v>1278</v>
      </c>
      <c r="AK938" s="15">
        <v>2.5999999999999999E-2</v>
      </c>
      <c r="AN938" s="15">
        <v>4</v>
      </c>
      <c r="AO938" s="15">
        <v>100</v>
      </c>
      <c r="AP938" s="15">
        <v>113</v>
      </c>
      <c r="AQ938" s="14" t="s">
        <v>1322</v>
      </c>
      <c r="AR938" s="15" t="s">
        <v>1279</v>
      </c>
    </row>
    <row r="939" spans="1:44" x14ac:dyDescent="0.2">
      <c r="A939" t="s">
        <v>1138</v>
      </c>
      <c r="B939" s="15" t="s">
        <v>1146</v>
      </c>
      <c r="C939" s="15" t="s">
        <v>1149</v>
      </c>
      <c r="D939" t="s">
        <v>1136</v>
      </c>
      <c r="E939" t="s">
        <v>1137</v>
      </c>
      <c r="G939" s="15" t="s">
        <v>153</v>
      </c>
      <c r="H939" s="14" t="s">
        <v>1165</v>
      </c>
      <c r="I939" s="18" t="s">
        <v>1320</v>
      </c>
      <c r="J939">
        <v>32.133333333333297</v>
      </c>
      <c r="K939">
        <v>-50.133333333333297</v>
      </c>
      <c r="L939">
        <v>2320</v>
      </c>
      <c r="M939" t="s">
        <v>1145</v>
      </c>
      <c r="O939">
        <v>2009</v>
      </c>
      <c r="U939" t="s">
        <v>1325</v>
      </c>
      <c r="V939" s="9" t="s">
        <v>1217</v>
      </c>
      <c r="W939">
        <v>120</v>
      </c>
      <c r="X939" s="9" t="s">
        <v>1292</v>
      </c>
      <c r="Z939">
        <v>0</v>
      </c>
      <c r="AA939" t="s">
        <v>1159</v>
      </c>
      <c r="AB939">
        <v>1000</v>
      </c>
      <c r="AC939">
        <v>2</v>
      </c>
      <c r="AD939" t="s">
        <v>1165</v>
      </c>
      <c r="AF939" s="14" t="s">
        <v>153</v>
      </c>
      <c r="AG939" t="s">
        <v>1314</v>
      </c>
      <c r="AH939">
        <v>5</v>
      </c>
      <c r="AI939" t="s">
        <v>1165</v>
      </c>
      <c r="AJ939" s="15" t="s">
        <v>1278</v>
      </c>
      <c r="AK939" s="15">
        <v>1.0999999999999999E-2</v>
      </c>
      <c r="AN939" s="15">
        <v>4</v>
      </c>
      <c r="AO939" s="15">
        <v>100</v>
      </c>
      <c r="AP939" s="15">
        <v>120</v>
      </c>
      <c r="AQ939" s="14" t="s">
        <v>1322</v>
      </c>
      <c r="AR939" s="15" t="s">
        <v>1279</v>
      </c>
    </row>
    <row r="940" spans="1:44" x14ac:dyDescent="0.2">
      <c r="A940" t="s">
        <v>1138</v>
      </c>
      <c r="B940" s="15" t="s">
        <v>1146</v>
      </c>
      <c r="C940" s="15" t="s">
        <v>1149</v>
      </c>
      <c r="D940" t="s">
        <v>1136</v>
      </c>
      <c r="E940" t="s">
        <v>1137</v>
      </c>
      <c r="G940" s="15" t="s">
        <v>153</v>
      </c>
      <c r="H940" s="14" t="s">
        <v>1165</v>
      </c>
      <c r="I940" s="18" t="s">
        <v>1320</v>
      </c>
      <c r="J940">
        <v>32.133333333333297</v>
      </c>
      <c r="K940">
        <v>-50.133333333333297</v>
      </c>
      <c r="L940">
        <v>2320</v>
      </c>
      <c r="M940" t="s">
        <v>1145</v>
      </c>
      <c r="O940">
        <v>2009</v>
      </c>
      <c r="U940" t="s">
        <v>1325</v>
      </c>
      <c r="V940" s="9" t="s">
        <v>1217</v>
      </c>
      <c r="W940">
        <v>120</v>
      </c>
      <c r="X940" s="9" t="s">
        <v>1292</v>
      </c>
      <c r="Z940">
        <v>0</v>
      </c>
      <c r="AA940" t="s">
        <v>1159</v>
      </c>
      <c r="AB940">
        <v>1500</v>
      </c>
      <c r="AC940">
        <v>2</v>
      </c>
      <c r="AD940" t="s">
        <v>1165</v>
      </c>
      <c r="AF940" s="14" t="s">
        <v>153</v>
      </c>
      <c r="AG940" t="s">
        <v>1314</v>
      </c>
      <c r="AH940">
        <v>5</v>
      </c>
      <c r="AI940" t="s">
        <v>1165</v>
      </c>
      <c r="AJ940" s="15" t="s">
        <v>1278</v>
      </c>
      <c r="AK940" s="15">
        <v>0</v>
      </c>
      <c r="AN940" s="15">
        <v>4</v>
      </c>
      <c r="AO940" s="15">
        <v>100</v>
      </c>
      <c r="AP940" s="15">
        <v>1</v>
      </c>
      <c r="AQ940" s="14" t="s">
        <v>1322</v>
      </c>
      <c r="AR940" s="15" t="s">
        <v>1279</v>
      </c>
    </row>
    <row r="941" spans="1:44" x14ac:dyDescent="0.2">
      <c r="A941" t="s">
        <v>1138</v>
      </c>
      <c r="B941" s="15" t="s">
        <v>1146</v>
      </c>
      <c r="C941" s="15" t="s">
        <v>1149</v>
      </c>
      <c r="D941" t="s">
        <v>1136</v>
      </c>
      <c r="E941" t="s">
        <v>1137</v>
      </c>
      <c r="G941" s="15" t="s">
        <v>153</v>
      </c>
      <c r="H941" s="14" t="s">
        <v>1165</v>
      </c>
      <c r="I941" s="18" t="s">
        <v>1320</v>
      </c>
      <c r="J941">
        <v>32.133333333333297</v>
      </c>
      <c r="K941">
        <v>-50.133333333333297</v>
      </c>
      <c r="L941">
        <v>2320</v>
      </c>
      <c r="M941" t="s">
        <v>1145</v>
      </c>
      <c r="O941">
        <v>2009</v>
      </c>
      <c r="U941" t="s">
        <v>1325</v>
      </c>
      <c r="V941" s="9" t="s">
        <v>1217</v>
      </c>
      <c r="W941">
        <v>120</v>
      </c>
      <c r="X941" s="9" t="s">
        <v>1292</v>
      </c>
      <c r="Z941">
        <v>0</v>
      </c>
      <c r="AA941" t="s">
        <v>1159</v>
      </c>
      <c r="AB941">
        <v>1500</v>
      </c>
      <c r="AC941">
        <v>2</v>
      </c>
      <c r="AD941" t="s">
        <v>1165</v>
      </c>
      <c r="AF941" s="14" t="s">
        <v>153</v>
      </c>
      <c r="AG941" t="s">
        <v>1314</v>
      </c>
      <c r="AH941">
        <v>5</v>
      </c>
      <c r="AI941" t="s">
        <v>1165</v>
      </c>
      <c r="AJ941" s="15" t="s">
        <v>1278</v>
      </c>
      <c r="AK941" s="15">
        <v>0</v>
      </c>
      <c r="AN941" s="15">
        <v>4</v>
      </c>
      <c r="AO941" s="15">
        <v>100</v>
      </c>
      <c r="AP941" s="15">
        <v>8</v>
      </c>
      <c r="AQ941" s="14" t="s">
        <v>1322</v>
      </c>
      <c r="AR941" s="15" t="s">
        <v>1279</v>
      </c>
    </row>
    <row r="942" spans="1:44" x14ac:dyDescent="0.2">
      <c r="A942" t="s">
        <v>1138</v>
      </c>
      <c r="B942" s="15" t="s">
        <v>1146</v>
      </c>
      <c r="C942" s="15" t="s">
        <v>1149</v>
      </c>
      <c r="D942" t="s">
        <v>1136</v>
      </c>
      <c r="E942" t="s">
        <v>1137</v>
      </c>
      <c r="G942" s="15" t="s">
        <v>153</v>
      </c>
      <c r="H942" s="14" t="s">
        <v>1165</v>
      </c>
      <c r="I942" s="18" t="s">
        <v>1320</v>
      </c>
      <c r="J942">
        <v>32.133333333333297</v>
      </c>
      <c r="K942">
        <v>-50.133333333333297</v>
      </c>
      <c r="L942">
        <v>2320</v>
      </c>
      <c r="M942" t="s">
        <v>1145</v>
      </c>
      <c r="O942">
        <v>2009</v>
      </c>
      <c r="U942" t="s">
        <v>1325</v>
      </c>
      <c r="V942" s="9" t="s">
        <v>1217</v>
      </c>
      <c r="W942">
        <v>120</v>
      </c>
      <c r="X942" s="9" t="s">
        <v>1292</v>
      </c>
      <c r="Z942">
        <v>0</v>
      </c>
      <c r="AA942" t="s">
        <v>1159</v>
      </c>
      <c r="AB942">
        <v>1500</v>
      </c>
      <c r="AC942">
        <v>2</v>
      </c>
      <c r="AD942" t="s">
        <v>1165</v>
      </c>
      <c r="AF942" s="14" t="s">
        <v>153</v>
      </c>
      <c r="AG942" t="s">
        <v>1314</v>
      </c>
      <c r="AH942">
        <v>5</v>
      </c>
      <c r="AI942" t="s">
        <v>1165</v>
      </c>
      <c r="AJ942" s="15" t="s">
        <v>1278</v>
      </c>
      <c r="AK942" s="15">
        <v>0</v>
      </c>
      <c r="AN942" s="15">
        <v>4</v>
      </c>
      <c r="AO942" s="15">
        <v>100</v>
      </c>
      <c r="AP942" s="15">
        <v>15</v>
      </c>
      <c r="AQ942" s="14" t="s">
        <v>1322</v>
      </c>
      <c r="AR942" s="15" t="s">
        <v>1279</v>
      </c>
    </row>
    <row r="943" spans="1:44" x14ac:dyDescent="0.2">
      <c r="A943" t="s">
        <v>1138</v>
      </c>
      <c r="B943" s="15" t="s">
        <v>1146</v>
      </c>
      <c r="C943" s="15" t="s">
        <v>1149</v>
      </c>
      <c r="D943" t="s">
        <v>1136</v>
      </c>
      <c r="E943" t="s">
        <v>1137</v>
      </c>
      <c r="G943" s="15" t="s">
        <v>153</v>
      </c>
      <c r="H943" s="14" t="s">
        <v>1165</v>
      </c>
      <c r="I943" s="18" t="s">
        <v>1320</v>
      </c>
      <c r="J943">
        <v>32.133333333333297</v>
      </c>
      <c r="K943">
        <v>-50.133333333333297</v>
      </c>
      <c r="L943">
        <v>2320</v>
      </c>
      <c r="M943" t="s">
        <v>1145</v>
      </c>
      <c r="O943">
        <v>2009</v>
      </c>
      <c r="U943" t="s">
        <v>1325</v>
      </c>
      <c r="V943" s="9" t="s">
        <v>1217</v>
      </c>
      <c r="W943">
        <v>120</v>
      </c>
      <c r="X943" s="9" t="s">
        <v>1292</v>
      </c>
      <c r="Z943">
        <v>0</v>
      </c>
      <c r="AA943" t="s">
        <v>1159</v>
      </c>
      <c r="AB943">
        <v>1500</v>
      </c>
      <c r="AC943">
        <v>2</v>
      </c>
      <c r="AD943" t="s">
        <v>1165</v>
      </c>
      <c r="AF943" s="14" t="s">
        <v>153</v>
      </c>
      <c r="AG943" t="s">
        <v>1314</v>
      </c>
      <c r="AH943">
        <v>5</v>
      </c>
      <c r="AI943" t="s">
        <v>1165</v>
      </c>
      <c r="AJ943" s="15" t="s">
        <v>1278</v>
      </c>
      <c r="AK943" s="15">
        <v>0</v>
      </c>
      <c r="AN943" s="15">
        <v>4</v>
      </c>
      <c r="AO943" s="15">
        <v>100</v>
      </c>
      <c r="AP943" s="15">
        <v>22</v>
      </c>
      <c r="AQ943" s="14" t="s">
        <v>1322</v>
      </c>
      <c r="AR943" s="15" t="s">
        <v>1279</v>
      </c>
    </row>
    <row r="944" spans="1:44" x14ac:dyDescent="0.2">
      <c r="A944" t="s">
        <v>1138</v>
      </c>
      <c r="B944" s="15" t="s">
        <v>1146</v>
      </c>
      <c r="C944" s="15" t="s">
        <v>1149</v>
      </c>
      <c r="D944" t="s">
        <v>1136</v>
      </c>
      <c r="E944" t="s">
        <v>1137</v>
      </c>
      <c r="G944" s="15" t="s">
        <v>153</v>
      </c>
      <c r="H944" s="14" t="s">
        <v>1165</v>
      </c>
      <c r="I944" s="18" t="s">
        <v>1320</v>
      </c>
      <c r="J944">
        <v>32.133333333333297</v>
      </c>
      <c r="K944">
        <v>-50.133333333333297</v>
      </c>
      <c r="L944">
        <v>2320</v>
      </c>
      <c r="M944" t="s">
        <v>1145</v>
      </c>
      <c r="O944">
        <v>2009</v>
      </c>
      <c r="U944" t="s">
        <v>1325</v>
      </c>
      <c r="V944" s="9" t="s">
        <v>1217</v>
      </c>
      <c r="W944">
        <v>120</v>
      </c>
      <c r="X944" s="9" t="s">
        <v>1292</v>
      </c>
      <c r="Z944">
        <v>0</v>
      </c>
      <c r="AA944" t="s">
        <v>1159</v>
      </c>
      <c r="AB944">
        <v>1500</v>
      </c>
      <c r="AC944">
        <v>2</v>
      </c>
      <c r="AD944" t="s">
        <v>1165</v>
      </c>
      <c r="AF944" s="14" t="s">
        <v>153</v>
      </c>
      <c r="AG944" t="s">
        <v>1314</v>
      </c>
      <c r="AH944">
        <v>5</v>
      </c>
      <c r="AI944" t="s">
        <v>1165</v>
      </c>
      <c r="AJ944" s="15" t="s">
        <v>1278</v>
      </c>
      <c r="AK944" s="15">
        <v>0</v>
      </c>
      <c r="AN944" s="15">
        <v>4</v>
      </c>
      <c r="AO944" s="15">
        <v>100</v>
      </c>
      <c r="AP944" s="15">
        <v>29</v>
      </c>
      <c r="AQ944" s="14" t="s">
        <v>1322</v>
      </c>
      <c r="AR944" s="15" t="s">
        <v>1279</v>
      </c>
    </row>
    <row r="945" spans="1:45" x14ac:dyDescent="0.2">
      <c r="A945" t="s">
        <v>1138</v>
      </c>
      <c r="B945" s="15" t="s">
        <v>1146</v>
      </c>
      <c r="C945" s="15" t="s">
        <v>1149</v>
      </c>
      <c r="D945" t="s">
        <v>1136</v>
      </c>
      <c r="E945" t="s">
        <v>1137</v>
      </c>
      <c r="G945" s="15" t="s">
        <v>153</v>
      </c>
      <c r="H945" s="14" t="s">
        <v>1165</v>
      </c>
      <c r="I945" s="18" t="s">
        <v>1320</v>
      </c>
      <c r="J945">
        <v>32.133333333333297</v>
      </c>
      <c r="K945">
        <v>-50.133333333333297</v>
      </c>
      <c r="L945">
        <v>2320</v>
      </c>
      <c r="M945" t="s">
        <v>1145</v>
      </c>
      <c r="O945">
        <v>2009</v>
      </c>
      <c r="U945" t="s">
        <v>1325</v>
      </c>
      <c r="V945" s="9" t="s">
        <v>1217</v>
      </c>
      <c r="W945">
        <v>120</v>
      </c>
      <c r="X945" s="9" t="s">
        <v>1292</v>
      </c>
      <c r="Z945">
        <v>0</v>
      </c>
      <c r="AA945" t="s">
        <v>1159</v>
      </c>
      <c r="AB945">
        <v>1500</v>
      </c>
      <c r="AC945">
        <v>2</v>
      </c>
      <c r="AD945" t="s">
        <v>1165</v>
      </c>
      <c r="AF945" s="14" t="s">
        <v>153</v>
      </c>
      <c r="AG945" t="s">
        <v>1314</v>
      </c>
      <c r="AH945">
        <v>5</v>
      </c>
      <c r="AI945" t="s">
        <v>1165</v>
      </c>
      <c r="AJ945" s="15" t="s">
        <v>1278</v>
      </c>
      <c r="AK945" s="15">
        <v>0</v>
      </c>
      <c r="AN945" s="15">
        <v>4</v>
      </c>
      <c r="AO945" s="15">
        <v>100</v>
      </c>
      <c r="AP945" s="15">
        <v>36</v>
      </c>
      <c r="AQ945" s="14" t="s">
        <v>1322</v>
      </c>
      <c r="AR945" s="15" t="s">
        <v>1279</v>
      </c>
    </row>
    <row r="946" spans="1:45" x14ac:dyDescent="0.2">
      <c r="A946" t="s">
        <v>1138</v>
      </c>
      <c r="B946" s="15" t="s">
        <v>1146</v>
      </c>
      <c r="C946" s="15" t="s">
        <v>1149</v>
      </c>
      <c r="D946" t="s">
        <v>1136</v>
      </c>
      <c r="E946" t="s">
        <v>1137</v>
      </c>
      <c r="G946" s="15" t="s">
        <v>153</v>
      </c>
      <c r="H946" s="14" t="s">
        <v>1165</v>
      </c>
      <c r="I946" s="18" t="s">
        <v>1320</v>
      </c>
      <c r="J946">
        <v>32.133333333333297</v>
      </c>
      <c r="K946">
        <v>-50.133333333333297</v>
      </c>
      <c r="L946">
        <v>2320</v>
      </c>
      <c r="M946" t="s">
        <v>1145</v>
      </c>
      <c r="O946">
        <v>2009</v>
      </c>
      <c r="U946" t="s">
        <v>1325</v>
      </c>
      <c r="V946" s="9" t="s">
        <v>1217</v>
      </c>
      <c r="W946">
        <v>120</v>
      </c>
      <c r="X946" s="9" t="s">
        <v>1292</v>
      </c>
      <c r="Z946">
        <v>0</v>
      </c>
      <c r="AA946" t="s">
        <v>1159</v>
      </c>
      <c r="AB946">
        <v>1500</v>
      </c>
      <c r="AC946">
        <v>2</v>
      </c>
      <c r="AD946" t="s">
        <v>1165</v>
      </c>
      <c r="AF946" s="14" t="s">
        <v>153</v>
      </c>
      <c r="AG946" t="s">
        <v>1314</v>
      </c>
      <c r="AH946">
        <v>5</v>
      </c>
      <c r="AI946" t="s">
        <v>1165</v>
      </c>
      <c r="AJ946" s="15" t="s">
        <v>1278</v>
      </c>
      <c r="AK946" s="15">
        <v>0</v>
      </c>
      <c r="AN946" s="15">
        <v>4</v>
      </c>
      <c r="AO946" s="15">
        <v>100</v>
      </c>
      <c r="AP946" s="15">
        <v>43</v>
      </c>
      <c r="AQ946" s="14" t="s">
        <v>1322</v>
      </c>
      <c r="AR946" s="15" t="s">
        <v>1279</v>
      </c>
    </row>
    <row r="947" spans="1:45" x14ac:dyDescent="0.2">
      <c r="A947" t="s">
        <v>1138</v>
      </c>
      <c r="B947" s="15" t="s">
        <v>1146</v>
      </c>
      <c r="C947" s="15" t="s">
        <v>1149</v>
      </c>
      <c r="D947" t="s">
        <v>1136</v>
      </c>
      <c r="E947" t="s">
        <v>1137</v>
      </c>
      <c r="G947" s="15" t="s">
        <v>153</v>
      </c>
      <c r="H947" s="14" t="s">
        <v>1165</v>
      </c>
      <c r="I947" s="18" t="s">
        <v>1320</v>
      </c>
      <c r="J947">
        <v>32.133333333333297</v>
      </c>
      <c r="K947">
        <v>-50.133333333333297</v>
      </c>
      <c r="L947">
        <v>2320</v>
      </c>
      <c r="M947" t="s">
        <v>1145</v>
      </c>
      <c r="O947">
        <v>2009</v>
      </c>
      <c r="U947" t="s">
        <v>1325</v>
      </c>
      <c r="V947" s="9" t="s">
        <v>1217</v>
      </c>
      <c r="W947">
        <v>120</v>
      </c>
      <c r="X947" s="9" t="s">
        <v>1292</v>
      </c>
      <c r="Z947">
        <v>0</v>
      </c>
      <c r="AA947" t="s">
        <v>1159</v>
      </c>
      <c r="AB947">
        <v>1500</v>
      </c>
      <c r="AC947">
        <v>2</v>
      </c>
      <c r="AD947" t="s">
        <v>1165</v>
      </c>
      <c r="AF947" s="14" t="s">
        <v>153</v>
      </c>
      <c r="AG947" t="s">
        <v>1314</v>
      </c>
      <c r="AH947">
        <v>5</v>
      </c>
      <c r="AI947" t="s">
        <v>1165</v>
      </c>
      <c r="AJ947" s="15" t="s">
        <v>1278</v>
      </c>
      <c r="AK947" s="15">
        <v>0</v>
      </c>
      <c r="AN947" s="15">
        <v>4</v>
      </c>
      <c r="AO947" s="15">
        <v>100</v>
      </c>
      <c r="AP947" s="15">
        <v>50</v>
      </c>
      <c r="AQ947" s="14" t="s">
        <v>1322</v>
      </c>
      <c r="AR947" s="15" t="s">
        <v>1279</v>
      </c>
    </row>
    <row r="948" spans="1:45" x14ac:dyDescent="0.2">
      <c r="A948" t="s">
        <v>1138</v>
      </c>
      <c r="B948" s="15" t="s">
        <v>1146</v>
      </c>
      <c r="C948" s="15" t="s">
        <v>1149</v>
      </c>
      <c r="D948" t="s">
        <v>1136</v>
      </c>
      <c r="E948" t="s">
        <v>1137</v>
      </c>
      <c r="G948" s="15" t="s">
        <v>153</v>
      </c>
      <c r="H948" s="14" t="s">
        <v>1165</v>
      </c>
      <c r="I948" s="18" t="s">
        <v>1320</v>
      </c>
      <c r="J948">
        <v>32.133333333333297</v>
      </c>
      <c r="K948">
        <v>-50.133333333333297</v>
      </c>
      <c r="L948">
        <v>2320</v>
      </c>
      <c r="M948" t="s">
        <v>1145</v>
      </c>
      <c r="O948">
        <v>2009</v>
      </c>
      <c r="U948" t="s">
        <v>1325</v>
      </c>
      <c r="V948" s="9" t="s">
        <v>1217</v>
      </c>
      <c r="W948">
        <v>120</v>
      </c>
      <c r="X948" s="9" t="s">
        <v>1292</v>
      </c>
      <c r="Z948">
        <v>0</v>
      </c>
      <c r="AA948" t="s">
        <v>1159</v>
      </c>
      <c r="AB948">
        <v>1500</v>
      </c>
      <c r="AC948">
        <v>2</v>
      </c>
      <c r="AD948" t="s">
        <v>1165</v>
      </c>
      <c r="AF948" s="14" t="s">
        <v>153</v>
      </c>
      <c r="AG948" t="s">
        <v>1314</v>
      </c>
      <c r="AH948">
        <v>5</v>
      </c>
      <c r="AI948" t="s">
        <v>1165</v>
      </c>
      <c r="AJ948" s="15" t="s">
        <v>1278</v>
      </c>
      <c r="AK948" s="15">
        <v>0</v>
      </c>
      <c r="AN948" s="15">
        <v>4</v>
      </c>
      <c r="AO948" s="15">
        <v>100</v>
      </c>
      <c r="AP948" s="15">
        <v>57</v>
      </c>
      <c r="AQ948" s="14" t="s">
        <v>1322</v>
      </c>
      <c r="AR948" s="15" t="s">
        <v>1279</v>
      </c>
    </row>
    <row r="949" spans="1:45" x14ac:dyDescent="0.2">
      <c r="A949" t="s">
        <v>1138</v>
      </c>
      <c r="B949" s="15" t="s">
        <v>1146</v>
      </c>
      <c r="C949" s="15" t="s">
        <v>1149</v>
      </c>
      <c r="D949" t="s">
        <v>1136</v>
      </c>
      <c r="E949" t="s">
        <v>1137</v>
      </c>
      <c r="G949" s="15" t="s">
        <v>153</v>
      </c>
      <c r="H949" s="14" t="s">
        <v>1165</v>
      </c>
      <c r="I949" s="18" t="s">
        <v>1320</v>
      </c>
      <c r="J949">
        <v>32.133333333333297</v>
      </c>
      <c r="K949">
        <v>-50.133333333333297</v>
      </c>
      <c r="L949">
        <v>2320</v>
      </c>
      <c r="M949" t="s">
        <v>1145</v>
      </c>
      <c r="O949">
        <v>2009</v>
      </c>
      <c r="U949" t="s">
        <v>1325</v>
      </c>
      <c r="V949" s="9" t="s">
        <v>1217</v>
      </c>
      <c r="W949">
        <v>120</v>
      </c>
      <c r="X949" s="9" t="s">
        <v>1292</v>
      </c>
      <c r="Z949">
        <v>0</v>
      </c>
      <c r="AA949" t="s">
        <v>1159</v>
      </c>
      <c r="AB949">
        <v>1500</v>
      </c>
      <c r="AC949">
        <v>2</v>
      </c>
      <c r="AD949" t="s">
        <v>1165</v>
      </c>
      <c r="AF949" s="14" t="s">
        <v>153</v>
      </c>
      <c r="AG949" t="s">
        <v>1314</v>
      </c>
      <c r="AH949">
        <v>5</v>
      </c>
      <c r="AI949" t="s">
        <v>1165</v>
      </c>
      <c r="AJ949" s="15" t="s">
        <v>1278</v>
      </c>
      <c r="AK949" s="15">
        <v>0.25900000000000001</v>
      </c>
      <c r="AN949" s="15">
        <v>4</v>
      </c>
      <c r="AO949" s="15">
        <v>100</v>
      </c>
      <c r="AP949" s="15">
        <v>64</v>
      </c>
      <c r="AQ949" s="14" t="s">
        <v>1322</v>
      </c>
      <c r="AR949" s="15" t="s">
        <v>1279</v>
      </c>
    </row>
    <row r="950" spans="1:45" x14ac:dyDescent="0.2">
      <c r="A950" t="s">
        <v>1138</v>
      </c>
      <c r="B950" s="15" t="s">
        <v>1146</v>
      </c>
      <c r="C950" s="15" t="s">
        <v>1149</v>
      </c>
      <c r="D950" t="s">
        <v>1136</v>
      </c>
      <c r="E950" t="s">
        <v>1137</v>
      </c>
      <c r="G950" s="15" t="s">
        <v>153</v>
      </c>
      <c r="H950" s="14" t="s">
        <v>1165</v>
      </c>
      <c r="I950" s="18" t="s">
        <v>1320</v>
      </c>
      <c r="J950">
        <v>32.133333333333297</v>
      </c>
      <c r="K950">
        <v>-50.133333333333297</v>
      </c>
      <c r="L950">
        <v>2320</v>
      </c>
      <c r="M950" t="s">
        <v>1145</v>
      </c>
      <c r="O950">
        <v>2009</v>
      </c>
      <c r="U950" t="s">
        <v>1325</v>
      </c>
      <c r="V950" s="9" t="s">
        <v>1217</v>
      </c>
      <c r="W950">
        <v>120</v>
      </c>
      <c r="X950" s="9" t="s">
        <v>1292</v>
      </c>
      <c r="Z950">
        <v>0</v>
      </c>
      <c r="AA950" t="s">
        <v>1159</v>
      </c>
      <c r="AB950">
        <v>1500</v>
      </c>
      <c r="AC950">
        <v>2</v>
      </c>
      <c r="AD950" t="s">
        <v>1165</v>
      </c>
      <c r="AF950" s="14" t="s">
        <v>153</v>
      </c>
      <c r="AG950" t="s">
        <v>1314</v>
      </c>
      <c r="AH950">
        <v>5</v>
      </c>
      <c r="AI950" t="s">
        <v>1165</v>
      </c>
      <c r="AJ950" s="15" t="s">
        <v>1278</v>
      </c>
      <c r="AK950" s="15">
        <v>0.27900000000000003</v>
      </c>
      <c r="AN950" s="15">
        <v>4</v>
      </c>
      <c r="AO950" s="15">
        <v>100</v>
      </c>
      <c r="AP950" s="15">
        <v>71</v>
      </c>
      <c r="AQ950" s="14" t="s">
        <v>1322</v>
      </c>
      <c r="AR950" s="15" t="s">
        <v>1279</v>
      </c>
    </row>
    <row r="951" spans="1:45" x14ac:dyDescent="0.2">
      <c r="A951" t="s">
        <v>1138</v>
      </c>
      <c r="B951" s="15" t="s">
        <v>1146</v>
      </c>
      <c r="C951" s="15" t="s">
        <v>1149</v>
      </c>
      <c r="D951" t="s">
        <v>1136</v>
      </c>
      <c r="E951" t="s">
        <v>1137</v>
      </c>
      <c r="G951" s="15" t="s">
        <v>153</v>
      </c>
      <c r="H951" s="14" t="s">
        <v>1165</v>
      </c>
      <c r="I951" s="18" t="s">
        <v>1320</v>
      </c>
      <c r="J951">
        <v>32.133333333333297</v>
      </c>
      <c r="K951">
        <v>-50.133333333333297</v>
      </c>
      <c r="L951">
        <v>2320</v>
      </c>
      <c r="M951" t="s">
        <v>1145</v>
      </c>
      <c r="O951">
        <v>2009</v>
      </c>
      <c r="U951" t="s">
        <v>1325</v>
      </c>
      <c r="V951" s="9" t="s">
        <v>1217</v>
      </c>
      <c r="W951">
        <v>120</v>
      </c>
      <c r="X951" s="9" t="s">
        <v>1292</v>
      </c>
      <c r="Z951">
        <v>0</v>
      </c>
      <c r="AA951" t="s">
        <v>1159</v>
      </c>
      <c r="AB951">
        <v>1500</v>
      </c>
      <c r="AC951">
        <v>2</v>
      </c>
      <c r="AD951" t="s">
        <v>1165</v>
      </c>
      <c r="AF951" s="14" t="s">
        <v>153</v>
      </c>
      <c r="AG951" t="s">
        <v>1314</v>
      </c>
      <c r="AH951">
        <v>5</v>
      </c>
      <c r="AI951" t="s">
        <v>1165</v>
      </c>
      <c r="AJ951" s="15" t="s">
        <v>1278</v>
      </c>
      <c r="AK951" s="15">
        <v>0.26200000000000001</v>
      </c>
      <c r="AN951" s="15">
        <v>4</v>
      </c>
      <c r="AO951" s="15">
        <v>100</v>
      </c>
      <c r="AP951" s="15">
        <v>78</v>
      </c>
      <c r="AQ951" s="14" t="s">
        <v>1322</v>
      </c>
      <c r="AR951" s="15" t="s">
        <v>1279</v>
      </c>
    </row>
    <row r="952" spans="1:45" x14ac:dyDescent="0.2">
      <c r="A952" t="s">
        <v>1138</v>
      </c>
      <c r="B952" s="15" t="s">
        <v>1146</v>
      </c>
      <c r="C952" s="15" t="s">
        <v>1149</v>
      </c>
      <c r="D952" t="s">
        <v>1136</v>
      </c>
      <c r="E952" t="s">
        <v>1137</v>
      </c>
      <c r="G952" s="15" t="s">
        <v>153</v>
      </c>
      <c r="H952" s="14" t="s">
        <v>1165</v>
      </c>
      <c r="I952" s="18" t="s">
        <v>1320</v>
      </c>
      <c r="J952">
        <v>32.133333333333297</v>
      </c>
      <c r="K952">
        <v>-50.133333333333297</v>
      </c>
      <c r="L952">
        <v>2320</v>
      </c>
      <c r="M952" t="s">
        <v>1145</v>
      </c>
      <c r="O952">
        <v>2009</v>
      </c>
      <c r="U952" t="s">
        <v>1325</v>
      </c>
      <c r="V952" s="9" t="s">
        <v>1217</v>
      </c>
      <c r="W952">
        <v>120</v>
      </c>
      <c r="X952" s="9" t="s">
        <v>1292</v>
      </c>
      <c r="Z952">
        <v>0</v>
      </c>
      <c r="AA952" t="s">
        <v>1159</v>
      </c>
      <c r="AB952">
        <v>1500</v>
      </c>
      <c r="AC952">
        <v>2</v>
      </c>
      <c r="AD952" t="s">
        <v>1165</v>
      </c>
      <c r="AF952" s="14" t="s">
        <v>153</v>
      </c>
      <c r="AG952" t="s">
        <v>1314</v>
      </c>
      <c r="AH952">
        <v>5</v>
      </c>
      <c r="AI952" t="s">
        <v>1165</v>
      </c>
      <c r="AJ952" s="15" t="s">
        <v>1278</v>
      </c>
      <c r="AK952" s="15">
        <v>0.68700000000000006</v>
      </c>
      <c r="AN952" s="15">
        <v>4</v>
      </c>
      <c r="AO952" s="15">
        <v>100</v>
      </c>
      <c r="AP952" s="15">
        <v>85</v>
      </c>
      <c r="AQ952" s="14" t="s">
        <v>1322</v>
      </c>
      <c r="AR952" s="15" t="s">
        <v>1279</v>
      </c>
    </row>
    <row r="953" spans="1:45" x14ac:dyDescent="0.2">
      <c r="A953" t="s">
        <v>1138</v>
      </c>
      <c r="B953" s="15" t="s">
        <v>1146</v>
      </c>
      <c r="C953" s="15" t="s">
        <v>1149</v>
      </c>
      <c r="D953" t="s">
        <v>1136</v>
      </c>
      <c r="E953" t="s">
        <v>1137</v>
      </c>
      <c r="G953" s="15" t="s">
        <v>153</v>
      </c>
      <c r="H953" s="14" t="s">
        <v>1165</v>
      </c>
      <c r="I953" s="18" t="s">
        <v>1320</v>
      </c>
      <c r="J953">
        <v>32.133333333333297</v>
      </c>
      <c r="K953">
        <v>-50.133333333333297</v>
      </c>
      <c r="L953">
        <v>2320</v>
      </c>
      <c r="M953" t="s">
        <v>1145</v>
      </c>
      <c r="O953">
        <v>2009</v>
      </c>
      <c r="U953" t="s">
        <v>1325</v>
      </c>
      <c r="V953" s="9" t="s">
        <v>1217</v>
      </c>
      <c r="W953">
        <v>120</v>
      </c>
      <c r="X953" s="9" t="s">
        <v>1292</v>
      </c>
      <c r="Z953">
        <v>0</v>
      </c>
      <c r="AA953" t="s">
        <v>1159</v>
      </c>
      <c r="AB953">
        <v>1500</v>
      </c>
      <c r="AC953">
        <v>2</v>
      </c>
      <c r="AD953" t="s">
        <v>1165</v>
      </c>
      <c r="AF953" s="14" t="s">
        <v>153</v>
      </c>
      <c r="AG953" t="s">
        <v>1314</v>
      </c>
      <c r="AH953">
        <v>5</v>
      </c>
      <c r="AI953" t="s">
        <v>1165</v>
      </c>
      <c r="AJ953" s="15" t="s">
        <v>1278</v>
      </c>
      <c r="AK953" s="15">
        <v>0.25600000000000001</v>
      </c>
      <c r="AN953" s="15">
        <v>4</v>
      </c>
      <c r="AO953" s="15">
        <v>100</v>
      </c>
      <c r="AP953" s="15">
        <v>92</v>
      </c>
      <c r="AQ953" s="14" t="s">
        <v>1322</v>
      </c>
      <c r="AR953" s="15" t="s">
        <v>1279</v>
      </c>
    </row>
    <row r="954" spans="1:45" x14ac:dyDescent="0.2">
      <c r="A954" t="s">
        <v>1138</v>
      </c>
      <c r="B954" s="15" t="s">
        <v>1146</v>
      </c>
      <c r="C954" s="15" t="s">
        <v>1149</v>
      </c>
      <c r="D954" t="s">
        <v>1136</v>
      </c>
      <c r="E954" t="s">
        <v>1137</v>
      </c>
      <c r="G954" s="15" t="s">
        <v>153</v>
      </c>
      <c r="H954" s="14" t="s">
        <v>1165</v>
      </c>
      <c r="I954" s="18" t="s">
        <v>1320</v>
      </c>
      <c r="J954">
        <v>32.133333333333297</v>
      </c>
      <c r="K954">
        <v>-50.133333333333297</v>
      </c>
      <c r="L954">
        <v>2320</v>
      </c>
      <c r="M954" t="s">
        <v>1145</v>
      </c>
      <c r="O954">
        <v>2009</v>
      </c>
      <c r="U954" t="s">
        <v>1325</v>
      </c>
      <c r="V954" s="9" t="s">
        <v>1217</v>
      </c>
      <c r="W954">
        <v>120</v>
      </c>
      <c r="X954" s="9" t="s">
        <v>1292</v>
      </c>
      <c r="Z954">
        <v>0</v>
      </c>
      <c r="AA954" t="s">
        <v>1159</v>
      </c>
      <c r="AB954">
        <v>1500</v>
      </c>
      <c r="AC954">
        <v>2</v>
      </c>
      <c r="AD954" t="s">
        <v>1165</v>
      </c>
      <c r="AF954" s="14" t="s">
        <v>153</v>
      </c>
      <c r="AG954" t="s">
        <v>1314</v>
      </c>
      <c r="AH954">
        <v>5</v>
      </c>
      <c r="AI954" t="s">
        <v>1165</v>
      </c>
      <c r="AJ954" s="15" t="s">
        <v>1278</v>
      </c>
      <c r="AK954" s="15">
        <v>0.17100000000000001</v>
      </c>
      <c r="AN954" s="15">
        <v>4</v>
      </c>
      <c r="AO954" s="15">
        <v>100</v>
      </c>
      <c r="AP954" s="15">
        <v>99</v>
      </c>
      <c r="AQ954" s="14" t="s">
        <v>1322</v>
      </c>
      <c r="AR954" s="15" t="s">
        <v>1279</v>
      </c>
    </row>
    <row r="955" spans="1:45" x14ac:dyDescent="0.2">
      <c r="A955" t="s">
        <v>1138</v>
      </c>
      <c r="B955" s="15" t="s">
        <v>1146</v>
      </c>
      <c r="C955" s="15" t="s">
        <v>1149</v>
      </c>
      <c r="D955" t="s">
        <v>1136</v>
      </c>
      <c r="E955" t="s">
        <v>1137</v>
      </c>
      <c r="G955" s="15" t="s">
        <v>153</v>
      </c>
      <c r="H955" s="14" t="s">
        <v>1165</v>
      </c>
      <c r="I955" s="18" t="s">
        <v>1320</v>
      </c>
      <c r="J955">
        <v>32.133333333333297</v>
      </c>
      <c r="K955">
        <v>-50.133333333333297</v>
      </c>
      <c r="L955">
        <v>2320</v>
      </c>
      <c r="M955" t="s">
        <v>1145</v>
      </c>
      <c r="O955">
        <v>2009</v>
      </c>
      <c r="U955" t="s">
        <v>1325</v>
      </c>
      <c r="V955" s="9" t="s">
        <v>1217</v>
      </c>
      <c r="W955">
        <v>120</v>
      </c>
      <c r="X955" s="9" t="s">
        <v>1292</v>
      </c>
      <c r="Z955">
        <v>0</v>
      </c>
      <c r="AA955" t="s">
        <v>1159</v>
      </c>
      <c r="AB955">
        <v>1500</v>
      </c>
      <c r="AC955">
        <v>2</v>
      </c>
      <c r="AD955" t="s">
        <v>1165</v>
      </c>
      <c r="AF955" s="14" t="s">
        <v>153</v>
      </c>
      <c r="AG955" t="s">
        <v>1314</v>
      </c>
      <c r="AH955">
        <v>5</v>
      </c>
      <c r="AI955" t="s">
        <v>1165</v>
      </c>
      <c r="AJ955" s="15" t="s">
        <v>1278</v>
      </c>
      <c r="AK955" s="15">
        <v>0.1</v>
      </c>
      <c r="AN955" s="15">
        <v>4</v>
      </c>
      <c r="AO955" s="15">
        <v>100</v>
      </c>
      <c r="AP955" s="15">
        <v>106</v>
      </c>
      <c r="AQ955" s="14" t="s">
        <v>1322</v>
      </c>
      <c r="AR955" s="15" t="s">
        <v>1279</v>
      </c>
    </row>
    <row r="956" spans="1:45" x14ac:dyDescent="0.2">
      <c r="A956" t="s">
        <v>1138</v>
      </c>
      <c r="B956" s="15" t="s">
        <v>1146</v>
      </c>
      <c r="C956" s="15" t="s">
        <v>1149</v>
      </c>
      <c r="D956" t="s">
        <v>1136</v>
      </c>
      <c r="E956" t="s">
        <v>1137</v>
      </c>
      <c r="G956" s="15" t="s">
        <v>153</v>
      </c>
      <c r="H956" s="14" t="s">
        <v>1165</v>
      </c>
      <c r="I956" s="18" t="s">
        <v>1320</v>
      </c>
      <c r="J956">
        <v>32.133333333333297</v>
      </c>
      <c r="K956">
        <v>-50.133333333333297</v>
      </c>
      <c r="L956">
        <v>2320</v>
      </c>
      <c r="M956" t="s">
        <v>1145</v>
      </c>
      <c r="O956">
        <v>2009</v>
      </c>
      <c r="U956" t="s">
        <v>1325</v>
      </c>
      <c r="V956" s="9" t="s">
        <v>1217</v>
      </c>
      <c r="W956">
        <v>120</v>
      </c>
      <c r="X956" s="9" t="s">
        <v>1292</v>
      </c>
      <c r="Z956">
        <v>0</v>
      </c>
      <c r="AA956" t="s">
        <v>1159</v>
      </c>
      <c r="AB956">
        <v>1500</v>
      </c>
      <c r="AC956">
        <v>2</v>
      </c>
      <c r="AD956" t="s">
        <v>1165</v>
      </c>
      <c r="AF956" s="14" t="s">
        <v>153</v>
      </c>
      <c r="AG956" t="s">
        <v>1314</v>
      </c>
      <c r="AH956">
        <v>5</v>
      </c>
      <c r="AI956" t="s">
        <v>1165</v>
      </c>
      <c r="AJ956" s="15" t="s">
        <v>1278</v>
      </c>
      <c r="AK956" s="15">
        <v>6.7000000000000004E-2</v>
      </c>
      <c r="AN956" s="15">
        <v>4</v>
      </c>
      <c r="AO956" s="15">
        <v>100</v>
      </c>
      <c r="AP956" s="15">
        <v>113</v>
      </c>
      <c r="AQ956" s="14" t="s">
        <v>1322</v>
      </c>
      <c r="AR956" s="15" t="s">
        <v>1279</v>
      </c>
    </row>
    <row r="957" spans="1:45" x14ac:dyDescent="0.2">
      <c r="A957" t="s">
        <v>1138</v>
      </c>
      <c r="B957" s="15" t="s">
        <v>1146</v>
      </c>
      <c r="C957" s="15" t="s">
        <v>1149</v>
      </c>
      <c r="D957" t="s">
        <v>1136</v>
      </c>
      <c r="E957" t="s">
        <v>1137</v>
      </c>
      <c r="G957" s="15" t="s">
        <v>153</v>
      </c>
      <c r="H957" s="14" t="s">
        <v>1165</v>
      </c>
      <c r="I957" s="18" t="s">
        <v>1320</v>
      </c>
      <c r="J957">
        <v>32.133333333333297</v>
      </c>
      <c r="K957">
        <v>-50.133333333333297</v>
      </c>
      <c r="L957">
        <v>2320</v>
      </c>
      <c r="M957" t="s">
        <v>1145</v>
      </c>
      <c r="O957">
        <v>2009</v>
      </c>
      <c r="U957" t="s">
        <v>1325</v>
      </c>
      <c r="V957" s="9" t="s">
        <v>1217</v>
      </c>
      <c r="W957">
        <v>120</v>
      </c>
      <c r="X957" s="9" t="s">
        <v>1292</v>
      </c>
      <c r="Z957">
        <v>0</v>
      </c>
      <c r="AA957" t="s">
        <v>1159</v>
      </c>
      <c r="AB957">
        <v>1500</v>
      </c>
      <c r="AC957">
        <v>2</v>
      </c>
      <c r="AD957" t="s">
        <v>1165</v>
      </c>
      <c r="AF957" s="14" t="s">
        <v>153</v>
      </c>
      <c r="AG957" t="s">
        <v>1314</v>
      </c>
      <c r="AH957">
        <v>5</v>
      </c>
      <c r="AI957" t="s">
        <v>1165</v>
      </c>
      <c r="AJ957" s="15" t="s">
        <v>1278</v>
      </c>
      <c r="AK957" s="15">
        <v>1.4999999999999999E-2</v>
      </c>
      <c r="AN957" s="15">
        <v>4</v>
      </c>
      <c r="AO957" s="15">
        <v>100</v>
      </c>
      <c r="AP957" s="15">
        <v>120</v>
      </c>
      <c r="AQ957" s="14" t="s">
        <v>1322</v>
      </c>
      <c r="AR957" s="15" t="s">
        <v>1279</v>
      </c>
    </row>
    <row r="958" spans="1:45" x14ac:dyDescent="0.2">
      <c r="A958" t="s">
        <v>1326</v>
      </c>
      <c r="B958" s="15" t="s">
        <v>1146</v>
      </c>
      <c r="C958" s="15" t="s">
        <v>1149</v>
      </c>
      <c r="D958" t="s">
        <v>469</v>
      </c>
      <c r="E958" t="s">
        <v>1331</v>
      </c>
      <c r="G958" s="15" t="s">
        <v>1165</v>
      </c>
      <c r="H958" s="14" t="s">
        <v>1165</v>
      </c>
      <c r="I958" s="18" t="s">
        <v>1328</v>
      </c>
      <c r="J958" s="18" t="s">
        <v>1337</v>
      </c>
      <c r="K958" s="18" t="s">
        <v>1338</v>
      </c>
      <c r="L958">
        <v>2000</v>
      </c>
      <c r="M958" t="s">
        <v>1327</v>
      </c>
      <c r="O958">
        <v>2005</v>
      </c>
      <c r="P958">
        <v>2005</v>
      </c>
      <c r="Q958" t="s">
        <v>1329</v>
      </c>
      <c r="R958">
        <v>10</v>
      </c>
      <c r="T958" t="s">
        <v>1330</v>
      </c>
      <c r="U958" t="s">
        <v>1259</v>
      </c>
      <c r="V958" s="9" t="s">
        <v>1332</v>
      </c>
      <c r="W958">
        <v>0</v>
      </c>
      <c r="X958" s="9" t="s">
        <v>1333</v>
      </c>
      <c r="Z958">
        <v>12</v>
      </c>
      <c r="AD958" t="s">
        <v>1165</v>
      </c>
      <c r="AF958" t="s">
        <v>1165</v>
      </c>
      <c r="AI958" t="s">
        <v>1165</v>
      </c>
      <c r="AJ958" s="15" t="s">
        <v>1148</v>
      </c>
      <c r="AK958" s="15">
        <v>1.524</v>
      </c>
      <c r="AP958" s="15">
        <v>28</v>
      </c>
      <c r="AQ958" s="14" t="s">
        <v>1336</v>
      </c>
      <c r="AR958" s="15" t="s">
        <v>1335</v>
      </c>
      <c r="AS958" t="s">
        <v>3000</v>
      </c>
    </row>
    <row r="959" spans="1:45" x14ac:dyDescent="0.2">
      <c r="A959" t="s">
        <v>1326</v>
      </c>
      <c r="B959" s="15" t="s">
        <v>1146</v>
      </c>
      <c r="C959" s="15" t="s">
        <v>1149</v>
      </c>
      <c r="D959" t="s">
        <v>469</v>
      </c>
      <c r="E959" t="s">
        <v>1331</v>
      </c>
      <c r="G959" s="15" t="s">
        <v>1165</v>
      </c>
      <c r="H959" s="14" t="s">
        <v>1165</v>
      </c>
      <c r="I959" s="18" t="s">
        <v>1328</v>
      </c>
      <c r="J959" s="18" t="s">
        <v>1337</v>
      </c>
      <c r="K959" s="18" t="s">
        <v>1338</v>
      </c>
      <c r="L959">
        <v>2000</v>
      </c>
      <c r="M959" t="s">
        <v>1327</v>
      </c>
      <c r="O959">
        <v>2005</v>
      </c>
      <c r="P959">
        <v>2005</v>
      </c>
      <c r="Q959" t="s">
        <v>1329</v>
      </c>
      <c r="R959">
        <v>10</v>
      </c>
      <c r="T959" t="s">
        <v>1330</v>
      </c>
      <c r="U959" t="s">
        <v>1259</v>
      </c>
      <c r="V959" s="9" t="s">
        <v>1332</v>
      </c>
      <c r="W959">
        <v>0</v>
      </c>
      <c r="X959" s="9" t="s">
        <v>1261</v>
      </c>
      <c r="Z959">
        <v>12</v>
      </c>
      <c r="AD959" t="s">
        <v>1165</v>
      </c>
      <c r="AF959" t="s">
        <v>1165</v>
      </c>
      <c r="AI959" t="s">
        <v>1165</v>
      </c>
      <c r="AJ959" s="15" t="s">
        <v>1148</v>
      </c>
      <c r="AK959" s="15">
        <v>10.061</v>
      </c>
      <c r="AP959" s="15">
        <v>28</v>
      </c>
      <c r="AQ959" s="14" t="s">
        <v>1336</v>
      </c>
      <c r="AR959" s="15" t="s">
        <v>1335</v>
      </c>
      <c r="AS959" t="s">
        <v>3000</v>
      </c>
    </row>
    <row r="960" spans="1:45" x14ac:dyDescent="0.2">
      <c r="A960" t="s">
        <v>1326</v>
      </c>
      <c r="B960" s="15" t="s">
        <v>1146</v>
      </c>
      <c r="C960" s="15" t="s">
        <v>1149</v>
      </c>
      <c r="D960" t="s">
        <v>469</v>
      </c>
      <c r="E960" t="s">
        <v>1331</v>
      </c>
      <c r="G960" s="15" t="s">
        <v>1165</v>
      </c>
      <c r="H960" s="14" t="s">
        <v>1165</v>
      </c>
      <c r="I960" s="18" t="s">
        <v>1328</v>
      </c>
      <c r="J960" s="18" t="s">
        <v>1337</v>
      </c>
      <c r="K960" s="18" t="s">
        <v>1338</v>
      </c>
      <c r="L960">
        <v>2000</v>
      </c>
      <c r="M960" t="s">
        <v>1327</v>
      </c>
      <c r="O960">
        <v>2005</v>
      </c>
      <c r="P960">
        <v>2005</v>
      </c>
      <c r="Q960" t="s">
        <v>1329</v>
      </c>
      <c r="R960">
        <v>10</v>
      </c>
      <c r="T960" t="s">
        <v>1330</v>
      </c>
      <c r="U960" t="s">
        <v>1259</v>
      </c>
      <c r="V960" s="9" t="s">
        <v>1332</v>
      </c>
      <c r="W960">
        <v>0</v>
      </c>
      <c r="X960" s="9" t="s">
        <v>1334</v>
      </c>
      <c r="Z960">
        <v>12</v>
      </c>
      <c r="AD960" t="s">
        <v>1165</v>
      </c>
      <c r="AF960" t="s">
        <v>1165</v>
      </c>
      <c r="AI960" t="s">
        <v>1165</v>
      </c>
      <c r="AJ960" s="15" t="s">
        <v>1148</v>
      </c>
      <c r="AK960" s="15">
        <v>13.72</v>
      </c>
      <c r="AP960" s="15">
        <v>28</v>
      </c>
      <c r="AQ960" s="14" t="s">
        <v>1336</v>
      </c>
      <c r="AR960" s="15" t="s">
        <v>1335</v>
      </c>
      <c r="AS960" t="s">
        <v>3000</v>
      </c>
    </row>
    <row r="961" spans="1:45" x14ac:dyDescent="0.2">
      <c r="A961" t="s">
        <v>1326</v>
      </c>
      <c r="B961" s="15" t="s">
        <v>1146</v>
      </c>
      <c r="C961" s="15" t="s">
        <v>1149</v>
      </c>
      <c r="D961" t="s">
        <v>469</v>
      </c>
      <c r="E961" t="s">
        <v>1331</v>
      </c>
      <c r="G961" s="15" t="s">
        <v>1165</v>
      </c>
      <c r="H961" s="14" t="s">
        <v>1165</v>
      </c>
      <c r="I961" s="18" t="s">
        <v>1328</v>
      </c>
      <c r="J961" s="18" t="s">
        <v>1337</v>
      </c>
      <c r="K961" s="18" t="s">
        <v>1338</v>
      </c>
      <c r="L961">
        <v>2000</v>
      </c>
      <c r="M961" t="s">
        <v>1327</v>
      </c>
      <c r="O961">
        <v>2005</v>
      </c>
      <c r="P961">
        <v>2005</v>
      </c>
      <c r="Q961" t="s">
        <v>1329</v>
      </c>
      <c r="R961">
        <v>10</v>
      </c>
      <c r="T961" t="s">
        <v>1330</v>
      </c>
      <c r="U961" t="s">
        <v>1259</v>
      </c>
      <c r="V961" s="9" t="s">
        <v>1332</v>
      </c>
      <c r="W961">
        <v>17.5</v>
      </c>
      <c r="X961" s="9" t="s">
        <v>1333</v>
      </c>
      <c r="Z961">
        <v>12</v>
      </c>
      <c r="AD961" t="s">
        <v>1165</v>
      </c>
      <c r="AF961" t="s">
        <v>1165</v>
      </c>
      <c r="AI961" t="s">
        <v>1165</v>
      </c>
      <c r="AJ961" s="15" t="s">
        <v>1148</v>
      </c>
      <c r="AK961" s="15">
        <v>5.1829999999999998</v>
      </c>
      <c r="AP961" s="15">
        <v>28</v>
      </c>
      <c r="AQ961" s="14" t="s">
        <v>1336</v>
      </c>
      <c r="AR961" s="15" t="s">
        <v>1335</v>
      </c>
      <c r="AS961" t="s">
        <v>3000</v>
      </c>
    </row>
    <row r="962" spans="1:45" x14ac:dyDescent="0.2">
      <c r="A962" t="s">
        <v>1326</v>
      </c>
      <c r="B962" s="15" t="s">
        <v>1146</v>
      </c>
      <c r="C962" s="15" t="s">
        <v>1149</v>
      </c>
      <c r="D962" t="s">
        <v>469</v>
      </c>
      <c r="E962" t="s">
        <v>1331</v>
      </c>
      <c r="G962" s="15" t="s">
        <v>1165</v>
      </c>
      <c r="H962" s="14" t="s">
        <v>1165</v>
      </c>
      <c r="I962" s="18" t="s">
        <v>1328</v>
      </c>
      <c r="J962" s="18" t="s">
        <v>1337</v>
      </c>
      <c r="K962" s="18" t="s">
        <v>1338</v>
      </c>
      <c r="L962">
        <v>2000</v>
      </c>
      <c r="M962" t="s">
        <v>1327</v>
      </c>
      <c r="O962">
        <v>2005</v>
      </c>
      <c r="P962">
        <v>2005</v>
      </c>
      <c r="Q962" t="s">
        <v>1329</v>
      </c>
      <c r="R962">
        <v>10</v>
      </c>
      <c r="T962" t="s">
        <v>1330</v>
      </c>
      <c r="U962" t="s">
        <v>1259</v>
      </c>
      <c r="V962" s="9" t="s">
        <v>1332</v>
      </c>
      <c r="W962">
        <v>17.5</v>
      </c>
      <c r="X962" s="9" t="s">
        <v>1264</v>
      </c>
      <c r="Z962">
        <v>12</v>
      </c>
      <c r="AD962" t="s">
        <v>1165</v>
      </c>
      <c r="AF962" t="s">
        <v>1165</v>
      </c>
      <c r="AI962" t="s">
        <v>1165</v>
      </c>
      <c r="AJ962" s="15" t="s">
        <v>1148</v>
      </c>
      <c r="AK962" s="15">
        <v>12.5</v>
      </c>
      <c r="AP962" s="15">
        <v>28</v>
      </c>
      <c r="AQ962" s="14" t="s">
        <v>1336</v>
      </c>
      <c r="AR962" s="15" t="s">
        <v>1335</v>
      </c>
      <c r="AS962" t="s">
        <v>3000</v>
      </c>
    </row>
    <row r="963" spans="1:45" x14ac:dyDescent="0.2">
      <c r="A963" t="s">
        <v>1326</v>
      </c>
      <c r="B963" s="15" t="s">
        <v>1146</v>
      </c>
      <c r="C963" s="15" t="s">
        <v>1149</v>
      </c>
      <c r="D963" t="s">
        <v>469</v>
      </c>
      <c r="E963" t="s">
        <v>1331</v>
      </c>
      <c r="G963" s="15" t="s">
        <v>1165</v>
      </c>
      <c r="H963" s="14" t="s">
        <v>1165</v>
      </c>
      <c r="I963" s="18" t="s">
        <v>1328</v>
      </c>
      <c r="J963" s="18" t="s">
        <v>1337</v>
      </c>
      <c r="K963" s="18" t="s">
        <v>1338</v>
      </c>
      <c r="L963">
        <v>2000</v>
      </c>
      <c r="M963" t="s">
        <v>1327</v>
      </c>
      <c r="O963">
        <v>2005</v>
      </c>
      <c r="P963">
        <v>2005</v>
      </c>
      <c r="Q963" t="s">
        <v>1329</v>
      </c>
      <c r="R963">
        <v>10</v>
      </c>
      <c r="T963" t="s">
        <v>1330</v>
      </c>
      <c r="U963" t="s">
        <v>1259</v>
      </c>
      <c r="V963" s="9" t="s">
        <v>1332</v>
      </c>
      <c r="W963">
        <v>17.5</v>
      </c>
      <c r="X963" s="9" t="s">
        <v>1261</v>
      </c>
      <c r="Z963">
        <v>12</v>
      </c>
      <c r="AD963" t="s">
        <v>1165</v>
      </c>
      <c r="AF963" t="s">
        <v>1165</v>
      </c>
      <c r="AI963" t="s">
        <v>1165</v>
      </c>
      <c r="AJ963" s="15" t="s">
        <v>1148</v>
      </c>
      <c r="AK963" s="15">
        <v>21.036999999999999</v>
      </c>
      <c r="AP963" s="15">
        <v>28</v>
      </c>
      <c r="AQ963" s="14" t="s">
        <v>1336</v>
      </c>
      <c r="AR963" s="15" t="s">
        <v>1335</v>
      </c>
      <c r="AS963" t="s">
        <v>3000</v>
      </c>
    </row>
    <row r="964" spans="1:45" x14ac:dyDescent="0.2">
      <c r="A964" t="s">
        <v>1326</v>
      </c>
      <c r="B964" s="15" t="s">
        <v>1146</v>
      </c>
      <c r="C964" s="15" t="s">
        <v>1149</v>
      </c>
      <c r="D964" t="s">
        <v>469</v>
      </c>
      <c r="E964" t="s">
        <v>1331</v>
      </c>
      <c r="G964" s="15" t="s">
        <v>1165</v>
      </c>
      <c r="H964" s="14" t="s">
        <v>1165</v>
      </c>
      <c r="I964" s="18" t="s">
        <v>1328</v>
      </c>
      <c r="J964" s="18" t="s">
        <v>1337</v>
      </c>
      <c r="K964" s="18" t="s">
        <v>1338</v>
      </c>
      <c r="L964">
        <v>2000</v>
      </c>
      <c r="M964" t="s">
        <v>1327</v>
      </c>
      <c r="O964">
        <v>2005</v>
      </c>
      <c r="P964">
        <v>2005</v>
      </c>
      <c r="Q964" t="s">
        <v>1329</v>
      </c>
      <c r="R964">
        <v>10</v>
      </c>
      <c r="T964" t="s">
        <v>1330</v>
      </c>
      <c r="U964" t="s">
        <v>1259</v>
      </c>
      <c r="V964" s="9" t="s">
        <v>1332</v>
      </c>
      <c r="W964">
        <v>17.5</v>
      </c>
      <c r="X964" s="9" t="s">
        <v>1334</v>
      </c>
      <c r="Z964">
        <v>12</v>
      </c>
      <c r="AD964" t="s">
        <v>1165</v>
      </c>
      <c r="AF964" t="s">
        <v>1165</v>
      </c>
      <c r="AI964" t="s">
        <v>1165</v>
      </c>
      <c r="AJ964" s="15" t="s">
        <v>1148</v>
      </c>
      <c r="AK964" s="15">
        <v>24.695</v>
      </c>
      <c r="AP964" s="15">
        <v>28</v>
      </c>
      <c r="AQ964" s="14" t="s">
        <v>1336</v>
      </c>
      <c r="AR964" s="15" t="s">
        <v>1335</v>
      </c>
      <c r="AS964" t="s">
        <v>3000</v>
      </c>
    </row>
    <row r="965" spans="1:45" x14ac:dyDescent="0.2">
      <c r="A965" t="s">
        <v>1326</v>
      </c>
      <c r="B965" s="15" t="s">
        <v>1146</v>
      </c>
      <c r="C965" s="15" t="s">
        <v>1149</v>
      </c>
      <c r="D965" t="s">
        <v>469</v>
      </c>
      <c r="E965" t="s">
        <v>1331</v>
      </c>
      <c r="G965" s="15" t="s">
        <v>1165</v>
      </c>
      <c r="H965" s="14" t="s">
        <v>1165</v>
      </c>
      <c r="I965" s="18" t="s">
        <v>1328</v>
      </c>
      <c r="J965" s="18" t="s">
        <v>1337</v>
      </c>
      <c r="K965" s="18" t="s">
        <v>1338</v>
      </c>
      <c r="L965">
        <v>2000</v>
      </c>
      <c r="M965" t="s">
        <v>1327</v>
      </c>
      <c r="O965">
        <v>2005</v>
      </c>
      <c r="P965">
        <v>2005</v>
      </c>
      <c r="Q965" t="s">
        <v>1329</v>
      </c>
      <c r="R965">
        <v>10</v>
      </c>
      <c r="T965" t="s">
        <v>1330</v>
      </c>
      <c r="U965" t="s">
        <v>1259</v>
      </c>
      <c r="V965" s="9" t="s">
        <v>1332</v>
      </c>
      <c r="W965">
        <v>17.5</v>
      </c>
      <c r="X965" s="9" t="s">
        <v>1261</v>
      </c>
      <c r="Z965">
        <v>0</v>
      </c>
      <c r="AD965" t="s">
        <v>1165</v>
      </c>
      <c r="AF965" t="s">
        <v>1165</v>
      </c>
      <c r="AI965" t="s">
        <v>1165</v>
      </c>
      <c r="AJ965" s="15" t="s">
        <v>1148</v>
      </c>
      <c r="AK965" s="15">
        <v>1.524</v>
      </c>
      <c r="AP965" s="15">
        <v>28</v>
      </c>
      <c r="AQ965" s="14" t="s">
        <v>1336</v>
      </c>
      <c r="AR965" s="15" t="s">
        <v>1335</v>
      </c>
      <c r="AS965" t="s">
        <v>3000</v>
      </c>
    </row>
    <row r="966" spans="1:45" x14ac:dyDescent="0.2">
      <c r="A966" t="s">
        <v>1326</v>
      </c>
      <c r="B966" s="15" t="s">
        <v>1146</v>
      </c>
      <c r="C966" s="15" t="s">
        <v>1149</v>
      </c>
      <c r="D966" t="s">
        <v>469</v>
      </c>
      <c r="E966" t="s">
        <v>1331</v>
      </c>
      <c r="G966" s="15" t="s">
        <v>1165</v>
      </c>
      <c r="H966" s="14" t="s">
        <v>1165</v>
      </c>
      <c r="I966" s="18" t="s">
        <v>1328</v>
      </c>
      <c r="J966" s="18" t="s">
        <v>1337</v>
      </c>
      <c r="K966" s="18" t="s">
        <v>1338</v>
      </c>
      <c r="L966">
        <v>2000</v>
      </c>
      <c r="M966" t="s">
        <v>1327</v>
      </c>
      <c r="O966">
        <v>2005</v>
      </c>
      <c r="P966">
        <v>2005</v>
      </c>
      <c r="Q966" t="s">
        <v>1329</v>
      </c>
      <c r="R966">
        <v>10</v>
      </c>
      <c r="T966" t="s">
        <v>1330</v>
      </c>
      <c r="U966" t="s">
        <v>1259</v>
      </c>
      <c r="V966" s="9" t="s">
        <v>1332</v>
      </c>
      <c r="W966">
        <v>35</v>
      </c>
      <c r="X966" s="9" t="s">
        <v>1333</v>
      </c>
      <c r="Z966">
        <v>12</v>
      </c>
      <c r="AD966" t="s">
        <v>1165</v>
      </c>
      <c r="AF966" t="s">
        <v>1165</v>
      </c>
      <c r="AI966" t="s">
        <v>1165</v>
      </c>
      <c r="AJ966" s="15" t="s">
        <v>1148</v>
      </c>
      <c r="AK966" s="15">
        <v>5.1829999999999998</v>
      </c>
      <c r="AP966" s="15">
        <v>28</v>
      </c>
      <c r="AQ966" s="14" t="s">
        <v>1336</v>
      </c>
      <c r="AR966" s="15" t="s">
        <v>1335</v>
      </c>
      <c r="AS966" t="s">
        <v>3000</v>
      </c>
    </row>
    <row r="967" spans="1:45" x14ac:dyDescent="0.2">
      <c r="A967" t="s">
        <v>1326</v>
      </c>
      <c r="B967" s="15" t="s">
        <v>1146</v>
      </c>
      <c r="C967" s="15" t="s">
        <v>1149</v>
      </c>
      <c r="D967" t="s">
        <v>469</v>
      </c>
      <c r="E967" t="s">
        <v>1331</v>
      </c>
      <c r="G967" s="15" t="s">
        <v>1165</v>
      </c>
      <c r="H967" s="14" t="s">
        <v>1165</v>
      </c>
      <c r="I967" s="18" t="s">
        <v>1328</v>
      </c>
      <c r="J967" s="18" t="s">
        <v>1337</v>
      </c>
      <c r="K967" s="18" t="s">
        <v>1338</v>
      </c>
      <c r="L967">
        <v>2000</v>
      </c>
      <c r="M967" t="s">
        <v>1327</v>
      </c>
      <c r="O967">
        <v>2005</v>
      </c>
      <c r="P967">
        <v>2005</v>
      </c>
      <c r="Q967" t="s">
        <v>1329</v>
      </c>
      <c r="R967">
        <v>10</v>
      </c>
      <c r="T967" t="s">
        <v>1330</v>
      </c>
      <c r="U967" t="s">
        <v>1259</v>
      </c>
      <c r="V967" s="9" t="s">
        <v>1332</v>
      </c>
      <c r="W967">
        <v>35</v>
      </c>
      <c r="X967" s="9" t="s">
        <v>1264</v>
      </c>
      <c r="Z967">
        <v>12</v>
      </c>
      <c r="AD967" t="s">
        <v>1165</v>
      </c>
      <c r="AF967" t="s">
        <v>1165</v>
      </c>
      <c r="AI967" t="s">
        <v>1165</v>
      </c>
      <c r="AJ967" s="15" t="s">
        <v>1148</v>
      </c>
      <c r="AK967" s="15">
        <v>12.5</v>
      </c>
      <c r="AP967" s="15">
        <v>28</v>
      </c>
      <c r="AQ967" s="14" t="s">
        <v>1336</v>
      </c>
      <c r="AR967" s="15" t="s">
        <v>1335</v>
      </c>
      <c r="AS967" t="s">
        <v>3000</v>
      </c>
    </row>
    <row r="968" spans="1:45" x14ac:dyDescent="0.2">
      <c r="A968" t="s">
        <v>1326</v>
      </c>
      <c r="B968" s="15" t="s">
        <v>1146</v>
      </c>
      <c r="C968" s="15" t="s">
        <v>1149</v>
      </c>
      <c r="D968" t="s">
        <v>469</v>
      </c>
      <c r="E968" t="s">
        <v>1331</v>
      </c>
      <c r="G968" s="15" t="s">
        <v>1165</v>
      </c>
      <c r="H968" s="14" t="s">
        <v>1165</v>
      </c>
      <c r="I968" s="18" t="s">
        <v>1328</v>
      </c>
      <c r="J968" s="18" t="s">
        <v>1337</v>
      </c>
      <c r="K968" s="18" t="s">
        <v>1338</v>
      </c>
      <c r="L968">
        <v>2000</v>
      </c>
      <c r="M968" t="s">
        <v>1327</v>
      </c>
      <c r="O968">
        <v>2005</v>
      </c>
      <c r="P968">
        <v>2005</v>
      </c>
      <c r="Q968" t="s">
        <v>1329</v>
      </c>
      <c r="R968">
        <v>10</v>
      </c>
      <c r="T968" t="s">
        <v>1330</v>
      </c>
      <c r="U968" t="s">
        <v>1259</v>
      </c>
      <c r="V968" s="9" t="s">
        <v>1332</v>
      </c>
      <c r="W968">
        <v>35</v>
      </c>
      <c r="X968" s="9" t="s">
        <v>1261</v>
      </c>
      <c r="Z968">
        <v>12</v>
      </c>
      <c r="AD968" t="s">
        <v>1165</v>
      </c>
      <c r="AF968" t="s">
        <v>1165</v>
      </c>
      <c r="AI968" t="s">
        <v>1165</v>
      </c>
      <c r="AJ968" s="15" t="s">
        <v>1148</v>
      </c>
      <c r="AK968" s="15">
        <v>25.914999999999999</v>
      </c>
      <c r="AP968" s="15">
        <v>28</v>
      </c>
      <c r="AQ968" s="14" t="s">
        <v>1336</v>
      </c>
      <c r="AR968" s="15" t="s">
        <v>1335</v>
      </c>
      <c r="AS968" t="s">
        <v>3000</v>
      </c>
    </row>
    <row r="969" spans="1:45" x14ac:dyDescent="0.2">
      <c r="A969" t="s">
        <v>1326</v>
      </c>
      <c r="B969" s="15" t="s">
        <v>1146</v>
      </c>
      <c r="C969" s="15" t="s">
        <v>1149</v>
      </c>
      <c r="D969" t="s">
        <v>469</v>
      </c>
      <c r="E969" t="s">
        <v>1331</v>
      </c>
      <c r="G969" s="15" t="s">
        <v>1165</v>
      </c>
      <c r="H969" s="14" t="s">
        <v>1165</v>
      </c>
      <c r="I969" s="18" t="s">
        <v>1328</v>
      </c>
      <c r="J969" s="18" t="s">
        <v>1337</v>
      </c>
      <c r="K969" s="18" t="s">
        <v>1338</v>
      </c>
      <c r="L969">
        <v>2000</v>
      </c>
      <c r="M969" t="s">
        <v>1327</v>
      </c>
      <c r="O969">
        <v>2005</v>
      </c>
      <c r="P969">
        <v>2005</v>
      </c>
      <c r="Q969" t="s">
        <v>1329</v>
      </c>
      <c r="R969">
        <v>10</v>
      </c>
      <c r="T969" t="s">
        <v>1330</v>
      </c>
      <c r="U969" t="s">
        <v>1259</v>
      </c>
      <c r="V969" s="9" t="s">
        <v>1332</v>
      </c>
      <c r="W969">
        <v>35</v>
      </c>
      <c r="X969" s="9" t="s">
        <v>1334</v>
      </c>
      <c r="Z969">
        <v>12</v>
      </c>
      <c r="AD969" t="s">
        <v>1165</v>
      </c>
      <c r="AF969" t="s">
        <v>1165</v>
      </c>
      <c r="AI969" t="s">
        <v>1165</v>
      </c>
      <c r="AJ969" s="15" t="s">
        <v>1148</v>
      </c>
      <c r="AK969" s="15">
        <v>28.353999999999999</v>
      </c>
      <c r="AP969" s="15">
        <v>28</v>
      </c>
      <c r="AQ969" s="14" t="s">
        <v>1336</v>
      </c>
      <c r="AR969" s="15" t="s">
        <v>1335</v>
      </c>
      <c r="AS969" t="s">
        <v>3000</v>
      </c>
    </row>
    <row r="970" spans="1:45" x14ac:dyDescent="0.2">
      <c r="A970" t="s">
        <v>1326</v>
      </c>
      <c r="B970" s="15" t="s">
        <v>1146</v>
      </c>
      <c r="C970" s="15" t="s">
        <v>1149</v>
      </c>
      <c r="D970" t="s">
        <v>469</v>
      </c>
      <c r="E970" t="s">
        <v>1331</v>
      </c>
      <c r="G970" s="15" t="s">
        <v>1165</v>
      </c>
      <c r="H970" s="14" t="s">
        <v>1165</v>
      </c>
      <c r="I970" s="18" t="s">
        <v>1328</v>
      </c>
      <c r="J970" s="18" t="s">
        <v>1337</v>
      </c>
      <c r="K970" s="18" t="s">
        <v>1338</v>
      </c>
      <c r="L970">
        <v>2000</v>
      </c>
      <c r="M970" t="s">
        <v>1327</v>
      </c>
      <c r="O970">
        <v>2005</v>
      </c>
      <c r="P970">
        <v>2005</v>
      </c>
      <c r="Q970" t="s">
        <v>1329</v>
      </c>
      <c r="R970">
        <v>10</v>
      </c>
      <c r="T970" t="s">
        <v>1330</v>
      </c>
      <c r="U970" t="s">
        <v>1259</v>
      </c>
      <c r="V970" s="9" t="s">
        <v>1332</v>
      </c>
      <c r="W970">
        <v>35</v>
      </c>
      <c r="X970" s="9" t="s">
        <v>1333</v>
      </c>
      <c r="Z970">
        <v>0</v>
      </c>
      <c r="AD970" t="s">
        <v>1165</v>
      </c>
      <c r="AF970" t="s">
        <v>1165</v>
      </c>
      <c r="AI970" t="s">
        <v>1165</v>
      </c>
      <c r="AJ970" s="15" t="s">
        <v>1148</v>
      </c>
      <c r="AK970" s="15">
        <v>1.524</v>
      </c>
      <c r="AP970" s="15">
        <v>28</v>
      </c>
      <c r="AQ970" s="14" t="s">
        <v>1336</v>
      </c>
      <c r="AR970" s="15" t="s">
        <v>1335</v>
      </c>
      <c r="AS970" t="s">
        <v>3000</v>
      </c>
    </row>
    <row r="971" spans="1:45" x14ac:dyDescent="0.2">
      <c r="A971" t="s">
        <v>1326</v>
      </c>
      <c r="B971" s="15" t="s">
        <v>1146</v>
      </c>
      <c r="C971" s="15" t="s">
        <v>1149</v>
      </c>
      <c r="D971" t="s">
        <v>469</v>
      </c>
      <c r="E971" t="s">
        <v>1331</v>
      </c>
      <c r="G971" s="15" t="s">
        <v>1165</v>
      </c>
      <c r="H971" s="14" t="s">
        <v>1165</v>
      </c>
      <c r="I971" s="18" t="s">
        <v>1328</v>
      </c>
      <c r="J971" s="18" t="s">
        <v>1337</v>
      </c>
      <c r="K971" s="18" t="s">
        <v>1338</v>
      </c>
      <c r="L971">
        <v>2000</v>
      </c>
      <c r="M971" t="s">
        <v>1327</v>
      </c>
      <c r="O971">
        <v>2005</v>
      </c>
      <c r="P971">
        <v>2005</v>
      </c>
      <c r="Q971" t="s">
        <v>1329</v>
      </c>
      <c r="R971">
        <v>10</v>
      </c>
      <c r="T971" t="s">
        <v>1330</v>
      </c>
      <c r="U971" t="s">
        <v>1259</v>
      </c>
      <c r="V971" s="9" t="s">
        <v>1332</v>
      </c>
      <c r="W971">
        <v>70</v>
      </c>
      <c r="X971" s="9" t="s">
        <v>1333</v>
      </c>
      <c r="Z971">
        <v>12</v>
      </c>
      <c r="AD971" t="s">
        <v>1165</v>
      </c>
      <c r="AF971" t="s">
        <v>1165</v>
      </c>
      <c r="AI971" t="s">
        <v>1165</v>
      </c>
      <c r="AJ971" s="15" t="s">
        <v>1148</v>
      </c>
      <c r="AK971" s="15">
        <v>6.0979999999999999</v>
      </c>
      <c r="AP971" s="15">
        <v>28</v>
      </c>
      <c r="AQ971" s="14" t="s">
        <v>1336</v>
      </c>
      <c r="AR971" s="15" t="s">
        <v>1335</v>
      </c>
      <c r="AS971" t="s">
        <v>3000</v>
      </c>
    </row>
    <row r="972" spans="1:45" x14ac:dyDescent="0.2">
      <c r="A972" t="s">
        <v>1326</v>
      </c>
      <c r="B972" s="15" t="s">
        <v>1146</v>
      </c>
      <c r="C972" s="15" t="s">
        <v>1149</v>
      </c>
      <c r="D972" t="s">
        <v>469</v>
      </c>
      <c r="E972" t="s">
        <v>1331</v>
      </c>
      <c r="G972" s="15" t="s">
        <v>1165</v>
      </c>
      <c r="H972" s="14" t="s">
        <v>1165</v>
      </c>
      <c r="I972" s="18" t="s">
        <v>1328</v>
      </c>
      <c r="J972" s="18" t="s">
        <v>1337</v>
      </c>
      <c r="K972" s="18" t="s">
        <v>1338</v>
      </c>
      <c r="L972">
        <v>2000</v>
      </c>
      <c r="M972" t="s">
        <v>1327</v>
      </c>
      <c r="O972">
        <v>2005</v>
      </c>
      <c r="P972">
        <v>2005</v>
      </c>
      <c r="Q972" t="s">
        <v>1329</v>
      </c>
      <c r="R972">
        <v>10</v>
      </c>
      <c r="T972" t="s">
        <v>1330</v>
      </c>
      <c r="U972" t="s">
        <v>1259</v>
      </c>
      <c r="V972" s="9" t="s">
        <v>1332</v>
      </c>
      <c r="W972">
        <v>70</v>
      </c>
      <c r="X972" s="9" t="s">
        <v>1264</v>
      </c>
      <c r="Z972">
        <v>12</v>
      </c>
      <c r="AD972" t="s">
        <v>1165</v>
      </c>
      <c r="AF972" t="s">
        <v>1165</v>
      </c>
      <c r="AI972" t="s">
        <v>1165</v>
      </c>
      <c r="AJ972" s="15" t="s">
        <v>1148</v>
      </c>
      <c r="AK972" s="15">
        <v>33.231999999999999</v>
      </c>
      <c r="AP972" s="15">
        <v>28</v>
      </c>
      <c r="AQ972" s="14" t="s">
        <v>1336</v>
      </c>
      <c r="AR972" s="15" t="s">
        <v>1335</v>
      </c>
      <c r="AS972" t="s">
        <v>3000</v>
      </c>
    </row>
    <row r="973" spans="1:45" x14ac:dyDescent="0.2">
      <c r="A973" t="s">
        <v>1326</v>
      </c>
      <c r="B973" s="15" t="s">
        <v>1146</v>
      </c>
      <c r="C973" s="15" t="s">
        <v>1149</v>
      </c>
      <c r="D973" t="s">
        <v>469</v>
      </c>
      <c r="E973" t="s">
        <v>1331</v>
      </c>
      <c r="G973" s="15" t="s">
        <v>1165</v>
      </c>
      <c r="H973" s="14" t="s">
        <v>1165</v>
      </c>
      <c r="I973" s="18" t="s">
        <v>1328</v>
      </c>
      <c r="J973" s="18" t="s">
        <v>1337</v>
      </c>
      <c r="K973" s="18" t="s">
        <v>1338</v>
      </c>
      <c r="L973">
        <v>2000</v>
      </c>
      <c r="M973" t="s">
        <v>1327</v>
      </c>
      <c r="O973">
        <v>2005</v>
      </c>
      <c r="P973">
        <v>2005</v>
      </c>
      <c r="Q973" t="s">
        <v>1329</v>
      </c>
      <c r="R973">
        <v>10</v>
      </c>
      <c r="T973" t="s">
        <v>1330</v>
      </c>
      <c r="U973" t="s">
        <v>1259</v>
      </c>
      <c r="V973" s="9" t="s">
        <v>1332</v>
      </c>
      <c r="W973">
        <v>70</v>
      </c>
      <c r="X973" s="9" t="s">
        <v>1261</v>
      </c>
      <c r="Z973">
        <v>12</v>
      </c>
      <c r="AD973" t="s">
        <v>1165</v>
      </c>
      <c r="AF973" t="s">
        <v>1165</v>
      </c>
      <c r="AI973" t="s">
        <v>1165</v>
      </c>
      <c r="AJ973" s="15" t="s">
        <v>1148</v>
      </c>
      <c r="AK973" s="15">
        <v>24.695</v>
      </c>
      <c r="AP973" s="15">
        <v>28</v>
      </c>
      <c r="AQ973" s="14" t="s">
        <v>1336</v>
      </c>
      <c r="AR973" s="15" t="s">
        <v>1335</v>
      </c>
      <c r="AS973" t="s">
        <v>3000</v>
      </c>
    </row>
    <row r="974" spans="1:45" x14ac:dyDescent="0.2">
      <c r="A974" t="s">
        <v>1326</v>
      </c>
      <c r="B974" s="15" t="s">
        <v>1146</v>
      </c>
      <c r="C974" s="15" t="s">
        <v>1149</v>
      </c>
      <c r="D974" t="s">
        <v>469</v>
      </c>
      <c r="E974" t="s">
        <v>1331</v>
      </c>
      <c r="G974" s="15" t="s">
        <v>1165</v>
      </c>
      <c r="H974" s="14" t="s">
        <v>1165</v>
      </c>
      <c r="I974" s="18" t="s">
        <v>1328</v>
      </c>
      <c r="J974" s="18" t="s">
        <v>1337</v>
      </c>
      <c r="K974" s="18" t="s">
        <v>1338</v>
      </c>
      <c r="L974">
        <v>2000</v>
      </c>
      <c r="M974" t="s">
        <v>1327</v>
      </c>
      <c r="O974">
        <v>2005</v>
      </c>
      <c r="P974">
        <v>2005</v>
      </c>
      <c r="Q974" t="s">
        <v>1329</v>
      </c>
      <c r="R974">
        <v>10</v>
      </c>
      <c r="T974" t="s">
        <v>1330</v>
      </c>
      <c r="U974" t="s">
        <v>1259</v>
      </c>
      <c r="V974" s="9" t="s">
        <v>1332</v>
      </c>
      <c r="W974">
        <v>70</v>
      </c>
      <c r="X974" s="9" t="s">
        <v>1334</v>
      </c>
      <c r="Z974">
        <v>12</v>
      </c>
      <c r="AD974" t="s">
        <v>1165</v>
      </c>
      <c r="AF974" t="s">
        <v>1165</v>
      </c>
      <c r="AI974" t="s">
        <v>1165</v>
      </c>
      <c r="AJ974" s="15" t="s">
        <v>1148</v>
      </c>
      <c r="AK974" s="15">
        <v>45.427</v>
      </c>
      <c r="AP974" s="15">
        <v>28</v>
      </c>
      <c r="AQ974" s="14" t="s">
        <v>1336</v>
      </c>
      <c r="AR974" s="15" t="s">
        <v>1335</v>
      </c>
      <c r="AS974" t="s">
        <v>3000</v>
      </c>
    </row>
    <row r="975" spans="1:45" x14ac:dyDescent="0.2">
      <c r="A975" t="s">
        <v>1326</v>
      </c>
      <c r="B975" s="15" t="s">
        <v>1146</v>
      </c>
      <c r="C975" s="15" t="s">
        <v>1149</v>
      </c>
      <c r="D975" t="s">
        <v>469</v>
      </c>
      <c r="E975" t="s">
        <v>1331</v>
      </c>
      <c r="G975" s="15" t="s">
        <v>1165</v>
      </c>
      <c r="H975" s="14" t="s">
        <v>1165</v>
      </c>
      <c r="I975" s="18" t="s">
        <v>1328</v>
      </c>
      <c r="J975" s="18" t="s">
        <v>1337</v>
      </c>
      <c r="K975" s="18" t="s">
        <v>1338</v>
      </c>
      <c r="L975">
        <v>2000</v>
      </c>
      <c r="M975" t="s">
        <v>1327</v>
      </c>
      <c r="O975">
        <v>2005</v>
      </c>
      <c r="P975">
        <v>2005</v>
      </c>
      <c r="Q975" t="s">
        <v>1329</v>
      </c>
      <c r="R975">
        <v>10</v>
      </c>
      <c r="T975" t="s">
        <v>1330</v>
      </c>
      <c r="U975" t="s">
        <v>1259</v>
      </c>
      <c r="V975" s="9" t="s">
        <v>1332</v>
      </c>
      <c r="W975">
        <v>70</v>
      </c>
      <c r="X975" s="9" t="s">
        <v>1333</v>
      </c>
      <c r="Z975">
        <v>0</v>
      </c>
      <c r="AD975" t="s">
        <v>1165</v>
      </c>
      <c r="AF975" t="s">
        <v>1165</v>
      </c>
      <c r="AI975" t="s">
        <v>1165</v>
      </c>
      <c r="AJ975" s="15" t="s">
        <v>1148</v>
      </c>
      <c r="AK975" s="15">
        <v>1.524</v>
      </c>
      <c r="AP975" s="15">
        <v>28</v>
      </c>
      <c r="AQ975" s="14" t="s">
        <v>1336</v>
      </c>
      <c r="AR975" s="15" t="s">
        <v>1335</v>
      </c>
      <c r="AS975" t="s">
        <v>3000</v>
      </c>
    </row>
    <row r="976" spans="1:45" x14ac:dyDescent="0.2">
      <c r="A976" t="s">
        <v>1326</v>
      </c>
      <c r="B976" s="15" t="s">
        <v>1146</v>
      </c>
      <c r="C976" s="15" t="s">
        <v>1149</v>
      </c>
      <c r="D976" t="s">
        <v>469</v>
      </c>
      <c r="E976" t="s">
        <v>1331</v>
      </c>
      <c r="G976" s="15" t="s">
        <v>1165</v>
      </c>
      <c r="H976" s="14" t="s">
        <v>1165</v>
      </c>
      <c r="I976" s="18" t="s">
        <v>1328</v>
      </c>
      <c r="J976" s="18" t="s">
        <v>1337</v>
      </c>
      <c r="K976" s="18" t="s">
        <v>1338</v>
      </c>
      <c r="L976">
        <v>2000</v>
      </c>
      <c r="M976" t="s">
        <v>1327</v>
      </c>
      <c r="O976">
        <v>2005</v>
      </c>
      <c r="P976">
        <v>2005</v>
      </c>
      <c r="Q976" t="s">
        <v>1329</v>
      </c>
      <c r="R976">
        <v>10</v>
      </c>
      <c r="T976" t="s">
        <v>1330</v>
      </c>
      <c r="U976" t="s">
        <v>1259</v>
      </c>
      <c r="V976" s="9" t="s">
        <v>1332</v>
      </c>
      <c r="W976">
        <v>70</v>
      </c>
      <c r="X976" s="9" t="s">
        <v>1264</v>
      </c>
      <c r="Z976">
        <v>0</v>
      </c>
      <c r="AD976" t="s">
        <v>1165</v>
      </c>
      <c r="AF976" t="s">
        <v>1165</v>
      </c>
      <c r="AI976" t="s">
        <v>1165</v>
      </c>
      <c r="AJ976" s="15" t="s">
        <v>1148</v>
      </c>
      <c r="AK976" s="15">
        <v>1.524</v>
      </c>
      <c r="AP976" s="15">
        <v>28</v>
      </c>
      <c r="AQ976" s="14" t="s">
        <v>1336</v>
      </c>
      <c r="AR976" s="15" t="s">
        <v>1335</v>
      </c>
      <c r="AS976" t="s">
        <v>3000</v>
      </c>
    </row>
    <row r="977" spans="1:45" x14ac:dyDescent="0.2">
      <c r="A977" t="s">
        <v>1326</v>
      </c>
      <c r="B977" s="15" t="s">
        <v>1146</v>
      </c>
      <c r="C977" s="15" t="s">
        <v>1149</v>
      </c>
      <c r="D977" t="s">
        <v>469</v>
      </c>
      <c r="E977" t="s">
        <v>1331</v>
      </c>
      <c r="G977" s="15" t="s">
        <v>1165</v>
      </c>
      <c r="H977" s="14" t="s">
        <v>1165</v>
      </c>
      <c r="I977" s="18" t="s">
        <v>1328</v>
      </c>
      <c r="J977" s="18" t="s">
        <v>1337</v>
      </c>
      <c r="K977" s="18" t="s">
        <v>1338</v>
      </c>
      <c r="L977">
        <v>2000</v>
      </c>
      <c r="M977" t="s">
        <v>1327</v>
      </c>
      <c r="O977">
        <v>2005</v>
      </c>
      <c r="P977">
        <v>2005</v>
      </c>
      <c r="Q977" t="s">
        <v>1329</v>
      </c>
      <c r="R977">
        <v>10</v>
      </c>
      <c r="T977" t="s">
        <v>1330</v>
      </c>
      <c r="U977" t="s">
        <v>1259</v>
      </c>
      <c r="V977" s="9" t="s">
        <v>1332</v>
      </c>
      <c r="W977">
        <v>70</v>
      </c>
      <c r="X977" s="9" t="s">
        <v>1334</v>
      </c>
      <c r="Z977">
        <v>0</v>
      </c>
      <c r="AD977" t="s">
        <v>1165</v>
      </c>
      <c r="AF977" t="s">
        <v>1165</v>
      </c>
      <c r="AI977" t="s">
        <v>1165</v>
      </c>
      <c r="AJ977" s="15" t="s">
        <v>1148</v>
      </c>
      <c r="AK977" s="15">
        <v>16.158999999999999</v>
      </c>
      <c r="AP977" s="15">
        <v>28</v>
      </c>
      <c r="AQ977" s="14" t="s">
        <v>1336</v>
      </c>
      <c r="AR977" s="15" t="s">
        <v>1335</v>
      </c>
      <c r="AS977" t="s">
        <v>3000</v>
      </c>
    </row>
    <row r="978" spans="1:45" x14ac:dyDescent="0.2">
      <c r="A978" t="s">
        <v>1326</v>
      </c>
      <c r="B978" s="15" t="s">
        <v>1146</v>
      </c>
      <c r="C978" s="15" t="s">
        <v>1149</v>
      </c>
      <c r="D978" t="s">
        <v>469</v>
      </c>
      <c r="E978" t="s">
        <v>1331</v>
      </c>
      <c r="G978" s="15" t="s">
        <v>1165</v>
      </c>
      <c r="H978" s="14" t="s">
        <v>1165</v>
      </c>
      <c r="I978" s="18" t="s">
        <v>1328</v>
      </c>
      <c r="J978" s="18" t="s">
        <v>1337</v>
      </c>
      <c r="K978" s="18" t="s">
        <v>1338</v>
      </c>
      <c r="L978">
        <v>2000</v>
      </c>
      <c r="M978" t="s">
        <v>1327</v>
      </c>
      <c r="O978">
        <v>2005</v>
      </c>
      <c r="P978">
        <v>2005</v>
      </c>
      <c r="Q978" t="s">
        <v>1329</v>
      </c>
      <c r="R978">
        <v>10</v>
      </c>
      <c r="T978" t="s">
        <v>1330</v>
      </c>
      <c r="U978" t="s">
        <v>1259</v>
      </c>
      <c r="V978" s="9" t="s">
        <v>1332</v>
      </c>
      <c r="W978">
        <v>140</v>
      </c>
      <c r="X978" s="9" t="s">
        <v>1333</v>
      </c>
      <c r="Z978">
        <v>12</v>
      </c>
      <c r="AD978" t="s">
        <v>1165</v>
      </c>
      <c r="AF978" t="s">
        <v>1165</v>
      </c>
      <c r="AI978" t="s">
        <v>1165</v>
      </c>
      <c r="AJ978" s="15" t="s">
        <v>1148</v>
      </c>
      <c r="AK978" s="15">
        <v>23.170999999999999</v>
      </c>
      <c r="AP978" s="15">
        <v>28</v>
      </c>
      <c r="AQ978" s="14" t="s">
        <v>1336</v>
      </c>
      <c r="AR978" s="15" t="s">
        <v>1335</v>
      </c>
      <c r="AS978" t="s">
        <v>3000</v>
      </c>
    </row>
    <row r="979" spans="1:45" x14ac:dyDescent="0.2">
      <c r="A979" t="s">
        <v>1326</v>
      </c>
      <c r="B979" s="15" t="s">
        <v>1146</v>
      </c>
      <c r="C979" s="15" t="s">
        <v>1149</v>
      </c>
      <c r="D979" t="s">
        <v>469</v>
      </c>
      <c r="E979" t="s">
        <v>1331</v>
      </c>
      <c r="G979" s="15" t="s">
        <v>1165</v>
      </c>
      <c r="H979" s="14" t="s">
        <v>1165</v>
      </c>
      <c r="I979" s="18" t="s">
        <v>1328</v>
      </c>
      <c r="J979" s="18" t="s">
        <v>1337</v>
      </c>
      <c r="K979" s="18" t="s">
        <v>1338</v>
      </c>
      <c r="L979">
        <v>2000</v>
      </c>
      <c r="M979" t="s">
        <v>1327</v>
      </c>
      <c r="O979">
        <v>2005</v>
      </c>
      <c r="P979">
        <v>2005</v>
      </c>
      <c r="Q979" t="s">
        <v>1329</v>
      </c>
      <c r="R979">
        <v>10</v>
      </c>
      <c r="T979" t="s">
        <v>1330</v>
      </c>
      <c r="U979" t="s">
        <v>1259</v>
      </c>
      <c r="V979" s="9" t="s">
        <v>1332</v>
      </c>
      <c r="W979">
        <v>140</v>
      </c>
      <c r="X979" s="9" t="s">
        <v>1264</v>
      </c>
      <c r="Z979">
        <v>12</v>
      </c>
      <c r="AD979" t="s">
        <v>1165</v>
      </c>
      <c r="AF979" t="s">
        <v>1165</v>
      </c>
      <c r="AI979" t="s">
        <v>1165</v>
      </c>
      <c r="AJ979" s="15" t="s">
        <v>1148</v>
      </c>
      <c r="AK979" s="15">
        <v>79.572999999999993</v>
      </c>
      <c r="AP979" s="15">
        <v>28</v>
      </c>
      <c r="AQ979" s="14" t="s">
        <v>1336</v>
      </c>
      <c r="AR979" s="15" t="s">
        <v>1335</v>
      </c>
      <c r="AS979" t="s">
        <v>3000</v>
      </c>
    </row>
    <row r="980" spans="1:45" x14ac:dyDescent="0.2">
      <c r="A980" t="s">
        <v>1326</v>
      </c>
      <c r="B980" s="15" t="s">
        <v>1146</v>
      </c>
      <c r="C980" s="15" t="s">
        <v>1149</v>
      </c>
      <c r="D980" t="s">
        <v>469</v>
      </c>
      <c r="E980" t="s">
        <v>1331</v>
      </c>
      <c r="G980" s="15" t="s">
        <v>1165</v>
      </c>
      <c r="H980" s="14" t="s">
        <v>1165</v>
      </c>
      <c r="I980" s="18" t="s">
        <v>1328</v>
      </c>
      <c r="J980" s="18" t="s">
        <v>1337</v>
      </c>
      <c r="K980" s="18" t="s">
        <v>1338</v>
      </c>
      <c r="L980">
        <v>2000</v>
      </c>
      <c r="M980" t="s">
        <v>1327</v>
      </c>
      <c r="O980">
        <v>2005</v>
      </c>
      <c r="P980">
        <v>2005</v>
      </c>
      <c r="Q980" t="s">
        <v>1329</v>
      </c>
      <c r="R980">
        <v>10</v>
      </c>
      <c r="T980" t="s">
        <v>1330</v>
      </c>
      <c r="U980" t="s">
        <v>1259</v>
      </c>
      <c r="V980" s="9" t="s">
        <v>1332</v>
      </c>
      <c r="W980">
        <v>140</v>
      </c>
      <c r="X980" s="9" t="s">
        <v>1261</v>
      </c>
      <c r="Z980">
        <v>12</v>
      </c>
      <c r="AD980" t="s">
        <v>1165</v>
      </c>
      <c r="AF980" t="s">
        <v>1165</v>
      </c>
      <c r="AI980" t="s">
        <v>1165</v>
      </c>
      <c r="AJ980" s="15" t="s">
        <v>1148</v>
      </c>
      <c r="AK980" s="15">
        <v>92.988</v>
      </c>
      <c r="AP980" s="15">
        <v>28</v>
      </c>
      <c r="AQ980" s="14" t="s">
        <v>1336</v>
      </c>
      <c r="AR980" s="15" t="s">
        <v>1335</v>
      </c>
      <c r="AS980" t="s">
        <v>3000</v>
      </c>
    </row>
    <row r="981" spans="1:45" x14ac:dyDescent="0.2">
      <c r="A981" t="s">
        <v>1326</v>
      </c>
      <c r="B981" s="15" t="s">
        <v>1146</v>
      </c>
      <c r="C981" s="15" t="s">
        <v>1149</v>
      </c>
      <c r="D981" t="s">
        <v>469</v>
      </c>
      <c r="E981" t="s">
        <v>1331</v>
      </c>
      <c r="G981" s="15" t="s">
        <v>1165</v>
      </c>
      <c r="H981" s="14" t="s">
        <v>1165</v>
      </c>
      <c r="I981" s="18" t="s">
        <v>1328</v>
      </c>
      <c r="J981" s="18" t="s">
        <v>1337</v>
      </c>
      <c r="K981" s="18" t="s">
        <v>1338</v>
      </c>
      <c r="L981">
        <v>2000</v>
      </c>
      <c r="M981" t="s">
        <v>1327</v>
      </c>
      <c r="O981">
        <v>2005</v>
      </c>
      <c r="P981">
        <v>2005</v>
      </c>
      <c r="Q981" t="s">
        <v>1329</v>
      </c>
      <c r="R981">
        <v>10</v>
      </c>
      <c r="T981" t="s">
        <v>1330</v>
      </c>
      <c r="U981" t="s">
        <v>1259</v>
      </c>
      <c r="V981" s="9" t="s">
        <v>1332</v>
      </c>
      <c r="W981">
        <v>140</v>
      </c>
      <c r="X981" s="9" t="s">
        <v>1334</v>
      </c>
      <c r="Z981">
        <v>12</v>
      </c>
      <c r="AD981" t="s">
        <v>1165</v>
      </c>
      <c r="AF981" t="s">
        <v>1165</v>
      </c>
      <c r="AI981" t="s">
        <v>1165</v>
      </c>
      <c r="AJ981" s="15" t="s">
        <v>1148</v>
      </c>
      <c r="AK981" s="15">
        <v>85.671000000000006</v>
      </c>
      <c r="AP981" s="15">
        <v>28</v>
      </c>
      <c r="AQ981" s="14" t="s">
        <v>1336</v>
      </c>
      <c r="AR981" s="15" t="s">
        <v>1335</v>
      </c>
      <c r="AS981" t="s">
        <v>3000</v>
      </c>
    </row>
    <row r="982" spans="1:45" x14ac:dyDescent="0.2">
      <c r="A982" t="s">
        <v>1326</v>
      </c>
      <c r="B982" s="15" t="s">
        <v>1146</v>
      </c>
      <c r="C982" s="15" t="s">
        <v>1149</v>
      </c>
      <c r="D982" t="s">
        <v>469</v>
      </c>
      <c r="E982" t="s">
        <v>1331</v>
      </c>
      <c r="G982" s="15" t="s">
        <v>1165</v>
      </c>
      <c r="H982" s="14" t="s">
        <v>1165</v>
      </c>
      <c r="I982" s="18" t="s">
        <v>1328</v>
      </c>
      <c r="J982" s="18" t="s">
        <v>1337</v>
      </c>
      <c r="K982" s="18" t="s">
        <v>1338</v>
      </c>
      <c r="L982">
        <v>2000</v>
      </c>
      <c r="M982" t="s">
        <v>1327</v>
      </c>
      <c r="O982">
        <v>2005</v>
      </c>
      <c r="P982">
        <v>2005</v>
      </c>
      <c r="Q982" t="s">
        <v>1329</v>
      </c>
      <c r="R982">
        <v>10</v>
      </c>
      <c r="T982" t="s">
        <v>1330</v>
      </c>
      <c r="U982" t="s">
        <v>1259</v>
      </c>
      <c r="V982" s="9" t="s">
        <v>1332</v>
      </c>
      <c r="W982">
        <v>140</v>
      </c>
      <c r="X982" s="9" t="s">
        <v>1333</v>
      </c>
      <c r="Z982">
        <v>0</v>
      </c>
      <c r="AD982" t="s">
        <v>1165</v>
      </c>
      <c r="AF982" t="s">
        <v>1165</v>
      </c>
      <c r="AI982" t="s">
        <v>1165</v>
      </c>
      <c r="AJ982" s="15" t="s">
        <v>1148</v>
      </c>
      <c r="AK982" s="15">
        <v>1.524</v>
      </c>
      <c r="AP982" s="15">
        <v>28</v>
      </c>
      <c r="AQ982" s="14" t="s">
        <v>1336</v>
      </c>
      <c r="AR982" s="15" t="s">
        <v>1335</v>
      </c>
      <c r="AS982" t="s">
        <v>3000</v>
      </c>
    </row>
    <row r="983" spans="1:45" x14ac:dyDescent="0.2">
      <c r="A983" t="s">
        <v>1326</v>
      </c>
      <c r="B983" s="15" t="s">
        <v>1146</v>
      </c>
      <c r="C983" s="15" t="s">
        <v>1149</v>
      </c>
      <c r="D983" t="s">
        <v>469</v>
      </c>
      <c r="E983" t="s">
        <v>1331</v>
      </c>
      <c r="G983" s="15" t="s">
        <v>1165</v>
      </c>
      <c r="H983" s="14" t="s">
        <v>1165</v>
      </c>
      <c r="I983" s="18" t="s">
        <v>1328</v>
      </c>
      <c r="J983" s="18" t="s">
        <v>1337</v>
      </c>
      <c r="K983" s="18" t="s">
        <v>1338</v>
      </c>
      <c r="L983">
        <v>2000</v>
      </c>
      <c r="M983" t="s">
        <v>1327</v>
      </c>
      <c r="O983">
        <v>2005</v>
      </c>
      <c r="P983">
        <v>2005</v>
      </c>
      <c r="Q983" t="s">
        <v>1329</v>
      </c>
      <c r="R983">
        <v>10</v>
      </c>
      <c r="T983" t="s">
        <v>1330</v>
      </c>
      <c r="U983" t="s">
        <v>1259</v>
      </c>
      <c r="V983" s="9" t="s">
        <v>1332</v>
      </c>
      <c r="W983">
        <v>140</v>
      </c>
      <c r="X983" s="9" t="s">
        <v>1264</v>
      </c>
      <c r="Z983">
        <v>0</v>
      </c>
      <c r="AD983" t="s">
        <v>1165</v>
      </c>
      <c r="AF983" t="s">
        <v>1165</v>
      </c>
      <c r="AI983" t="s">
        <v>1165</v>
      </c>
      <c r="AJ983" s="15" t="s">
        <v>1148</v>
      </c>
      <c r="AK983" s="15">
        <v>14.939</v>
      </c>
      <c r="AP983" s="15">
        <v>28</v>
      </c>
      <c r="AQ983" s="14" t="s">
        <v>1336</v>
      </c>
      <c r="AR983" s="15" t="s">
        <v>1335</v>
      </c>
      <c r="AS983" t="s">
        <v>3000</v>
      </c>
    </row>
    <row r="984" spans="1:45" x14ac:dyDescent="0.2">
      <c r="A984" t="s">
        <v>1326</v>
      </c>
      <c r="B984" s="15" t="s">
        <v>1146</v>
      </c>
      <c r="C984" s="15" t="s">
        <v>1149</v>
      </c>
      <c r="D984" t="s">
        <v>469</v>
      </c>
      <c r="E984" t="s">
        <v>1331</v>
      </c>
      <c r="G984" s="15" t="s">
        <v>1165</v>
      </c>
      <c r="H984" s="14" t="s">
        <v>1165</v>
      </c>
      <c r="I984" s="18" t="s">
        <v>1328</v>
      </c>
      <c r="J984" s="18" t="s">
        <v>1337</v>
      </c>
      <c r="K984" s="18" t="s">
        <v>1338</v>
      </c>
      <c r="L984">
        <v>2000</v>
      </c>
      <c r="M984" t="s">
        <v>1327</v>
      </c>
      <c r="O984">
        <v>2005</v>
      </c>
      <c r="P984">
        <v>2005</v>
      </c>
      <c r="Q984" t="s">
        <v>1329</v>
      </c>
      <c r="R984">
        <v>10</v>
      </c>
      <c r="T984" t="s">
        <v>1330</v>
      </c>
      <c r="U984" t="s">
        <v>1259</v>
      </c>
      <c r="V984" s="9" t="s">
        <v>1332</v>
      </c>
      <c r="W984">
        <v>140</v>
      </c>
      <c r="X984" s="9" t="s">
        <v>1261</v>
      </c>
      <c r="Z984">
        <v>0</v>
      </c>
      <c r="AD984" t="s">
        <v>1165</v>
      </c>
      <c r="AF984" t="s">
        <v>1165</v>
      </c>
      <c r="AI984" t="s">
        <v>1165</v>
      </c>
      <c r="AJ984" s="15" t="s">
        <v>1148</v>
      </c>
      <c r="AK984" s="15">
        <v>18.597999999999999</v>
      </c>
      <c r="AP984" s="15">
        <v>28</v>
      </c>
      <c r="AQ984" s="14" t="s">
        <v>1336</v>
      </c>
      <c r="AR984" s="15" t="s">
        <v>1335</v>
      </c>
      <c r="AS984" t="s">
        <v>3000</v>
      </c>
    </row>
    <row r="985" spans="1:45" x14ac:dyDescent="0.2">
      <c r="A985" t="s">
        <v>1326</v>
      </c>
      <c r="B985" s="15" t="s">
        <v>1146</v>
      </c>
      <c r="C985" s="15" t="s">
        <v>1149</v>
      </c>
      <c r="D985" t="s">
        <v>469</v>
      </c>
      <c r="E985" t="s">
        <v>1331</v>
      </c>
      <c r="G985" s="15" t="s">
        <v>1165</v>
      </c>
      <c r="H985" s="14" t="s">
        <v>1165</v>
      </c>
      <c r="I985" s="18" t="s">
        <v>1328</v>
      </c>
      <c r="J985" s="18" t="s">
        <v>1337</v>
      </c>
      <c r="K985" s="18" t="s">
        <v>1338</v>
      </c>
      <c r="L985">
        <v>2000</v>
      </c>
      <c r="M985" t="s">
        <v>1327</v>
      </c>
      <c r="O985">
        <v>2005</v>
      </c>
      <c r="P985">
        <v>2005</v>
      </c>
      <c r="Q985" t="s">
        <v>1329</v>
      </c>
      <c r="R985">
        <v>10</v>
      </c>
      <c r="T985" t="s">
        <v>1330</v>
      </c>
      <c r="U985" t="s">
        <v>1259</v>
      </c>
      <c r="V985" s="9" t="s">
        <v>1332</v>
      </c>
      <c r="W985">
        <v>140</v>
      </c>
      <c r="X985" s="9" t="s">
        <v>1334</v>
      </c>
      <c r="Z985">
        <v>0</v>
      </c>
      <c r="AD985" t="s">
        <v>1165</v>
      </c>
      <c r="AF985" t="s">
        <v>1165</v>
      </c>
      <c r="AI985" t="s">
        <v>1165</v>
      </c>
      <c r="AJ985" s="15" t="s">
        <v>1148</v>
      </c>
      <c r="AK985" s="15">
        <v>14.939</v>
      </c>
      <c r="AP985" s="15">
        <v>28</v>
      </c>
      <c r="AQ985" s="14" t="s">
        <v>1336</v>
      </c>
      <c r="AR985" s="15" t="s">
        <v>1335</v>
      </c>
      <c r="AS985" t="s">
        <v>3000</v>
      </c>
    </row>
    <row r="986" spans="1:45" x14ac:dyDescent="0.2">
      <c r="A986" t="s">
        <v>1326</v>
      </c>
      <c r="B986" s="15" t="s">
        <v>1146</v>
      </c>
      <c r="C986" s="15" t="s">
        <v>1149</v>
      </c>
      <c r="D986" t="s">
        <v>469</v>
      </c>
      <c r="E986" t="s">
        <v>1331</v>
      </c>
      <c r="G986" s="15" t="s">
        <v>1165</v>
      </c>
      <c r="H986" s="14" t="s">
        <v>1165</v>
      </c>
      <c r="I986" s="18" t="s">
        <v>1328</v>
      </c>
      <c r="J986" s="18" t="s">
        <v>1337</v>
      </c>
      <c r="K986" s="18" t="s">
        <v>1338</v>
      </c>
      <c r="L986">
        <v>2000</v>
      </c>
      <c r="M986" t="s">
        <v>1327</v>
      </c>
      <c r="O986">
        <v>2005</v>
      </c>
      <c r="P986">
        <v>2005</v>
      </c>
      <c r="Q986" t="s">
        <v>1329</v>
      </c>
      <c r="R986">
        <v>10</v>
      </c>
      <c r="T986" t="s">
        <v>1330</v>
      </c>
      <c r="U986" t="s">
        <v>1259</v>
      </c>
      <c r="V986" s="9" t="s">
        <v>1332</v>
      </c>
      <c r="W986">
        <v>210</v>
      </c>
      <c r="X986" s="9" t="s">
        <v>1333</v>
      </c>
      <c r="Z986">
        <v>12</v>
      </c>
      <c r="AD986" t="s">
        <v>1165</v>
      </c>
      <c r="AF986" t="s">
        <v>1165</v>
      </c>
      <c r="AI986" t="s">
        <v>1165</v>
      </c>
      <c r="AJ986" s="15" t="s">
        <v>1148</v>
      </c>
      <c r="AK986" s="15">
        <v>50</v>
      </c>
      <c r="AP986" s="15">
        <v>28</v>
      </c>
      <c r="AQ986" s="14" t="s">
        <v>1336</v>
      </c>
      <c r="AR986" s="15" t="s">
        <v>1335</v>
      </c>
      <c r="AS986" t="s">
        <v>3000</v>
      </c>
    </row>
    <row r="987" spans="1:45" x14ac:dyDescent="0.2">
      <c r="A987" t="s">
        <v>1326</v>
      </c>
      <c r="B987" s="15" t="s">
        <v>1146</v>
      </c>
      <c r="C987" s="15" t="s">
        <v>1149</v>
      </c>
      <c r="D987" t="s">
        <v>469</v>
      </c>
      <c r="E987" t="s">
        <v>1331</v>
      </c>
      <c r="G987" s="15" t="s">
        <v>1165</v>
      </c>
      <c r="H987" s="14" t="s">
        <v>1165</v>
      </c>
      <c r="I987" s="18" t="s">
        <v>1328</v>
      </c>
      <c r="J987" s="18" t="s">
        <v>1337</v>
      </c>
      <c r="K987" s="18" t="s">
        <v>1338</v>
      </c>
      <c r="L987">
        <v>2000</v>
      </c>
      <c r="M987" t="s">
        <v>1327</v>
      </c>
      <c r="O987">
        <v>2005</v>
      </c>
      <c r="P987">
        <v>2005</v>
      </c>
      <c r="Q987" t="s">
        <v>1329</v>
      </c>
      <c r="R987">
        <v>10</v>
      </c>
      <c r="T987" t="s">
        <v>1330</v>
      </c>
      <c r="U987" t="s">
        <v>1259</v>
      </c>
      <c r="V987" s="9" t="s">
        <v>1332</v>
      </c>
      <c r="W987">
        <v>210</v>
      </c>
      <c r="X987" s="9" t="s">
        <v>1264</v>
      </c>
      <c r="Z987">
        <v>12</v>
      </c>
      <c r="AD987" t="s">
        <v>1165</v>
      </c>
      <c r="AF987" t="s">
        <v>1165</v>
      </c>
      <c r="AI987" t="s">
        <v>1165</v>
      </c>
      <c r="AJ987" s="15" t="s">
        <v>1148</v>
      </c>
      <c r="AK987" s="15">
        <v>99.084999999999994</v>
      </c>
      <c r="AP987" s="15">
        <v>28</v>
      </c>
      <c r="AQ987" s="14" t="s">
        <v>1336</v>
      </c>
      <c r="AR987" s="15" t="s">
        <v>1335</v>
      </c>
      <c r="AS987" t="s">
        <v>3000</v>
      </c>
    </row>
    <row r="988" spans="1:45" x14ac:dyDescent="0.2">
      <c r="A988" t="s">
        <v>1326</v>
      </c>
      <c r="B988" s="15" t="s">
        <v>1146</v>
      </c>
      <c r="C988" s="15" t="s">
        <v>1149</v>
      </c>
      <c r="D988" t="s">
        <v>469</v>
      </c>
      <c r="E988" t="s">
        <v>1331</v>
      </c>
      <c r="G988" s="15" t="s">
        <v>1165</v>
      </c>
      <c r="H988" s="14" t="s">
        <v>1165</v>
      </c>
      <c r="I988" s="18" t="s">
        <v>1328</v>
      </c>
      <c r="J988" s="18" t="s">
        <v>1337</v>
      </c>
      <c r="K988" s="18" t="s">
        <v>1338</v>
      </c>
      <c r="L988">
        <v>2000</v>
      </c>
      <c r="M988" t="s">
        <v>1327</v>
      </c>
      <c r="O988">
        <v>2005</v>
      </c>
      <c r="P988">
        <v>2005</v>
      </c>
      <c r="Q988" t="s">
        <v>1329</v>
      </c>
      <c r="R988">
        <v>10</v>
      </c>
      <c r="T988" t="s">
        <v>1330</v>
      </c>
      <c r="U988" t="s">
        <v>1259</v>
      </c>
      <c r="V988" s="9" t="s">
        <v>1332</v>
      </c>
      <c r="W988">
        <v>210</v>
      </c>
      <c r="X988" s="9" t="s">
        <v>1261</v>
      </c>
      <c r="Z988">
        <v>12</v>
      </c>
      <c r="AD988" t="s">
        <v>1165</v>
      </c>
      <c r="AF988" t="s">
        <v>1165</v>
      </c>
      <c r="AI988" t="s">
        <v>1165</v>
      </c>
      <c r="AJ988" s="15" t="s">
        <v>1148</v>
      </c>
      <c r="AK988" s="15">
        <v>99.084999999999994</v>
      </c>
      <c r="AP988" s="15">
        <v>28</v>
      </c>
      <c r="AQ988" s="14" t="s">
        <v>1336</v>
      </c>
      <c r="AR988" s="15" t="s">
        <v>1335</v>
      </c>
      <c r="AS988" t="s">
        <v>3000</v>
      </c>
    </row>
    <row r="989" spans="1:45" x14ac:dyDescent="0.2">
      <c r="A989" t="s">
        <v>1326</v>
      </c>
      <c r="B989" s="15" t="s">
        <v>1146</v>
      </c>
      <c r="C989" s="15" t="s">
        <v>1149</v>
      </c>
      <c r="D989" t="s">
        <v>469</v>
      </c>
      <c r="E989" t="s">
        <v>1331</v>
      </c>
      <c r="G989" s="15" t="s">
        <v>1165</v>
      </c>
      <c r="H989" s="14" t="s">
        <v>1165</v>
      </c>
      <c r="I989" s="18" t="s">
        <v>1328</v>
      </c>
      <c r="J989" s="18" t="s">
        <v>1337</v>
      </c>
      <c r="K989" s="18" t="s">
        <v>1338</v>
      </c>
      <c r="L989">
        <v>2000</v>
      </c>
      <c r="M989" t="s">
        <v>1327</v>
      </c>
      <c r="O989">
        <v>2005</v>
      </c>
      <c r="P989">
        <v>2005</v>
      </c>
      <c r="Q989" t="s">
        <v>1329</v>
      </c>
      <c r="R989">
        <v>10</v>
      </c>
      <c r="T989" t="s">
        <v>1330</v>
      </c>
      <c r="U989" t="s">
        <v>1259</v>
      </c>
      <c r="V989" s="9" t="s">
        <v>1332</v>
      </c>
      <c r="W989">
        <v>210</v>
      </c>
      <c r="X989" s="9" t="s">
        <v>1334</v>
      </c>
      <c r="Z989">
        <v>12</v>
      </c>
      <c r="AD989" t="s">
        <v>1165</v>
      </c>
      <c r="AF989" t="s">
        <v>1165</v>
      </c>
      <c r="AI989" t="s">
        <v>1165</v>
      </c>
      <c r="AJ989" s="15" t="s">
        <v>1148</v>
      </c>
      <c r="AK989" s="15">
        <v>99.084999999999994</v>
      </c>
      <c r="AP989" s="15">
        <v>28</v>
      </c>
      <c r="AQ989" s="14" t="s">
        <v>1336</v>
      </c>
      <c r="AR989" s="15" t="s">
        <v>1335</v>
      </c>
      <c r="AS989" t="s">
        <v>3000</v>
      </c>
    </row>
    <row r="990" spans="1:45" x14ac:dyDescent="0.2">
      <c r="A990" t="s">
        <v>1326</v>
      </c>
      <c r="B990" s="15" t="s">
        <v>1146</v>
      </c>
      <c r="C990" s="15" t="s">
        <v>1149</v>
      </c>
      <c r="D990" t="s">
        <v>469</v>
      </c>
      <c r="E990" t="s">
        <v>1331</v>
      </c>
      <c r="G990" s="15" t="s">
        <v>1165</v>
      </c>
      <c r="H990" s="14" t="s">
        <v>1165</v>
      </c>
      <c r="I990" s="18" t="s">
        <v>1328</v>
      </c>
      <c r="J990" s="18" t="s">
        <v>1337</v>
      </c>
      <c r="K990" s="18" t="s">
        <v>1338</v>
      </c>
      <c r="L990">
        <v>2000</v>
      </c>
      <c r="M990" t="s">
        <v>1327</v>
      </c>
      <c r="O990">
        <v>2005</v>
      </c>
      <c r="P990">
        <v>2005</v>
      </c>
      <c r="Q990" t="s">
        <v>1329</v>
      </c>
      <c r="R990">
        <v>10</v>
      </c>
      <c r="T990" t="s">
        <v>1330</v>
      </c>
      <c r="U990" t="s">
        <v>1259</v>
      </c>
      <c r="V990" s="9" t="s">
        <v>1332</v>
      </c>
      <c r="W990">
        <v>210</v>
      </c>
      <c r="X990" s="9" t="s">
        <v>1333</v>
      </c>
      <c r="Z990">
        <v>0</v>
      </c>
      <c r="AD990" t="s">
        <v>1165</v>
      </c>
      <c r="AF990" t="s">
        <v>1165</v>
      </c>
      <c r="AI990" t="s">
        <v>1165</v>
      </c>
      <c r="AJ990" s="15" t="s">
        <v>1148</v>
      </c>
      <c r="AK990" s="15">
        <v>15.853999999999999</v>
      </c>
      <c r="AP990" s="15">
        <v>28</v>
      </c>
      <c r="AQ990" s="14" t="s">
        <v>1336</v>
      </c>
      <c r="AR990" s="15" t="s">
        <v>1335</v>
      </c>
      <c r="AS990" t="s">
        <v>3000</v>
      </c>
    </row>
    <row r="991" spans="1:45" x14ac:dyDescent="0.2">
      <c r="A991" t="s">
        <v>1326</v>
      </c>
      <c r="B991" s="15" t="s">
        <v>1146</v>
      </c>
      <c r="C991" s="15" t="s">
        <v>1149</v>
      </c>
      <c r="D991" t="s">
        <v>469</v>
      </c>
      <c r="E991" t="s">
        <v>1331</v>
      </c>
      <c r="G991" s="15" t="s">
        <v>1165</v>
      </c>
      <c r="H991" s="14" t="s">
        <v>1165</v>
      </c>
      <c r="I991" s="18" t="s">
        <v>1328</v>
      </c>
      <c r="J991" s="18" t="s">
        <v>1337</v>
      </c>
      <c r="K991" s="18" t="s">
        <v>1338</v>
      </c>
      <c r="L991">
        <v>2000</v>
      </c>
      <c r="M991" t="s">
        <v>1327</v>
      </c>
      <c r="O991">
        <v>2005</v>
      </c>
      <c r="P991">
        <v>2005</v>
      </c>
      <c r="Q991" t="s">
        <v>1329</v>
      </c>
      <c r="R991">
        <v>10</v>
      </c>
      <c r="T991" t="s">
        <v>1330</v>
      </c>
      <c r="U991" t="s">
        <v>1259</v>
      </c>
      <c r="V991" s="9" t="s">
        <v>1332</v>
      </c>
      <c r="W991">
        <v>210</v>
      </c>
      <c r="X991" s="9" t="s">
        <v>1264</v>
      </c>
      <c r="Z991">
        <v>0</v>
      </c>
      <c r="AD991" t="s">
        <v>1165</v>
      </c>
      <c r="AF991" t="s">
        <v>1165</v>
      </c>
      <c r="AI991" t="s">
        <v>1165</v>
      </c>
      <c r="AJ991" s="15" t="s">
        <v>1148</v>
      </c>
      <c r="AK991" s="15">
        <v>12.5</v>
      </c>
      <c r="AP991" s="15">
        <v>28</v>
      </c>
      <c r="AQ991" s="14" t="s">
        <v>1336</v>
      </c>
      <c r="AR991" s="15" t="s">
        <v>1335</v>
      </c>
      <c r="AS991" t="s">
        <v>3000</v>
      </c>
    </row>
    <row r="992" spans="1:45" x14ac:dyDescent="0.2">
      <c r="A992" t="s">
        <v>1326</v>
      </c>
      <c r="B992" s="15" t="s">
        <v>1146</v>
      </c>
      <c r="C992" s="15" t="s">
        <v>1149</v>
      </c>
      <c r="D992" t="s">
        <v>469</v>
      </c>
      <c r="E992" t="s">
        <v>1331</v>
      </c>
      <c r="G992" s="15" t="s">
        <v>1165</v>
      </c>
      <c r="H992" s="14" t="s">
        <v>1165</v>
      </c>
      <c r="I992" s="18" t="s">
        <v>1328</v>
      </c>
      <c r="J992" s="18" t="s">
        <v>1337</v>
      </c>
      <c r="K992" s="18" t="s">
        <v>1338</v>
      </c>
      <c r="L992">
        <v>2000</v>
      </c>
      <c r="M992" t="s">
        <v>1327</v>
      </c>
      <c r="O992">
        <v>2005</v>
      </c>
      <c r="P992">
        <v>2005</v>
      </c>
      <c r="Q992" t="s">
        <v>1329</v>
      </c>
      <c r="R992">
        <v>10</v>
      </c>
      <c r="T992" t="s">
        <v>1330</v>
      </c>
      <c r="U992" t="s">
        <v>1259</v>
      </c>
      <c r="V992" s="9" t="s">
        <v>1332</v>
      </c>
      <c r="W992">
        <v>210</v>
      </c>
      <c r="X992" s="9" t="s">
        <v>1261</v>
      </c>
      <c r="Z992">
        <v>0</v>
      </c>
      <c r="AD992" t="s">
        <v>1165</v>
      </c>
      <c r="AF992" t="s">
        <v>1165</v>
      </c>
      <c r="AI992" t="s">
        <v>1165</v>
      </c>
      <c r="AJ992" s="15" t="s">
        <v>1148</v>
      </c>
      <c r="AK992" s="15">
        <v>30.792999999999999</v>
      </c>
      <c r="AP992" s="15">
        <v>28</v>
      </c>
      <c r="AQ992" s="14" t="s">
        <v>1336</v>
      </c>
      <c r="AR992" s="15" t="s">
        <v>1335</v>
      </c>
      <c r="AS992" t="s">
        <v>3000</v>
      </c>
    </row>
    <row r="993" spans="1:45" x14ac:dyDescent="0.2">
      <c r="A993" t="s">
        <v>1326</v>
      </c>
      <c r="B993" s="15" t="s">
        <v>1146</v>
      </c>
      <c r="C993" s="15" t="s">
        <v>1149</v>
      </c>
      <c r="D993" t="s">
        <v>469</v>
      </c>
      <c r="E993" t="s">
        <v>1331</v>
      </c>
      <c r="G993" s="15" t="s">
        <v>1165</v>
      </c>
      <c r="H993" s="14" t="s">
        <v>1165</v>
      </c>
      <c r="I993" s="18" t="s">
        <v>1328</v>
      </c>
      <c r="J993" s="18" t="s">
        <v>1337</v>
      </c>
      <c r="K993" s="18" t="s">
        <v>1338</v>
      </c>
      <c r="L993">
        <v>2000</v>
      </c>
      <c r="M993" t="s">
        <v>1327</v>
      </c>
      <c r="O993">
        <v>2005</v>
      </c>
      <c r="P993">
        <v>2005</v>
      </c>
      <c r="Q993" t="s">
        <v>1329</v>
      </c>
      <c r="R993">
        <v>10</v>
      </c>
      <c r="T993" t="s">
        <v>1330</v>
      </c>
      <c r="U993" t="s">
        <v>1259</v>
      </c>
      <c r="V993" s="9" t="s">
        <v>1332</v>
      </c>
      <c r="W993">
        <v>210</v>
      </c>
      <c r="X993" s="9" t="s">
        <v>1334</v>
      </c>
      <c r="Z993">
        <v>0</v>
      </c>
      <c r="AD993" t="s">
        <v>1165</v>
      </c>
      <c r="AF993" t="s">
        <v>1165</v>
      </c>
      <c r="AI993" t="s">
        <v>1165</v>
      </c>
      <c r="AJ993" s="15" t="s">
        <v>1148</v>
      </c>
      <c r="AK993" s="15">
        <v>46.646000000000001</v>
      </c>
      <c r="AP993" s="15">
        <v>28</v>
      </c>
      <c r="AQ993" s="14" t="s">
        <v>1336</v>
      </c>
      <c r="AR993" s="15" t="s">
        <v>1335</v>
      </c>
      <c r="AS993" t="s">
        <v>3000</v>
      </c>
    </row>
    <row r="994" spans="1:45" x14ac:dyDescent="0.2">
      <c r="A994" t="s">
        <v>1326</v>
      </c>
      <c r="B994" s="15" t="s">
        <v>1146</v>
      </c>
      <c r="C994" s="15" t="s">
        <v>1149</v>
      </c>
      <c r="D994" t="s">
        <v>469</v>
      </c>
      <c r="E994" t="s">
        <v>1331</v>
      </c>
      <c r="G994" s="15" t="s">
        <v>1165</v>
      </c>
      <c r="H994" s="14" t="s">
        <v>1165</v>
      </c>
      <c r="I994" s="18" t="s">
        <v>1328</v>
      </c>
      <c r="J994" s="18" t="s">
        <v>1337</v>
      </c>
      <c r="K994" s="18" t="s">
        <v>1338</v>
      </c>
      <c r="L994">
        <v>2000</v>
      </c>
      <c r="M994" t="s">
        <v>1327</v>
      </c>
      <c r="O994">
        <v>2005</v>
      </c>
      <c r="P994">
        <v>2005</v>
      </c>
      <c r="Q994" t="s">
        <v>1329</v>
      </c>
      <c r="R994">
        <v>10</v>
      </c>
      <c r="T994" t="s">
        <v>1330</v>
      </c>
      <c r="U994" t="s">
        <v>1340</v>
      </c>
      <c r="V994" s="9" t="s">
        <v>1339</v>
      </c>
      <c r="W994">
        <v>0</v>
      </c>
      <c r="X994" s="9" t="s">
        <v>1333</v>
      </c>
      <c r="Z994">
        <v>12</v>
      </c>
      <c r="AD994" t="s">
        <v>1165</v>
      </c>
      <c r="AF994" t="s">
        <v>1165</v>
      </c>
      <c r="AI994" t="s">
        <v>1165</v>
      </c>
      <c r="AJ994" s="15" t="s">
        <v>1148</v>
      </c>
      <c r="AK994" s="15">
        <v>2.4390000000000001</v>
      </c>
      <c r="AP994" s="15">
        <v>28</v>
      </c>
      <c r="AQ994" s="14" t="s">
        <v>1336</v>
      </c>
      <c r="AR994" s="15" t="s">
        <v>1335</v>
      </c>
      <c r="AS994" t="s">
        <v>3001</v>
      </c>
    </row>
    <row r="995" spans="1:45" x14ac:dyDescent="0.2">
      <c r="A995" t="s">
        <v>1326</v>
      </c>
      <c r="B995" s="15" t="s">
        <v>1146</v>
      </c>
      <c r="C995" s="15" t="s">
        <v>1149</v>
      </c>
      <c r="D995" t="s">
        <v>469</v>
      </c>
      <c r="E995" t="s">
        <v>1331</v>
      </c>
      <c r="G995" s="15" t="s">
        <v>1165</v>
      </c>
      <c r="H995" s="14" t="s">
        <v>1165</v>
      </c>
      <c r="I995" s="18" t="s">
        <v>1328</v>
      </c>
      <c r="J995" s="18" t="s">
        <v>1337</v>
      </c>
      <c r="K995" s="18" t="s">
        <v>1338</v>
      </c>
      <c r="L995">
        <v>2000</v>
      </c>
      <c r="M995" t="s">
        <v>1327</v>
      </c>
      <c r="O995">
        <v>2005</v>
      </c>
      <c r="P995">
        <v>2005</v>
      </c>
      <c r="Q995" t="s">
        <v>1329</v>
      </c>
      <c r="R995">
        <v>10</v>
      </c>
      <c r="T995" t="s">
        <v>1330</v>
      </c>
      <c r="U995" t="s">
        <v>1340</v>
      </c>
      <c r="V995" s="9" t="s">
        <v>1339</v>
      </c>
      <c r="W995">
        <v>0</v>
      </c>
      <c r="X995" s="9" t="s">
        <v>1264</v>
      </c>
      <c r="Z995">
        <v>12</v>
      </c>
      <c r="AD995" t="s">
        <v>1165</v>
      </c>
      <c r="AF995" t="s">
        <v>1165</v>
      </c>
      <c r="AI995" t="s">
        <v>1165</v>
      </c>
      <c r="AJ995" s="15" t="s">
        <v>1148</v>
      </c>
      <c r="AK995" s="15">
        <v>9.6539999999999999</v>
      </c>
      <c r="AP995" s="15">
        <v>28</v>
      </c>
      <c r="AQ995" s="14" t="s">
        <v>1336</v>
      </c>
      <c r="AR995" s="15" t="s">
        <v>1335</v>
      </c>
      <c r="AS995" t="s">
        <v>3001</v>
      </c>
    </row>
    <row r="996" spans="1:45" x14ac:dyDescent="0.2">
      <c r="A996" t="s">
        <v>1326</v>
      </c>
      <c r="B996" s="15" t="s">
        <v>1146</v>
      </c>
      <c r="C996" s="15" t="s">
        <v>1149</v>
      </c>
      <c r="D996" t="s">
        <v>469</v>
      </c>
      <c r="E996" t="s">
        <v>1331</v>
      </c>
      <c r="G996" s="15" t="s">
        <v>1165</v>
      </c>
      <c r="H996" s="14" t="s">
        <v>1165</v>
      </c>
      <c r="I996" s="18" t="s">
        <v>1328</v>
      </c>
      <c r="J996" s="18" t="s">
        <v>1337</v>
      </c>
      <c r="K996" s="18" t="s">
        <v>1338</v>
      </c>
      <c r="L996">
        <v>2000</v>
      </c>
      <c r="M996" t="s">
        <v>1327</v>
      </c>
      <c r="O996">
        <v>2005</v>
      </c>
      <c r="P996">
        <v>2005</v>
      </c>
      <c r="Q996" t="s">
        <v>1329</v>
      </c>
      <c r="R996">
        <v>10</v>
      </c>
      <c r="T996" t="s">
        <v>1330</v>
      </c>
      <c r="U996" t="s">
        <v>1340</v>
      </c>
      <c r="V996" s="9" t="s">
        <v>1339</v>
      </c>
      <c r="W996">
        <v>0</v>
      </c>
      <c r="X996" s="9" t="s">
        <v>1261</v>
      </c>
      <c r="Z996">
        <v>12</v>
      </c>
      <c r="AD996" t="s">
        <v>1165</v>
      </c>
      <c r="AF996" t="s">
        <v>1165</v>
      </c>
      <c r="AI996" t="s">
        <v>1165</v>
      </c>
      <c r="AJ996" s="15" t="s">
        <v>1148</v>
      </c>
      <c r="AK996" s="15">
        <v>9.6539999999999999</v>
      </c>
      <c r="AP996" s="15">
        <v>28</v>
      </c>
      <c r="AQ996" s="14" t="s">
        <v>1336</v>
      </c>
      <c r="AR996" s="15" t="s">
        <v>1335</v>
      </c>
      <c r="AS996" t="s">
        <v>3001</v>
      </c>
    </row>
    <row r="997" spans="1:45" x14ac:dyDescent="0.2">
      <c r="A997" t="s">
        <v>1326</v>
      </c>
      <c r="B997" s="15" t="s">
        <v>1146</v>
      </c>
      <c r="C997" s="15" t="s">
        <v>1149</v>
      </c>
      <c r="D997" t="s">
        <v>469</v>
      </c>
      <c r="E997" t="s">
        <v>1331</v>
      </c>
      <c r="G997" s="15" t="s">
        <v>1165</v>
      </c>
      <c r="H997" s="14" t="s">
        <v>1165</v>
      </c>
      <c r="I997" s="18" t="s">
        <v>1328</v>
      </c>
      <c r="J997" s="18" t="s">
        <v>1337</v>
      </c>
      <c r="K997" s="18" t="s">
        <v>1338</v>
      </c>
      <c r="L997">
        <v>2000</v>
      </c>
      <c r="M997" t="s">
        <v>1327</v>
      </c>
      <c r="O997">
        <v>2005</v>
      </c>
      <c r="P997">
        <v>2005</v>
      </c>
      <c r="Q997" t="s">
        <v>1329</v>
      </c>
      <c r="R997">
        <v>10</v>
      </c>
      <c r="T997" t="s">
        <v>1330</v>
      </c>
      <c r="U997" t="s">
        <v>1340</v>
      </c>
      <c r="V997" s="9" t="s">
        <v>1339</v>
      </c>
      <c r="W997">
        <v>0</v>
      </c>
      <c r="X997" s="9" t="s">
        <v>1334</v>
      </c>
      <c r="Z997">
        <v>12</v>
      </c>
      <c r="AD997" t="s">
        <v>1165</v>
      </c>
      <c r="AF997" t="s">
        <v>1165</v>
      </c>
      <c r="AI997" t="s">
        <v>1165</v>
      </c>
      <c r="AJ997" s="15" t="s">
        <v>1148</v>
      </c>
      <c r="AK997" s="15">
        <v>13.72</v>
      </c>
      <c r="AP997" s="15">
        <v>28</v>
      </c>
      <c r="AQ997" s="14" t="s">
        <v>1336</v>
      </c>
      <c r="AR997" s="15" t="s">
        <v>1335</v>
      </c>
      <c r="AS997" t="s">
        <v>3001</v>
      </c>
    </row>
    <row r="998" spans="1:45" x14ac:dyDescent="0.2">
      <c r="A998" t="s">
        <v>1326</v>
      </c>
      <c r="B998" s="15" t="s">
        <v>1146</v>
      </c>
      <c r="C998" s="15" t="s">
        <v>1149</v>
      </c>
      <c r="D998" t="s">
        <v>469</v>
      </c>
      <c r="E998" t="s">
        <v>1331</v>
      </c>
      <c r="G998" s="15" t="s">
        <v>1165</v>
      </c>
      <c r="H998" s="14" t="s">
        <v>1165</v>
      </c>
      <c r="I998" s="18" t="s">
        <v>1328</v>
      </c>
      <c r="J998" s="18" t="s">
        <v>1337</v>
      </c>
      <c r="K998" s="18" t="s">
        <v>1338</v>
      </c>
      <c r="L998">
        <v>2000</v>
      </c>
      <c r="M998" t="s">
        <v>1327</v>
      </c>
      <c r="O998">
        <v>2005</v>
      </c>
      <c r="P998">
        <v>2005</v>
      </c>
      <c r="Q998" t="s">
        <v>1329</v>
      </c>
      <c r="R998">
        <v>10</v>
      </c>
      <c r="T998" t="s">
        <v>1330</v>
      </c>
      <c r="U998" t="s">
        <v>1340</v>
      </c>
      <c r="V998" s="9" t="s">
        <v>1339</v>
      </c>
      <c r="W998">
        <v>0</v>
      </c>
      <c r="X998" s="9" t="s">
        <v>1333</v>
      </c>
      <c r="Z998">
        <v>0</v>
      </c>
      <c r="AD998" t="s">
        <v>1165</v>
      </c>
      <c r="AF998" t="s">
        <v>1165</v>
      </c>
      <c r="AI998" t="s">
        <v>1165</v>
      </c>
      <c r="AJ998" s="15" t="s">
        <v>1148</v>
      </c>
      <c r="AK998" s="15">
        <v>0</v>
      </c>
      <c r="AP998" s="15">
        <v>28</v>
      </c>
      <c r="AQ998" s="14" t="s">
        <v>1336</v>
      </c>
      <c r="AR998" s="15" t="s">
        <v>1335</v>
      </c>
      <c r="AS998" t="s">
        <v>3001</v>
      </c>
    </row>
    <row r="999" spans="1:45" x14ac:dyDescent="0.2">
      <c r="A999" t="s">
        <v>1326</v>
      </c>
      <c r="B999" s="15" t="s">
        <v>1146</v>
      </c>
      <c r="C999" s="15" t="s">
        <v>1149</v>
      </c>
      <c r="D999" t="s">
        <v>469</v>
      </c>
      <c r="E999" t="s">
        <v>1331</v>
      </c>
      <c r="G999" s="15" t="s">
        <v>1165</v>
      </c>
      <c r="H999" s="14" t="s">
        <v>1165</v>
      </c>
      <c r="I999" s="18" t="s">
        <v>1328</v>
      </c>
      <c r="J999" s="18" t="s">
        <v>1337</v>
      </c>
      <c r="K999" s="18" t="s">
        <v>1338</v>
      </c>
      <c r="L999">
        <v>2000</v>
      </c>
      <c r="M999" t="s">
        <v>1327</v>
      </c>
      <c r="O999">
        <v>2005</v>
      </c>
      <c r="P999">
        <v>2005</v>
      </c>
      <c r="Q999" t="s">
        <v>1329</v>
      </c>
      <c r="R999">
        <v>10</v>
      </c>
      <c r="T999" t="s">
        <v>1330</v>
      </c>
      <c r="U999" t="s">
        <v>1340</v>
      </c>
      <c r="V999" s="9" t="s">
        <v>1339</v>
      </c>
      <c r="W999">
        <v>0</v>
      </c>
      <c r="X999" s="9" t="s">
        <v>1264</v>
      </c>
      <c r="Z999">
        <v>0</v>
      </c>
      <c r="AD999" t="s">
        <v>1165</v>
      </c>
      <c r="AF999" t="s">
        <v>1165</v>
      </c>
      <c r="AI999" t="s">
        <v>1165</v>
      </c>
      <c r="AJ999" s="15" t="s">
        <v>1148</v>
      </c>
      <c r="AK999" s="15">
        <v>0</v>
      </c>
      <c r="AP999" s="15">
        <v>28</v>
      </c>
      <c r="AQ999" s="14" t="s">
        <v>1336</v>
      </c>
      <c r="AR999" s="15" t="s">
        <v>1335</v>
      </c>
      <c r="AS999" t="s">
        <v>3001</v>
      </c>
    </row>
    <row r="1000" spans="1:45" x14ac:dyDescent="0.2">
      <c r="A1000" t="s">
        <v>1326</v>
      </c>
      <c r="B1000" s="15" t="s">
        <v>1146</v>
      </c>
      <c r="C1000" s="15" t="s">
        <v>1149</v>
      </c>
      <c r="D1000" t="s">
        <v>469</v>
      </c>
      <c r="E1000" t="s">
        <v>1331</v>
      </c>
      <c r="G1000" s="15" t="s">
        <v>1165</v>
      </c>
      <c r="H1000" s="14" t="s">
        <v>1165</v>
      </c>
      <c r="I1000" s="18" t="s">
        <v>1328</v>
      </c>
      <c r="J1000" s="18" t="s">
        <v>1337</v>
      </c>
      <c r="K1000" s="18" t="s">
        <v>1338</v>
      </c>
      <c r="L1000">
        <v>2000</v>
      </c>
      <c r="M1000" t="s">
        <v>1327</v>
      </c>
      <c r="O1000">
        <v>2005</v>
      </c>
      <c r="P1000">
        <v>2005</v>
      </c>
      <c r="Q1000" t="s">
        <v>1329</v>
      </c>
      <c r="R1000">
        <v>10</v>
      </c>
      <c r="T1000" t="s">
        <v>1330</v>
      </c>
      <c r="U1000" t="s">
        <v>1340</v>
      </c>
      <c r="V1000" s="9" t="s">
        <v>1339</v>
      </c>
      <c r="W1000">
        <v>0</v>
      </c>
      <c r="X1000" s="9" t="s">
        <v>1261</v>
      </c>
      <c r="Z1000">
        <v>0</v>
      </c>
      <c r="AD1000" t="s">
        <v>1165</v>
      </c>
      <c r="AF1000" t="s">
        <v>1165</v>
      </c>
      <c r="AI1000" t="s">
        <v>1165</v>
      </c>
      <c r="AJ1000" s="15" t="s">
        <v>1148</v>
      </c>
      <c r="AK1000" s="15">
        <v>0</v>
      </c>
      <c r="AP1000" s="15">
        <v>28</v>
      </c>
      <c r="AQ1000" s="14" t="s">
        <v>1336</v>
      </c>
      <c r="AR1000" s="15" t="s">
        <v>1335</v>
      </c>
      <c r="AS1000" t="s">
        <v>3001</v>
      </c>
    </row>
    <row r="1001" spans="1:45" ht="19" customHeight="1" x14ac:dyDescent="0.2">
      <c r="A1001" t="s">
        <v>1326</v>
      </c>
      <c r="B1001" s="15" t="s">
        <v>1146</v>
      </c>
      <c r="C1001" s="15" t="s">
        <v>1149</v>
      </c>
      <c r="D1001" t="s">
        <v>469</v>
      </c>
      <c r="E1001" t="s">
        <v>1331</v>
      </c>
      <c r="G1001" s="15" t="s">
        <v>1165</v>
      </c>
      <c r="H1001" s="14" t="s">
        <v>1165</v>
      </c>
      <c r="I1001" s="18" t="s">
        <v>1328</v>
      </c>
      <c r="J1001" s="18" t="s">
        <v>1337</v>
      </c>
      <c r="K1001" s="18" t="s">
        <v>1338</v>
      </c>
      <c r="L1001">
        <v>2000</v>
      </c>
      <c r="M1001" t="s">
        <v>1327</v>
      </c>
      <c r="O1001">
        <v>2005</v>
      </c>
      <c r="P1001">
        <v>2005</v>
      </c>
      <c r="Q1001" t="s">
        <v>1329</v>
      </c>
      <c r="R1001">
        <v>10</v>
      </c>
      <c r="T1001" t="s">
        <v>1330</v>
      </c>
      <c r="U1001" t="s">
        <v>1340</v>
      </c>
      <c r="V1001" s="9" t="s">
        <v>1339</v>
      </c>
      <c r="W1001">
        <v>0</v>
      </c>
      <c r="X1001" s="9" t="s">
        <v>1334</v>
      </c>
      <c r="Z1001">
        <v>0</v>
      </c>
      <c r="AD1001" t="s">
        <v>1165</v>
      </c>
      <c r="AF1001" t="s">
        <v>1165</v>
      </c>
      <c r="AI1001" t="s">
        <v>1165</v>
      </c>
      <c r="AJ1001" s="15" t="s">
        <v>1148</v>
      </c>
      <c r="AK1001" s="15">
        <v>0</v>
      </c>
      <c r="AP1001" s="15">
        <v>28</v>
      </c>
      <c r="AQ1001" s="14" t="s">
        <v>1336</v>
      </c>
      <c r="AR1001" s="15" t="s">
        <v>1335</v>
      </c>
      <c r="AS1001" t="s">
        <v>3001</v>
      </c>
    </row>
    <row r="1002" spans="1:45" x14ac:dyDescent="0.2">
      <c r="A1002" t="s">
        <v>1326</v>
      </c>
      <c r="B1002" s="15" t="s">
        <v>1146</v>
      </c>
      <c r="C1002" s="15" t="s">
        <v>1149</v>
      </c>
      <c r="D1002" t="s">
        <v>469</v>
      </c>
      <c r="E1002" t="s">
        <v>1331</v>
      </c>
      <c r="G1002" s="15" t="s">
        <v>1165</v>
      </c>
      <c r="H1002" s="14" t="s">
        <v>1165</v>
      </c>
      <c r="I1002" s="18" t="s">
        <v>1328</v>
      </c>
      <c r="J1002" s="18" t="s">
        <v>1337</v>
      </c>
      <c r="K1002" s="18" t="s">
        <v>1338</v>
      </c>
      <c r="L1002">
        <v>2000</v>
      </c>
      <c r="M1002" t="s">
        <v>1327</v>
      </c>
      <c r="O1002">
        <v>2005</v>
      </c>
      <c r="P1002">
        <v>2005</v>
      </c>
      <c r="Q1002" t="s">
        <v>1329</v>
      </c>
      <c r="R1002">
        <v>10</v>
      </c>
      <c r="T1002" t="s">
        <v>1330</v>
      </c>
      <c r="U1002" t="s">
        <v>1340</v>
      </c>
      <c r="V1002" s="9" t="s">
        <v>1339</v>
      </c>
      <c r="W1002">
        <v>17.5</v>
      </c>
      <c r="X1002" s="9" t="s">
        <v>1333</v>
      </c>
      <c r="Z1002">
        <v>12</v>
      </c>
      <c r="AD1002" t="s">
        <v>1165</v>
      </c>
      <c r="AF1002" t="s">
        <v>1165</v>
      </c>
      <c r="AI1002" t="s">
        <v>1165</v>
      </c>
      <c r="AJ1002" s="15" t="s">
        <v>1148</v>
      </c>
      <c r="AK1002" s="15">
        <v>8.0280000000000005</v>
      </c>
      <c r="AP1002" s="15">
        <v>28</v>
      </c>
      <c r="AQ1002" s="14" t="s">
        <v>1336</v>
      </c>
      <c r="AR1002" s="15" t="s">
        <v>1335</v>
      </c>
      <c r="AS1002" t="s">
        <v>3001</v>
      </c>
    </row>
    <row r="1003" spans="1:45" x14ac:dyDescent="0.2">
      <c r="A1003" t="s">
        <v>1326</v>
      </c>
      <c r="B1003" s="15" t="s">
        <v>1146</v>
      </c>
      <c r="C1003" s="15" t="s">
        <v>1149</v>
      </c>
      <c r="D1003" t="s">
        <v>469</v>
      </c>
      <c r="E1003" t="s">
        <v>1331</v>
      </c>
      <c r="G1003" s="15" t="s">
        <v>1165</v>
      </c>
      <c r="H1003" s="14" t="s">
        <v>1165</v>
      </c>
      <c r="I1003" s="18" t="s">
        <v>1328</v>
      </c>
      <c r="J1003" s="18" t="s">
        <v>1337</v>
      </c>
      <c r="K1003" s="18" t="s">
        <v>1338</v>
      </c>
      <c r="L1003">
        <v>2000</v>
      </c>
      <c r="M1003" t="s">
        <v>1327</v>
      </c>
      <c r="O1003">
        <v>2005</v>
      </c>
      <c r="P1003">
        <v>2005</v>
      </c>
      <c r="Q1003" t="s">
        <v>1329</v>
      </c>
      <c r="R1003">
        <v>10</v>
      </c>
      <c r="T1003" t="s">
        <v>1330</v>
      </c>
      <c r="U1003" t="s">
        <v>1340</v>
      </c>
      <c r="V1003" s="9" t="s">
        <v>1339</v>
      </c>
      <c r="W1003">
        <v>17.5</v>
      </c>
      <c r="X1003" s="9" t="s">
        <v>1264</v>
      </c>
      <c r="Z1003">
        <v>12</v>
      </c>
      <c r="AD1003" t="s">
        <v>1165</v>
      </c>
      <c r="AF1003" t="s">
        <v>1165</v>
      </c>
      <c r="AI1003" t="s">
        <v>1165</v>
      </c>
      <c r="AJ1003" s="15" t="s">
        <v>1148</v>
      </c>
      <c r="AK1003" s="15">
        <v>18.597999999999999</v>
      </c>
      <c r="AP1003" s="15">
        <v>28</v>
      </c>
      <c r="AQ1003" s="14" t="s">
        <v>1336</v>
      </c>
      <c r="AR1003" s="15" t="s">
        <v>1335</v>
      </c>
      <c r="AS1003" t="s">
        <v>3001</v>
      </c>
    </row>
    <row r="1004" spans="1:45" x14ac:dyDescent="0.2">
      <c r="A1004" t="s">
        <v>1326</v>
      </c>
      <c r="B1004" s="15" t="s">
        <v>1146</v>
      </c>
      <c r="C1004" s="15" t="s">
        <v>1149</v>
      </c>
      <c r="D1004" t="s">
        <v>469</v>
      </c>
      <c r="E1004" t="s">
        <v>1331</v>
      </c>
      <c r="G1004" s="15" t="s">
        <v>1165</v>
      </c>
      <c r="H1004" s="14" t="s">
        <v>1165</v>
      </c>
      <c r="I1004" s="18" t="s">
        <v>1328</v>
      </c>
      <c r="J1004" s="18" t="s">
        <v>1337</v>
      </c>
      <c r="K1004" s="18" t="s">
        <v>1338</v>
      </c>
      <c r="L1004">
        <v>2000</v>
      </c>
      <c r="M1004" t="s">
        <v>1327</v>
      </c>
      <c r="O1004">
        <v>2005</v>
      </c>
      <c r="P1004">
        <v>2005</v>
      </c>
      <c r="Q1004" t="s">
        <v>1329</v>
      </c>
      <c r="R1004">
        <v>10</v>
      </c>
      <c r="T1004" t="s">
        <v>1330</v>
      </c>
      <c r="U1004" t="s">
        <v>1340</v>
      </c>
      <c r="V1004" s="9" t="s">
        <v>1339</v>
      </c>
      <c r="W1004">
        <v>17.5</v>
      </c>
      <c r="X1004" s="9" t="s">
        <v>1261</v>
      </c>
      <c r="Z1004">
        <v>12</v>
      </c>
      <c r="AD1004" t="s">
        <v>1165</v>
      </c>
      <c r="AF1004" t="s">
        <v>1165</v>
      </c>
      <c r="AI1004" t="s">
        <v>1165</v>
      </c>
      <c r="AJ1004" s="15" t="s">
        <v>1148</v>
      </c>
      <c r="AK1004" s="15">
        <v>18.597999999999999</v>
      </c>
      <c r="AP1004" s="15">
        <v>28</v>
      </c>
      <c r="AQ1004" s="14" t="s">
        <v>1336</v>
      </c>
      <c r="AR1004" s="15" t="s">
        <v>1335</v>
      </c>
      <c r="AS1004" t="s">
        <v>3001</v>
      </c>
    </row>
    <row r="1005" spans="1:45" x14ac:dyDescent="0.2">
      <c r="A1005" t="s">
        <v>1326</v>
      </c>
      <c r="B1005" s="15" t="s">
        <v>1146</v>
      </c>
      <c r="C1005" s="15" t="s">
        <v>1149</v>
      </c>
      <c r="D1005" t="s">
        <v>469</v>
      </c>
      <c r="E1005" t="s">
        <v>1331</v>
      </c>
      <c r="G1005" s="15" t="s">
        <v>1165</v>
      </c>
      <c r="H1005" s="14" t="s">
        <v>1165</v>
      </c>
      <c r="I1005" s="18" t="s">
        <v>1328</v>
      </c>
      <c r="J1005" s="18" t="s">
        <v>1337</v>
      </c>
      <c r="K1005" s="18" t="s">
        <v>1338</v>
      </c>
      <c r="L1005">
        <v>2000</v>
      </c>
      <c r="M1005" t="s">
        <v>1327</v>
      </c>
      <c r="O1005">
        <v>2005</v>
      </c>
      <c r="P1005">
        <v>2005</v>
      </c>
      <c r="Q1005" t="s">
        <v>1329</v>
      </c>
      <c r="R1005">
        <v>10</v>
      </c>
      <c r="T1005" t="s">
        <v>1330</v>
      </c>
      <c r="U1005" t="s">
        <v>1340</v>
      </c>
      <c r="V1005" s="9" t="s">
        <v>1339</v>
      </c>
      <c r="W1005">
        <v>17.5</v>
      </c>
      <c r="X1005" s="9" t="s">
        <v>1334</v>
      </c>
      <c r="Z1005">
        <v>12</v>
      </c>
      <c r="AD1005" t="s">
        <v>1165</v>
      </c>
      <c r="AF1005" t="s">
        <v>1165</v>
      </c>
      <c r="AI1005" t="s">
        <v>1165</v>
      </c>
      <c r="AJ1005" s="15" t="s">
        <v>1148</v>
      </c>
      <c r="AK1005" s="15">
        <v>21.85</v>
      </c>
      <c r="AP1005" s="15">
        <v>28</v>
      </c>
      <c r="AQ1005" s="14" t="s">
        <v>1336</v>
      </c>
      <c r="AR1005" s="15" t="s">
        <v>1335</v>
      </c>
      <c r="AS1005" t="s">
        <v>3001</v>
      </c>
    </row>
    <row r="1006" spans="1:45" x14ac:dyDescent="0.2">
      <c r="A1006" t="s">
        <v>1326</v>
      </c>
      <c r="B1006" s="15" t="s">
        <v>1146</v>
      </c>
      <c r="C1006" s="15" t="s">
        <v>1149</v>
      </c>
      <c r="D1006" t="s">
        <v>469</v>
      </c>
      <c r="E1006" t="s">
        <v>1331</v>
      </c>
      <c r="G1006" s="15" t="s">
        <v>1165</v>
      </c>
      <c r="H1006" s="14" t="s">
        <v>1165</v>
      </c>
      <c r="I1006" s="18" t="s">
        <v>1328</v>
      </c>
      <c r="J1006" s="18" t="s">
        <v>1337</v>
      </c>
      <c r="K1006" s="18" t="s">
        <v>1338</v>
      </c>
      <c r="L1006">
        <v>2000</v>
      </c>
      <c r="M1006" t="s">
        <v>1327</v>
      </c>
      <c r="O1006">
        <v>2005</v>
      </c>
      <c r="P1006">
        <v>2005</v>
      </c>
      <c r="Q1006" t="s">
        <v>1329</v>
      </c>
      <c r="R1006">
        <v>10</v>
      </c>
      <c r="T1006" t="s">
        <v>1330</v>
      </c>
      <c r="U1006" t="s">
        <v>1340</v>
      </c>
      <c r="V1006" s="9" t="s">
        <v>1339</v>
      </c>
      <c r="W1006">
        <v>17.5</v>
      </c>
      <c r="X1006" s="9" t="s">
        <v>1333</v>
      </c>
      <c r="Z1006">
        <v>0</v>
      </c>
      <c r="AD1006" t="s">
        <v>1165</v>
      </c>
      <c r="AF1006" t="s">
        <v>1165</v>
      </c>
      <c r="AI1006" t="s">
        <v>1165</v>
      </c>
      <c r="AJ1006" s="15" t="s">
        <v>1148</v>
      </c>
      <c r="AK1006" s="15">
        <v>0</v>
      </c>
      <c r="AP1006" s="15">
        <v>28</v>
      </c>
      <c r="AQ1006" s="14" t="s">
        <v>1336</v>
      </c>
      <c r="AR1006" s="15" t="s">
        <v>1335</v>
      </c>
      <c r="AS1006" t="s">
        <v>3001</v>
      </c>
    </row>
    <row r="1007" spans="1:45" x14ac:dyDescent="0.2">
      <c r="A1007" t="s">
        <v>1326</v>
      </c>
      <c r="B1007" s="15" t="s">
        <v>1146</v>
      </c>
      <c r="C1007" s="15" t="s">
        <v>1149</v>
      </c>
      <c r="D1007" t="s">
        <v>469</v>
      </c>
      <c r="E1007" t="s">
        <v>1331</v>
      </c>
      <c r="G1007" s="15" t="s">
        <v>1165</v>
      </c>
      <c r="H1007" s="14" t="s">
        <v>1165</v>
      </c>
      <c r="I1007" s="18" t="s">
        <v>1328</v>
      </c>
      <c r="J1007" s="18" t="s">
        <v>1337</v>
      </c>
      <c r="K1007" s="18" t="s">
        <v>1338</v>
      </c>
      <c r="L1007">
        <v>2000</v>
      </c>
      <c r="M1007" t="s">
        <v>1327</v>
      </c>
      <c r="O1007">
        <v>2005</v>
      </c>
      <c r="P1007">
        <v>2005</v>
      </c>
      <c r="Q1007" t="s">
        <v>1329</v>
      </c>
      <c r="R1007">
        <v>10</v>
      </c>
      <c r="T1007" t="s">
        <v>1330</v>
      </c>
      <c r="U1007" t="s">
        <v>1340</v>
      </c>
      <c r="V1007" s="9" t="s">
        <v>1339</v>
      </c>
      <c r="W1007">
        <v>17.5</v>
      </c>
      <c r="X1007" s="9" t="s">
        <v>1264</v>
      </c>
      <c r="Z1007">
        <v>0</v>
      </c>
      <c r="AD1007" t="s">
        <v>1165</v>
      </c>
      <c r="AF1007" t="s">
        <v>1165</v>
      </c>
      <c r="AI1007" t="s">
        <v>1165</v>
      </c>
      <c r="AJ1007" s="15" t="s">
        <v>1148</v>
      </c>
      <c r="AK1007" s="15">
        <v>0</v>
      </c>
      <c r="AP1007" s="15">
        <v>28</v>
      </c>
      <c r="AQ1007" s="14" t="s">
        <v>1336</v>
      </c>
      <c r="AR1007" s="15" t="s">
        <v>1335</v>
      </c>
      <c r="AS1007" t="s">
        <v>3001</v>
      </c>
    </row>
    <row r="1008" spans="1:45" x14ac:dyDescent="0.2">
      <c r="A1008" t="s">
        <v>1326</v>
      </c>
      <c r="B1008" s="15" t="s">
        <v>1146</v>
      </c>
      <c r="C1008" s="15" t="s">
        <v>1149</v>
      </c>
      <c r="D1008" t="s">
        <v>469</v>
      </c>
      <c r="E1008" t="s">
        <v>1331</v>
      </c>
      <c r="G1008" s="15" t="s">
        <v>1165</v>
      </c>
      <c r="H1008" s="14" t="s">
        <v>1165</v>
      </c>
      <c r="I1008" s="18" t="s">
        <v>1328</v>
      </c>
      <c r="J1008" s="18" t="s">
        <v>1337</v>
      </c>
      <c r="K1008" s="18" t="s">
        <v>1338</v>
      </c>
      <c r="L1008">
        <v>2000</v>
      </c>
      <c r="M1008" t="s">
        <v>1327</v>
      </c>
      <c r="O1008">
        <v>2005</v>
      </c>
      <c r="P1008">
        <v>2005</v>
      </c>
      <c r="Q1008" t="s">
        <v>1329</v>
      </c>
      <c r="R1008">
        <v>10</v>
      </c>
      <c r="T1008" t="s">
        <v>1330</v>
      </c>
      <c r="U1008" t="s">
        <v>1340</v>
      </c>
      <c r="V1008" s="9" t="s">
        <v>1339</v>
      </c>
      <c r="W1008">
        <v>17.5</v>
      </c>
      <c r="X1008" s="9" t="s">
        <v>1261</v>
      </c>
      <c r="Z1008">
        <v>0</v>
      </c>
      <c r="AD1008" t="s">
        <v>1165</v>
      </c>
      <c r="AF1008" t="s">
        <v>1165</v>
      </c>
      <c r="AI1008" t="s">
        <v>1165</v>
      </c>
      <c r="AJ1008" s="15" t="s">
        <v>1148</v>
      </c>
      <c r="AK1008" s="15">
        <v>0.71099999999999997</v>
      </c>
      <c r="AP1008" s="15">
        <v>28</v>
      </c>
      <c r="AQ1008" s="14" t="s">
        <v>1336</v>
      </c>
      <c r="AR1008" s="15" t="s">
        <v>1335</v>
      </c>
      <c r="AS1008" t="s">
        <v>3001</v>
      </c>
    </row>
    <row r="1009" spans="1:45" x14ac:dyDescent="0.2">
      <c r="A1009" t="s">
        <v>1326</v>
      </c>
      <c r="B1009" s="15" t="s">
        <v>1146</v>
      </c>
      <c r="C1009" s="15" t="s">
        <v>1149</v>
      </c>
      <c r="D1009" t="s">
        <v>469</v>
      </c>
      <c r="E1009" t="s">
        <v>1331</v>
      </c>
      <c r="G1009" s="15" t="s">
        <v>1165</v>
      </c>
      <c r="H1009" s="14" t="s">
        <v>1165</v>
      </c>
      <c r="I1009" s="18" t="s">
        <v>1328</v>
      </c>
      <c r="J1009" s="18" t="s">
        <v>1337</v>
      </c>
      <c r="K1009" s="18" t="s">
        <v>1338</v>
      </c>
      <c r="L1009">
        <v>2000</v>
      </c>
      <c r="M1009" t="s">
        <v>1327</v>
      </c>
      <c r="O1009">
        <v>2005</v>
      </c>
      <c r="P1009">
        <v>2005</v>
      </c>
      <c r="Q1009" t="s">
        <v>1329</v>
      </c>
      <c r="R1009">
        <v>10</v>
      </c>
      <c r="T1009" t="s">
        <v>1330</v>
      </c>
      <c r="U1009" t="s">
        <v>1340</v>
      </c>
      <c r="V1009" s="9" t="s">
        <v>1339</v>
      </c>
      <c r="W1009">
        <v>17.5</v>
      </c>
      <c r="X1009" s="9" t="s">
        <v>1334</v>
      </c>
      <c r="Z1009">
        <v>0</v>
      </c>
      <c r="AD1009" t="s">
        <v>1165</v>
      </c>
      <c r="AF1009" t="s">
        <v>1165</v>
      </c>
      <c r="AI1009" t="s">
        <v>1165</v>
      </c>
      <c r="AJ1009" s="15" t="s">
        <v>1148</v>
      </c>
      <c r="AK1009" s="15">
        <v>0</v>
      </c>
      <c r="AP1009" s="15">
        <v>28</v>
      </c>
      <c r="AQ1009" s="14" t="s">
        <v>1336</v>
      </c>
      <c r="AR1009" s="15" t="s">
        <v>1335</v>
      </c>
      <c r="AS1009" t="s">
        <v>3001</v>
      </c>
    </row>
    <row r="1010" spans="1:45" x14ac:dyDescent="0.2">
      <c r="A1010" t="s">
        <v>1326</v>
      </c>
      <c r="B1010" s="15" t="s">
        <v>1146</v>
      </c>
      <c r="C1010" s="15" t="s">
        <v>1149</v>
      </c>
      <c r="D1010" t="s">
        <v>469</v>
      </c>
      <c r="E1010" t="s">
        <v>1331</v>
      </c>
      <c r="G1010" s="15" t="s">
        <v>1165</v>
      </c>
      <c r="H1010" s="14" t="s">
        <v>1165</v>
      </c>
      <c r="I1010" s="18" t="s">
        <v>1328</v>
      </c>
      <c r="J1010" s="18" t="s">
        <v>1337</v>
      </c>
      <c r="K1010" s="18" t="s">
        <v>1338</v>
      </c>
      <c r="L1010">
        <v>2000</v>
      </c>
      <c r="M1010" t="s">
        <v>1327</v>
      </c>
      <c r="O1010">
        <v>2005</v>
      </c>
      <c r="P1010">
        <v>2005</v>
      </c>
      <c r="Q1010" t="s">
        <v>1329</v>
      </c>
      <c r="R1010">
        <v>10</v>
      </c>
      <c r="T1010" t="s">
        <v>1330</v>
      </c>
      <c r="U1010" t="s">
        <v>1340</v>
      </c>
      <c r="V1010" s="9" t="s">
        <v>1339</v>
      </c>
      <c r="W1010">
        <v>35</v>
      </c>
      <c r="X1010" s="9" t="s">
        <v>1333</v>
      </c>
      <c r="Z1010">
        <v>12</v>
      </c>
      <c r="AD1010" t="s">
        <v>1165</v>
      </c>
      <c r="AF1010" t="s">
        <v>1165</v>
      </c>
      <c r="AI1010" t="s">
        <v>1165</v>
      </c>
      <c r="AJ1010" s="15" t="s">
        <v>1148</v>
      </c>
      <c r="AK1010" s="15">
        <v>10.467000000000001</v>
      </c>
      <c r="AP1010" s="15">
        <v>28</v>
      </c>
      <c r="AQ1010" s="14" t="s">
        <v>1336</v>
      </c>
      <c r="AR1010" s="15" t="s">
        <v>1335</v>
      </c>
      <c r="AS1010" t="s">
        <v>3001</v>
      </c>
    </row>
    <row r="1011" spans="1:45" x14ac:dyDescent="0.2">
      <c r="A1011" t="s">
        <v>1326</v>
      </c>
      <c r="B1011" s="15" t="s">
        <v>1146</v>
      </c>
      <c r="C1011" s="15" t="s">
        <v>1149</v>
      </c>
      <c r="D1011" t="s">
        <v>469</v>
      </c>
      <c r="E1011" t="s">
        <v>1331</v>
      </c>
      <c r="G1011" s="15" t="s">
        <v>1165</v>
      </c>
      <c r="H1011" s="14" t="s">
        <v>1165</v>
      </c>
      <c r="I1011" s="18" t="s">
        <v>1328</v>
      </c>
      <c r="J1011" s="18" t="s">
        <v>1337</v>
      </c>
      <c r="K1011" s="18" t="s">
        <v>1338</v>
      </c>
      <c r="L1011">
        <v>2000</v>
      </c>
      <c r="M1011" t="s">
        <v>1327</v>
      </c>
      <c r="O1011">
        <v>2005</v>
      </c>
      <c r="P1011">
        <v>2005</v>
      </c>
      <c r="Q1011" t="s">
        <v>1329</v>
      </c>
      <c r="R1011">
        <v>10</v>
      </c>
      <c r="T1011" t="s">
        <v>1330</v>
      </c>
      <c r="U1011" t="s">
        <v>1340</v>
      </c>
      <c r="V1011" s="9" t="s">
        <v>1339</v>
      </c>
      <c r="W1011">
        <v>35</v>
      </c>
      <c r="X1011" s="9" t="s">
        <v>1264</v>
      </c>
      <c r="Z1011">
        <v>12</v>
      </c>
      <c r="AD1011" t="s">
        <v>1165</v>
      </c>
      <c r="AF1011" t="s">
        <v>1165</v>
      </c>
      <c r="AI1011" t="s">
        <v>1165</v>
      </c>
      <c r="AJ1011" s="15" t="s">
        <v>1148</v>
      </c>
      <c r="AK1011" s="15">
        <v>19.411000000000001</v>
      </c>
      <c r="AP1011" s="15">
        <v>28</v>
      </c>
      <c r="AQ1011" s="14" t="s">
        <v>1336</v>
      </c>
      <c r="AR1011" s="15" t="s">
        <v>1335</v>
      </c>
      <c r="AS1011" t="s">
        <v>3001</v>
      </c>
    </row>
    <row r="1012" spans="1:45" x14ac:dyDescent="0.2">
      <c r="A1012" t="s">
        <v>1326</v>
      </c>
      <c r="B1012" s="15" t="s">
        <v>1146</v>
      </c>
      <c r="C1012" s="15" t="s">
        <v>1149</v>
      </c>
      <c r="D1012" t="s">
        <v>469</v>
      </c>
      <c r="E1012" t="s">
        <v>1331</v>
      </c>
      <c r="G1012" s="15" t="s">
        <v>1165</v>
      </c>
      <c r="H1012" s="14" t="s">
        <v>1165</v>
      </c>
      <c r="I1012" s="18" t="s">
        <v>1328</v>
      </c>
      <c r="J1012" s="18" t="s">
        <v>1337</v>
      </c>
      <c r="K1012" s="18" t="s">
        <v>1338</v>
      </c>
      <c r="L1012">
        <v>2000</v>
      </c>
      <c r="M1012" t="s">
        <v>1327</v>
      </c>
      <c r="O1012">
        <v>2005</v>
      </c>
      <c r="P1012">
        <v>2005</v>
      </c>
      <c r="Q1012" t="s">
        <v>1329</v>
      </c>
      <c r="R1012">
        <v>10</v>
      </c>
      <c r="T1012" t="s">
        <v>1330</v>
      </c>
      <c r="U1012" t="s">
        <v>1340</v>
      </c>
      <c r="V1012" s="9" t="s">
        <v>1339</v>
      </c>
      <c r="W1012">
        <v>35</v>
      </c>
      <c r="X1012" s="9" t="s">
        <v>1261</v>
      </c>
      <c r="Z1012">
        <v>12</v>
      </c>
      <c r="AD1012" t="s">
        <v>1165</v>
      </c>
      <c r="AF1012" t="s">
        <v>1165</v>
      </c>
      <c r="AI1012" t="s">
        <v>1165</v>
      </c>
      <c r="AJ1012" s="15" t="s">
        <v>1148</v>
      </c>
      <c r="AK1012" s="15">
        <v>25.102</v>
      </c>
      <c r="AP1012" s="15">
        <v>28</v>
      </c>
      <c r="AQ1012" s="14" t="s">
        <v>1336</v>
      </c>
      <c r="AR1012" s="15" t="s">
        <v>1335</v>
      </c>
      <c r="AS1012" t="s">
        <v>3001</v>
      </c>
    </row>
    <row r="1013" spans="1:45" x14ac:dyDescent="0.2">
      <c r="A1013" t="s">
        <v>1326</v>
      </c>
      <c r="B1013" s="15" t="s">
        <v>1146</v>
      </c>
      <c r="C1013" s="15" t="s">
        <v>1149</v>
      </c>
      <c r="D1013" t="s">
        <v>469</v>
      </c>
      <c r="E1013" t="s">
        <v>1331</v>
      </c>
      <c r="G1013" s="15" t="s">
        <v>1165</v>
      </c>
      <c r="H1013" s="14" t="s">
        <v>1165</v>
      </c>
      <c r="I1013" s="18" t="s">
        <v>1328</v>
      </c>
      <c r="J1013" s="18" t="s">
        <v>1337</v>
      </c>
      <c r="K1013" s="18" t="s">
        <v>1338</v>
      </c>
      <c r="L1013">
        <v>2000</v>
      </c>
      <c r="M1013" t="s">
        <v>1327</v>
      </c>
      <c r="O1013">
        <v>2005</v>
      </c>
      <c r="P1013">
        <v>2005</v>
      </c>
      <c r="Q1013" t="s">
        <v>1329</v>
      </c>
      <c r="R1013">
        <v>10</v>
      </c>
      <c r="T1013" t="s">
        <v>1330</v>
      </c>
      <c r="U1013" t="s">
        <v>1340</v>
      </c>
      <c r="V1013" s="9" t="s">
        <v>1339</v>
      </c>
      <c r="W1013">
        <v>35</v>
      </c>
      <c r="X1013" s="9" t="s">
        <v>1334</v>
      </c>
      <c r="Z1013">
        <v>12</v>
      </c>
      <c r="AD1013" t="s">
        <v>1165</v>
      </c>
      <c r="AF1013" t="s">
        <v>1165</v>
      </c>
      <c r="AI1013" t="s">
        <v>1165</v>
      </c>
      <c r="AJ1013" s="15" t="s">
        <v>1148</v>
      </c>
      <c r="AK1013" s="15">
        <v>25.102</v>
      </c>
      <c r="AP1013" s="15">
        <v>28</v>
      </c>
      <c r="AQ1013" s="14" t="s">
        <v>1336</v>
      </c>
      <c r="AR1013" s="15" t="s">
        <v>1335</v>
      </c>
      <c r="AS1013" t="s">
        <v>3001</v>
      </c>
    </row>
    <row r="1014" spans="1:45" x14ac:dyDescent="0.2">
      <c r="A1014" t="s">
        <v>1326</v>
      </c>
      <c r="B1014" s="15" t="s">
        <v>1146</v>
      </c>
      <c r="C1014" s="15" t="s">
        <v>1149</v>
      </c>
      <c r="D1014" t="s">
        <v>469</v>
      </c>
      <c r="E1014" t="s">
        <v>1331</v>
      </c>
      <c r="G1014" s="15" t="s">
        <v>1165</v>
      </c>
      <c r="H1014" s="14" t="s">
        <v>1165</v>
      </c>
      <c r="I1014" s="18" t="s">
        <v>1328</v>
      </c>
      <c r="J1014" s="18" t="s">
        <v>1337</v>
      </c>
      <c r="K1014" s="18" t="s">
        <v>1338</v>
      </c>
      <c r="L1014">
        <v>2000</v>
      </c>
      <c r="M1014" t="s">
        <v>1327</v>
      </c>
      <c r="O1014">
        <v>2005</v>
      </c>
      <c r="P1014">
        <v>2005</v>
      </c>
      <c r="Q1014" t="s">
        <v>1329</v>
      </c>
      <c r="R1014">
        <v>10</v>
      </c>
      <c r="T1014" t="s">
        <v>1330</v>
      </c>
      <c r="U1014" t="s">
        <v>1340</v>
      </c>
      <c r="V1014" s="9" t="s">
        <v>1339</v>
      </c>
      <c r="W1014">
        <v>35</v>
      </c>
      <c r="X1014" s="9" t="s">
        <v>1333</v>
      </c>
      <c r="Z1014">
        <v>0</v>
      </c>
      <c r="AD1014" t="s">
        <v>1165</v>
      </c>
      <c r="AF1014" t="s">
        <v>1165</v>
      </c>
      <c r="AI1014" t="s">
        <v>1165</v>
      </c>
      <c r="AJ1014" s="15" t="s">
        <v>1148</v>
      </c>
      <c r="AK1014" s="15">
        <v>0</v>
      </c>
      <c r="AP1014" s="15">
        <v>28</v>
      </c>
      <c r="AQ1014" s="14" t="s">
        <v>1336</v>
      </c>
      <c r="AR1014" s="15" t="s">
        <v>1335</v>
      </c>
      <c r="AS1014" t="s">
        <v>3001</v>
      </c>
    </row>
    <row r="1015" spans="1:45" x14ac:dyDescent="0.2">
      <c r="A1015" t="s">
        <v>1326</v>
      </c>
      <c r="B1015" s="15" t="s">
        <v>1146</v>
      </c>
      <c r="C1015" s="15" t="s">
        <v>1149</v>
      </c>
      <c r="D1015" t="s">
        <v>469</v>
      </c>
      <c r="E1015" t="s">
        <v>1331</v>
      </c>
      <c r="G1015" s="15" t="s">
        <v>1165</v>
      </c>
      <c r="H1015" s="14" t="s">
        <v>1165</v>
      </c>
      <c r="I1015" s="18" t="s">
        <v>1328</v>
      </c>
      <c r="J1015" s="18" t="s">
        <v>1337</v>
      </c>
      <c r="K1015" s="18" t="s">
        <v>1338</v>
      </c>
      <c r="L1015">
        <v>2000</v>
      </c>
      <c r="M1015" t="s">
        <v>1327</v>
      </c>
      <c r="O1015">
        <v>2005</v>
      </c>
      <c r="P1015">
        <v>2005</v>
      </c>
      <c r="Q1015" t="s">
        <v>1329</v>
      </c>
      <c r="R1015">
        <v>10</v>
      </c>
      <c r="T1015" t="s">
        <v>1330</v>
      </c>
      <c r="U1015" t="s">
        <v>1340</v>
      </c>
      <c r="V1015" s="9" t="s">
        <v>1339</v>
      </c>
      <c r="W1015">
        <v>35</v>
      </c>
      <c r="X1015" s="9" t="s">
        <v>1264</v>
      </c>
      <c r="Z1015">
        <v>0</v>
      </c>
      <c r="AD1015" t="s">
        <v>1165</v>
      </c>
      <c r="AF1015" t="s">
        <v>1165</v>
      </c>
      <c r="AI1015" t="s">
        <v>1165</v>
      </c>
      <c r="AJ1015" s="15" t="s">
        <v>1148</v>
      </c>
      <c r="AK1015" s="15">
        <v>0</v>
      </c>
      <c r="AP1015" s="15">
        <v>28</v>
      </c>
      <c r="AQ1015" s="14" t="s">
        <v>1336</v>
      </c>
      <c r="AR1015" s="15" t="s">
        <v>1335</v>
      </c>
      <c r="AS1015" t="s">
        <v>3001</v>
      </c>
    </row>
    <row r="1016" spans="1:45" x14ac:dyDescent="0.2">
      <c r="A1016" t="s">
        <v>1326</v>
      </c>
      <c r="B1016" s="15" t="s">
        <v>1146</v>
      </c>
      <c r="C1016" s="15" t="s">
        <v>1149</v>
      </c>
      <c r="D1016" t="s">
        <v>469</v>
      </c>
      <c r="E1016" t="s">
        <v>1331</v>
      </c>
      <c r="G1016" s="15" t="s">
        <v>1165</v>
      </c>
      <c r="H1016" s="14" t="s">
        <v>1165</v>
      </c>
      <c r="I1016" s="18" t="s">
        <v>1328</v>
      </c>
      <c r="J1016" s="18" t="s">
        <v>1337</v>
      </c>
      <c r="K1016" s="18" t="s">
        <v>1338</v>
      </c>
      <c r="L1016">
        <v>2000</v>
      </c>
      <c r="M1016" t="s">
        <v>1327</v>
      </c>
      <c r="O1016">
        <v>2005</v>
      </c>
      <c r="P1016">
        <v>2005</v>
      </c>
      <c r="Q1016" t="s">
        <v>1329</v>
      </c>
      <c r="R1016">
        <v>10</v>
      </c>
      <c r="T1016" t="s">
        <v>1330</v>
      </c>
      <c r="U1016" t="s">
        <v>1340</v>
      </c>
      <c r="V1016" s="9" t="s">
        <v>1339</v>
      </c>
      <c r="W1016">
        <v>35</v>
      </c>
      <c r="X1016" s="9" t="s">
        <v>1261</v>
      </c>
      <c r="Z1016">
        <v>0</v>
      </c>
      <c r="AD1016" t="s">
        <v>1165</v>
      </c>
      <c r="AF1016" t="s">
        <v>1165</v>
      </c>
      <c r="AI1016" t="s">
        <v>1165</v>
      </c>
      <c r="AJ1016" s="15" t="s">
        <v>1148</v>
      </c>
      <c r="AK1016" s="15">
        <v>0</v>
      </c>
      <c r="AP1016" s="15">
        <v>28</v>
      </c>
      <c r="AQ1016" s="14" t="s">
        <v>1336</v>
      </c>
      <c r="AR1016" s="15" t="s">
        <v>1335</v>
      </c>
      <c r="AS1016" t="s">
        <v>3001</v>
      </c>
    </row>
    <row r="1017" spans="1:45" x14ac:dyDescent="0.2">
      <c r="A1017" t="s">
        <v>1326</v>
      </c>
      <c r="B1017" s="15" t="s">
        <v>1146</v>
      </c>
      <c r="C1017" s="15" t="s">
        <v>1149</v>
      </c>
      <c r="D1017" t="s">
        <v>469</v>
      </c>
      <c r="E1017" t="s">
        <v>1331</v>
      </c>
      <c r="G1017" s="15" t="s">
        <v>1165</v>
      </c>
      <c r="H1017" s="14" t="s">
        <v>1165</v>
      </c>
      <c r="I1017" s="18" t="s">
        <v>1328</v>
      </c>
      <c r="J1017" s="18" t="s">
        <v>1337</v>
      </c>
      <c r="K1017" s="18" t="s">
        <v>1338</v>
      </c>
      <c r="L1017">
        <v>2000</v>
      </c>
      <c r="M1017" t="s">
        <v>1327</v>
      </c>
      <c r="O1017">
        <v>2005</v>
      </c>
      <c r="P1017">
        <v>2005</v>
      </c>
      <c r="Q1017" t="s">
        <v>1329</v>
      </c>
      <c r="R1017">
        <v>10</v>
      </c>
      <c r="T1017" t="s">
        <v>1330</v>
      </c>
      <c r="U1017" t="s">
        <v>1340</v>
      </c>
      <c r="V1017" s="9" t="s">
        <v>1339</v>
      </c>
      <c r="W1017">
        <v>35</v>
      </c>
      <c r="X1017" s="9" t="s">
        <v>1334</v>
      </c>
      <c r="Z1017">
        <v>0</v>
      </c>
      <c r="AD1017" t="s">
        <v>1165</v>
      </c>
      <c r="AF1017" t="s">
        <v>1165</v>
      </c>
      <c r="AI1017" t="s">
        <v>1165</v>
      </c>
      <c r="AJ1017" s="15" t="s">
        <v>1148</v>
      </c>
      <c r="AK1017" s="15">
        <v>0</v>
      </c>
      <c r="AP1017" s="15">
        <v>28</v>
      </c>
      <c r="AQ1017" s="14" t="s">
        <v>1336</v>
      </c>
      <c r="AR1017" s="15" t="s">
        <v>1335</v>
      </c>
      <c r="AS1017" t="s">
        <v>3001</v>
      </c>
    </row>
    <row r="1018" spans="1:45" x14ac:dyDescent="0.2">
      <c r="A1018" t="s">
        <v>1326</v>
      </c>
      <c r="B1018" s="15" t="s">
        <v>1146</v>
      </c>
      <c r="C1018" s="15" t="s">
        <v>1149</v>
      </c>
      <c r="D1018" t="s">
        <v>469</v>
      </c>
      <c r="E1018" t="s">
        <v>1331</v>
      </c>
      <c r="G1018" s="15" t="s">
        <v>1165</v>
      </c>
      <c r="H1018" s="14" t="s">
        <v>1165</v>
      </c>
      <c r="I1018" s="18" t="s">
        <v>1328</v>
      </c>
      <c r="J1018" s="18" t="s">
        <v>1337</v>
      </c>
      <c r="K1018" s="18" t="s">
        <v>1338</v>
      </c>
      <c r="L1018">
        <v>2000</v>
      </c>
      <c r="M1018" t="s">
        <v>1327</v>
      </c>
      <c r="O1018">
        <v>2005</v>
      </c>
      <c r="P1018">
        <v>2005</v>
      </c>
      <c r="Q1018" t="s">
        <v>1329</v>
      </c>
      <c r="R1018">
        <v>10</v>
      </c>
      <c r="T1018" t="s">
        <v>1330</v>
      </c>
      <c r="U1018" t="s">
        <v>1340</v>
      </c>
      <c r="V1018" s="9" t="s">
        <v>1339</v>
      </c>
      <c r="W1018">
        <v>70</v>
      </c>
      <c r="X1018" s="9" t="s">
        <v>1333</v>
      </c>
      <c r="Z1018">
        <v>12</v>
      </c>
      <c r="AD1018" t="s">
        <v>1165</v>
      </c>
      <c r="AF1018" t="s">
        <v>1165</v>
      </c>
      <c r="AI1018" t="s">
        <v>1165</v>
      </c>
      <c r="AJ1018" s="15" t="s">
        <v>1148</v>
      </c>
      <c r="AK1018" s="15">
        <v>33.231999999999999</v>
      </c>
      <c r="AP1018" s="15">
        <v>28</v>
      </c>
      <c r="AQ1018" s="14" t="s">
        <v>1336</v>
      </c>
      <c r="AR1018" s="15" t="s">
        <v>1335</v>
      </c>
      <c r="AS1018" t="s">
        <v>3001</v>
      </c>
    </row>
    <row r="1019" spans="1:45" x14ac:dyDescent="0.2">
      <c r="A1019" t="s">
        <v>1326</v>
      </c>
      <c r="B1019" s="15" t="s">
        <v>1146</v>
      </c>
      <c r="C1019" s="15" t="s">
        <v>1149</v>
      </c>
      <c r="D1019" t="s">
        <v>469</v>
      </c>
      <c r="E1019" t="s">
        <v>1331</v>
      </c>
      <c r="G1019" s="15" t="s">
        <v>1165</v>
      </c>
      <c r="H1019" s="14" t="s">
        <v>1165</v>
      </c>
      <c r="I1019" s="18" t="s">
        <v>1328</v>
      </c>
      <c r="J1019" s="18" t="s">
        <v>1337</v>
      </c>
      <c r="K1019" s="18" t="s">
        <v>1338</v>
      </c>
      <c r="L1019">
        <v>2000</v>
      </c>
      <c r="M1019" t="s">
        <v>1327</v>
      </c>
      <c r="O1019">
        <v>2005</v>
      </c>
      <c r="P1019">
        <v>2005</v>
      </c>
      <c r="Q1019" t="s">
        <v>1329</v>
      </c>
      <c r="R1019">
        <v>10</v>
      </c>
      <c r="T1019" t="s">
        <v>1330</v>
      </c>
      <c r="U1019" t="s">
        <v>1340</v>
      </c>
      <c r="V1019" s="9" t="s">
        <v>1339</v>
      </c>
      <c r="W1019">
        <v>70</v>
      </c>
      <c r="X1019" s="9" t="s">
        <v>1264</v>
      </c>
      <c r="Z1019">
        <v>12</v>
      </c>
      <c r="AD1019" t="s">
        <v>1165</v>
      </c>
      <c r="AF1019" t="s">
        <v>1165</v>
      </c>
      <c r="AI1019" t="s">
        <v>1165</v>
      </c>
      <c r="AJ1019" s="15" t="s">
        <v>1148</v>
      </c>
      <c r="AK1019" s="15">
        <v>29.167000000000002</v>
      </c>
      <c r="AP1019" s="15">
        <v>28</v>
      </c>
      <c r="AQ1019" s="14" t="s">
        <v>1336</v>
      </c>
      <c r="AR1019" s="15" t="s">
        <v>1335</v>
      </c>
      <c r="AS1019" t="s">
        <v>3001</v>
      </c>
    </row>
    <row r="1020" spans="1:45" x14ac:dyDescent="0.2">
      <c r="A1020" t="s">
        <v>1326</v>
      </c>
      <c r="B1020" s="15" t="s">
        <v>1146</v>
      </c>
      <c r="C1020" s="15" t="s">
        <v>1149</v>
      </c>
      <c r="D1020" t="s">
        <v>469</v>
      </c>
      <c r="E1020" t="s">
        <v>1331</v>
      </c>
      <c r="G1020" s="15" t="s">
        <v>1165</v>
      </c>
      <c r="H1020" s="14" t="s">
        <v>1165</v>
      </c>
      <c r="I1020" s="18" t="s">
        <v>1328</v>
      </c>
      <c r="J1020" s="18" t="s">
        <v>1337</v>
      </c>
      <c r="K1020" s="18" t="s">
        <v>1338</v>
      </c>
      <c r="L1020">
        <v>2000</v>
      </c>
      <c r="M1020" t="s">
        <v>1327</v>
      </c>
      <c r="O1020">
        <v>2005</v>
      </c>
      <c r="P1020">
        <v>2005</v>
      </c>
      <c r="Q1020" t="s">
        <v>1329</v>
      </c>
      <c r="R1020">
        <v>10</v>
      </c>
      <c r="T1020" t="s">
        <v>1330</v>
      </c>
      <c r="U1020" t="s">
        <v>1340</v>
      </c>
      <c r="V1020" s="9" t="s">
        <v>1339</v>
      </c>
      <c r="W1020">
        <v>70</v>
      </c>
      <c r="X1020" s="9" t="s">
        <v>1261</v>
      </c>
      <c r="Z1020">
        <v>12</v>
      </c>
      <c r="AD1020" t="s">
        <v>1165</v>
      </c>
      <c r="AF1020" t="s">
        <v>1165</v>
      </c>
      <c r="AI1020" t="s">
        <v>1165</v>
      </c>
      <c r="AJ1020" s="15" t="s">
        <v>1148</v>
      </c>
      <c r="AK1020" s="15">
        <v>70.63</v>
      </c>
      <c r="AP1020" s="15">
        <v>28</v>
      </c>
      <c r="AQ1020" s="14" t="s">
        <v>1336</v>
      </c>
      <c r="AR1020" s="15" t="s">
        <v>1335</v>
      </c>
      <c r="AS1020" t="s">
        <v>3001</v>
      </c>
    </row>
    <row r="1021" spans="1:45" x14ac:dyDescent="0.2">
      <c r="A1021" t="s">
        <v>1326</v>
      </c>
      <c r="B1021" s="15" t="s">
        <v>1146</v>
      </c>
      <c r="C1021" s="15" t="s">
        <v>1149</v>
      </c>
      <c r="D1021" t="s">
        <v>469</v>
      </c>
      <c r="E1021" t="s">
        <v>1331</v>
      </c>
      <c r="G1021" s="15" t="s">
        <v>1165</v>
      </c>
      <c r="H1021" s="14" t="s">
        <v>1165</v>
      </c>
      <c r="I1021" s="18" t="s">
        <v>1328</v>
      </c>
      <c r="J1021" s="18" t="s">
        <v>1337</v>
      </c>
      <c r="K1021" s="18" t="s">
        <v>1338</v>
      </c>
      <c r="L1021">
        <v>2000</v>
      </c>
      <c r="M1021" t="s">
        <v>1327</v>
      </c>
      <c r="O1021">
        <v>2005</v>
      </c>
      <c r="P1021">
        <v>2005</v>
      </c>
      <c r="Q1021" t="s">
        <v>1329</v>
      </c>
      <c r="R1021">
        <v>10</v>
      </c>
      <c r="T1021" t="s">
        <v>1330</v>
      </c>
      <c r="U1021" t="s">
        <v>1340</v>
      </c>
      <c r="V1021" s="9" t="s">
        <v>1339</v>
      </c>
      <c r="W1021">
        <v>70</v>
      </c>
      <c r="X1021" s="9" t="s">
        <v>1334</v>
      </c>
      <c r="Z1021">
        <v>12</v>
      </c>
      <c r="AD1021" t="s">
        <v>1165</v>
      </c>
      <c r="AF1021" t="s">
        <v>1165</v>
      </c>
      <c r="AI1021" t="s">
        <v>1165</v>
      </c>
      <c r="AJ1021" s="15" t="s">
        <v>1148</v>
      </c>
      <c r="AK1021" s="15">
        <v>41.362000000000002</v>
      </c>
      <c r="AP1021" s="15">
        <v>28</v>
      </c>
      <c r="AQ1021" s="14" t="s">
        <v>1336</v>
      </c>
      <c r="AR1021" s="15" t="s">
        <v>1335</v>
      </c>
      <c r="AS1021" t="s">
        <v>3001</v>
      </c>
    </row>
    <row r="1022" spans="1:45" x14ac:dyDescent="0.2">
      <c r="A1022" t="s">
        <v>1326</v>
      </c>
      <c r="B1022" s="15" t="s">
        <v>1146</v>
      </c>
      <c r="C1022" s="15" t="s">
        <v>1149</v>
      </c>
      <c r="D1022" t="s">
        <v>469</v>
      </c>
      <c r="E1022" t="s">
        <v>1331</v>
      </c>
      <c r="G1022" s="15" t="s">
        <v>1165</v>
      </c>
      <c r="H1022" s="14" t="s">
        <v>1165</v>
      </c>
      <c r="I1022" s="18" t="s">
        <v>1328</v>
      </c>
      <c r="J1022" s="18" t="s">
        <v>1337</v>
      </c>
      <c r="K1022" s="18" t="s">
        <v>1338</v>
      </c>
      <c r="L1022">
        <v>2000</v>
      </c>
      <c r="M1022" t="s">
        <v>1327</v>
      </c>
      <c r="O1022">
        <v>2005</v>
      </c>
      <c r="P1022">
        <v>2005</v>
      </c>
      <c r="Q1022" t="s">
        <v>1329</v>
      </c>
      <c r="R1022">
        <v>10</v>
      </c>
      <c r="T1022" t="s">
        <v>1330</v>
      </c>
      <c r="U1022" t="s">
        <v>1340</v>
      </c>
      <c r="V1022" s="9" t="s">
        <v>1339</v>
      </c>
      <c r="W1022">
        <v>70</v>
      </c>
      <c r="X1022" s="9" t="s">
        <v>1333</v>
      </c>
      <c r="Z1022">
        <v>0</v>
      </c>
      <c r="AD1022" t="s">
        <v>1165</v>
      </c>
      <c r="AF1022" t="s">
        <v>1165</v>
      </c>
      <c r="AI1022" t="s">
        <v>1165</v>
      </c>
      <c r="AJ1022" s="15" t="s">
        <v>1148</v>
      </c>
      <c r="AK1022" s="15">
        <v>0</v>
      </c>
      <c r="AP1022" s="15">
        <v>28</v>
      </c>
      <c r="AQ1022" s="14" t="s">
        <v>1336</v>
      </c>
      <c r="AR1022" s="15" t="s">
        <v>1335</v>
      </c>
      <c r="AS1022" t="s">
        <v>3001</v>
      </c>
    </row>
    <row r="1023" spans="1:45" x14ac:dyDescent="0.2">
      <c r="A1023" t="s">
        <v>1326</v>
      </c>
      <c r="B1023" s="15" t="s">
        <v>1146</v>
      </c>
      <c r="C1023" s="15" t="s">
        <v>1149</v>
      </c>
      <c r="D1023" t="s">
        <v>469</v>
      </c>
      <c r="E1023" t="s">
        <v>1331</v>
      </c>
      <c r="G1023" s="15" t="s">
        <v>1165</v>
      </c>
      <c r="H1023" s="14" t="s">
        <v>1165</v>
      </c>
      <c r="I1023" s="18" t="s">
        <v>1328</v>
      </c>
      <c r="J1023" s="18" t="s">
        <v>1337</v>
      </c>
      <c r="K1023" s="18" t="s">
        <v>1338</v>
      </c>
      <c r="L1023">
        <v>2000</v>
      </c>
      <c r="M1023" t="s">
        <v>1327</v>
      </c>
      <c r="O1023">
        <v>2005</v>
      </c>
      <c r="P1023">
        <v>2005</v>
      </c>
      <c r="Q1023" t="s">
        <v>1329</v>
      </c>
      <c r="R1023">
        <v>10</v>
      </c>
      <c r="T1023" t="s">
        <v>1330</v>
      </c>
      <c r="U1023" t="s">
        <v>1340</v>
      </c>
      <c r="V1023" s="9" t="s">
        <v>1339</v>
      </c>
      <c r="W1023">
        <v>70</v>
      </c>
      <c r="X1023" s="9" t="s">
        <v>1264</v>
      </c>
      <c r="Z1023">
        <v>0</v>
      </c>
      <c r="AD1023" t="s">
        <v>1165</v>
      </c>
      <c r="AF1023" t="s">
        <v>1165</v>
      </c>
      <c r="AI1023" t="s">
        <v>1165</v>
      </c>
      <c r="AJ1023" s="15" t="s">
        <v>1148</v>
      </c>
      <c r="AK1023" s="15">
        <v>0</v>
      </c>
      <c r="AP1023" s="15">
        <v>28</v>
      </c>
      <c r="AQ1023" s="14" t="s">
        <v>1336</v>
      </c>
      <c r="AR1023" s="15" t="s">
        <v>1335</v>
      </c>
      <c r="AS1023" t="s">
        <v>3001</v>
      </c>
    </row>
    <row r="1024" spans="1:45" x14ac:dyDescent="0.2">
      <c r="A1024" t="s">
        <v>1326</v>
      </c>
      <c r="B1024" s="15" t="s">
        <v>1146</v>
      </c>
      <c r="C1024" s="15" t="s">
        <v>1149</v>
      </c>
      <c r="D1024" t="s">
        <v>469</v>
      </c>
      <c r="E1024" t="s">
        <v>1331</v>
      </c>
      <c r="G1024" s="15" t="s">
        <v>1165</v>
      </c>
      <c r="H1024" s="14" t="s">
        <v>1165</v>
      </c>
      <c r="I1024" s="18" t="s">
        <v>1328</v>
      </c>
      <c r="J1024" s="18" t="s">
        <v>1337</v>
      </c>
      <c r="K1024" s="18" t="s">
        <v>1338</v>
      </c>
      <c r="L1024">
        <v>2000</v>
      </c>
      <c r="M1024" t="s">
        <v>1327</v>
      </c>
      <c r="O1024">
        <v>2005</v>
      </c>
      <c r="P1024">
        <v>2005</v>
      </c>
      <c r="Q1024" t="s">
        <v>1329</v>
      </c>
      <c r="R1024">
        <v>10</v>
      </c>
      <c r="T1024" t="s">
        <v>1330</v>
      </c>
      <c r="U1024" t="s">
        <v>1340</v>
      </c>
      <c r="V1024" s="9" t="s">
        <v>1339</v>
      </c>
      <c r="W1024">
        <v>70</v>
      </c>
      <c r="X1024" s="9" t="s">
        <v>1261</v>
      </c>
      <c r="Z1024">
        <v>0</v>
      </c>
      <c r="AD1024" t="s">
        <v>1165</v>
      </c>
      <c r="AF1024" t="s">
        <v>1165</v>
      </c>
      <c r="AI1024" t="s">
        <v>1165</v>
      </c>
      <c r="AJ1024" s="15" t="s">
        <v>1148</v>
      </c>
      <c r="AK1024" s="15">
        <v>1.524</v>
      </c>
      <c r="AP1024" s="15">
        <v>28</v>
      </c>
      <c r="AQ1024" s="14" t="s">
        <v>1336</v>
      </c>
      <c r="AR1024" s="15" t="s">
        <v>1335</v>
      </c>
      <c r="AS1024" t="s">
        <v>3001</v>
      </c>
    </row>
    <row r="1025" spans="1:45" x14ac:dyDescent="0.2">
      <c r="A1025" t="s">
        <v>1326</v>
      </c>
      <c r="B1025" s="15" t="s">
        <v>1146</v>
      </c>
      <c r="C1025" s="15" t="s">
        <v>1149</v>
      </c>
      <c r="D1025" t="s">
        <v>469</v>
      </c>
      <c r="E1025" t="s">
        <v>1331</v>
      </c>
      <c r="G1025" s="15" t="s">
        <v>1165</v>
      </c>
      <c r="H1025" s="14" t="s">
        <v>1165</v>
      </c>
      <c r="I1025" s="18" t="s">
        <v>1328</v>
      </c>
      <c r="J1025" s="18" t="s">
        <v>1337</v>
      </c>
      <c r="K1025" s="18" t="s">
        <v>1338</v>
      </c>
      <c r="L1025">
        <v>2000</v>
      </c>
      <c r="M1025" t="s">
        <v>1327</v>
      </c>
      <c r="O1025">
        <v>2005</v>
      </c>
      <c r="P1025">
        <v>2005</v>
      </c>
      <c r="Q1025" t="s">
        <v>1329</v>
      </c>
      <c r="R1025">
        <v>10</v>
      </c>
      <c r="T1025" t="s">
        <v>1330</v>
      </c>
      <c r="U1025" t="s">
        <v>1340</v>
      </c>
      <c r="V1025" s="9" t="s">
        <v>1339</v>
      </c>
      <c r="W1025">
        <v>70</v>
      </c>
      <c r="X1025" s="9" t="s">
        <v>1334</v>
      </c>
      <c r="Z1025">
        <v>0</v>
      </c>
      <c r="AD1025" t="s">
        <v>1165</v>
      </c>
      <c r="AF1025" t="s">
        <v>1165</v>
      </c>
      <c r="AI1025" t="s">
        <v>1165</v>
      </c>
      <c r="AJ1025" s="15" t="s">
        <v>1148</v>
      </c>
      <c r="AK1025" s="15">
        <v>0</v>
      </c>
      <c r="AP1025" s="15">
        <v>28</v>
      </c>
      <c r="AQ1025" s="14" t="s">
        <v>1336</v>
      </c>
      <c r="AR1025" s="15" t="s">
        <v>1335</v>
      </c>
      <c r="AS1025" t="s">
        <v>3001</v>
      </c>
    </row>
    <row r="1026" spans="1:45" x14ac:dyDescent="0.2">
      <c r="A1026" t="s">
        <v>1326</v>
      </c>
      <c r="B1026" s="15" t="s">
        <v>1146</v>
      </c>
      <c r="C1026" s="15" t="s">
        <v>1149</v>
      </c>
      <c r="D1026" t="s">
        <v>469</v>
      </c>
      <c r="E1026" t="s">
        <v>1331</v>
      </c>
      <c r="G1026" s="15" t="s">
        <v>1165</v>
      </c>
      <c r="H1026" s="14" t="s">
        <v>1165</v>
      </c>
      <c r="I1026" s="18" t="s">
        <v>1328</v>
      </c>
      <c r="J1026" s="18" t="s">
        <v>1337</v>
      </c>
      <c r="K1026" s="18" t="s">
        <v>1338</v>
      </c>
      <c r="L1026">
        <v>2000</v>
      </c>
      <c r="M1026" t="s">
        <v>1327</v>
      </c>
      <c r="O1026">
        <v>2005</v>
      </c>
      <c r="P1026">
        <v>2005</v>
      </c>
      <c r="Q1026" t="s">
        <v>1329</v>
      </c>
      <c r="R1026">
        <v>10</v>
      </c>
      <c r="T1026" t="s">
        <v>1330</v>
      </c>
      <c r="U1026" t="s">
        <v>1340</v>
      </c>
      <c r="V1026" s="9" t="s">
        <v>1339</v>
      </c>
      <c r="W1026">
        <v>140</v>
      </c>
      <c r="X1026" s="9" t="s">
        <v>1333</v>
      </c>
      <c r="Z1026">
        <v>12</v>
      </c>
      <c r="AD1026" t="s">
        <v>1165</v>
      </c>
      <c r="AF1026" t="s">
        <v>1165</v>
      </c>
      <c r="AI1026" t="s">
        <v>1165</v>
      </c>
      <c r="AJ1026" s="15" t="s">
        <v>1148</v>
      </c>
      <c r="AK1026" s="15">
        <v>39.735999999999997</v>
      </c>
      <c r="AP1026" s="15">
        <v>28</v>
      </c>
      <c r="AQ1026" s="14" t="s">
        <v>1336</v>
      </c>
      <c r="AR1026" s="15" t="s">
        <v>1335</v>
      </c>
      <c r="AS1026" t="s">
        <v>3001</v>
      </c>
    </row>
    <row r="1027" spans="1:45" x14ac:dyDescent="0.2">
      <c r="A1027" t="s">
        <v>1326</v>
      </c>
      <c r="B1027" s="15" t="s">
        <v>1146</v>
      </c>
      <c r="C1027" s="15" t="s">
        <v>1149</v>
      </c>
      <c r="D1027" t="s">
        <v>469</v>
      </c>
      <c r="E1027" t="s">
        <v>1331</v>
      </c>
      <c r="G1027" s="15" t="s">
        <v>1165</v>
      </c>
      <c r="H1027" s="14" t="s">
        <v>1165</v>
      </c>
      <c r="I1027" s="18" t="s">
        <v>1328</v>
      </c>
      <c r="J1027" s="18" t="s">
        <v>1337</v>
      </c>
      <c r="K1027" s="18" t="s">
        <v>1338</v>
      </c>
      <c r="L1027">
        <v>2000</v>
      </c>
      <c r="M1027" t="s">
        <v>1327</v>
      </c>
      <c r="O1027">
        <v>2005</v>
      </c>
      <c r="P1027">
        <v>2005</v>
      </c>
      <c r="Q1027" t="s">
        <v>1329</v>
      </c>
      <c r="R1027">
        <v>10</v>
      </c>
      <c r="T1027" t="s">
        <v>1330</v>
      </c>
      <c r="U1027" t="s">
        <v>1340</v>
      </c>
      <c r="V1027" s="9" t="s">
        <v>1339</v>
      </c>
      <c r="W1027">
        <v>140</v>
      </c>
      <c r="X1027" s="9" t="s">
        <v>1264</v>
      </c>
      <c r="Z1027">
        <v>12</v>
      </c>
      <c r="AD1027" t="s">
        <v>1165</v>
      </c>
      <c r="AF1027" t="s">
        <v>1165</v>
      </c>
      <c r="AI1027" t="s">
        <v>1165</v>
      </c>
      <c r="AJ1027" s="15" t="s">
        <v>1148</v>
      </c>
      <c r="AK1027" s="15">
        <v>64.938999999999993</v>
      </c>
      <c r="AP1027" s="15">
        <v>28</v>
      </c>
      <c r="AQ1027" s="14" t="s">
        <v>1336</v>
      </c>
      <c r="AR1027" s="15" t="s">
        <v>1335</v>
      </c>
      <c r="AS1027" t="s">
        <v>3001</v>
      </c>
    </row>
    <row r="1028" spans="1:45" x14ac:dyDescent="0.2">
      <c r="A1028" t="s">
        <v>1326</v>
      </c>
      <c r="B1028" s="15" t="s">
        <v>1146</v>
      </c>
      <c r="C1028" s="15" t="s">
        <v>1149</v>
      </c>
      <c r="D1028" t="s">
        <v>469</v>
      </c>
      <c r="E1028" t="s">
        <v>1331</v>
      </c>
      <c r="G1028" s="15" t="s">
        <v>1165</v>
      </c>
      <c r="H1028" s="14" t="s">
        <v>1165</v>
      </c>
      <c r="I1028" s="18" t="s">
        <v>1328</v>
      </c>
      <c r="J1028" s="18" t="s">
        <v>1337</v>
      </c>
      <c r="K1028" s="18" t="s">
        <v>1338</v>
      </c>
      <c r="L1028">
        <v>2000</v>
      </c>
      <c r="M1028" t="s">
        <v>1327</v>
      </c>
      <c r="O1028">
        <v>2005</v>
      </c>
      <c r="P1028">
        <v>2005</v>
      </c>
      <c r="Q1028" t="s">
        <v>1329</v>
      </c>
      <c r="R1028">
        <v>10</v>
      </c>
      <c r="T1028" t="s">
        <v>1330</v>
      </c>
      <c r="U1028" t="s">
        <v>1340</v>
      </c>
      <c r="V1028" s="9" t="s">
        <v>1339</v>
      </c>
      <c r="W1028">
        <v>140</v>
      </c>
      <c r="X1028" s="9" t="s">
        <v>1261</v>
      </c>
      <c r="Z1028">
        <v>12</v>
      </c>
      <c r="AD1028" t="s">
        <v>1165</v>
      </c>
      <c r="AF1028" t="s">
        <v>1165</v>
      </c>
      <c r="AI1028" t="s">
        <v>1165</v>
      </c>
      <c r="AJ1028" s="15" t="s">
        <v>1148</v>
      </c>
      <c r="AK1028" s="15">
        <v>87.703000000000003</v>
      </c>
      <c r="AP1028" s="15">
        <v>28</v>
      </c>
      <c r="AQ1028" s="14" t="s">
        <v>1336</v>
      </c>
      <c r="AR1028" s="15" t="s">
        <v>1335</v>
      </c>
      <c r="AS1028" t="s">
        <v>3001</v>
      </c>
    </row>
    <row r="1029" spans="1:45" x14ac:dyDescent="0.2">
      <c r="A1029" t="s">
        <v>1326</v>
      </c>
      <c r="B1029" s="15" t="s">
        <v>1146</v>
      </c>
      <c r="C1029" s="15" t="s">
        <v>1149</v>
      </c>
      <c r="D1029" t="s">
        <v>469</v>
      </c>
      <c r="E1029" t="s">
        <v>1331</v>
      </c>
      <c r="G1029" s="15" t="s">
        <v>1165</v>
      </c>
      <c r="H1029" s="14" t="s">
        <v>1165</v>
      </c>
      <c r="I1029" s="18" t="s">
        <v>1328</v>
      </c>
      <c r="J1029" s="18" t="s">
        <v>1337</v>
      </c>
      <c r="K1029" s="18" t="s">
        <v>1338</v>
      </c>
      <c r="L1029">
        <v>2000</v>
      </c>
      <c r="M1029" t="s">
        <v>1327</v>
      </c>
      <c r="O1029">
        <v>2005</v>
      </c>
      <c r="P1029">
        <v>2005</v>
      </c>
      <c r="Q1029" t="s">
        <v>1329</v>
      </c>
      <c r="R1029">
        <v>10</v>
      </c>
      <c r="T1029" t="s">
        <v>1330</v>
      </c>
      <c r="U1029" t="s">
        <v>1340</v>
      </c>
      <c r="V1029" s="9" t="s">
        <v>1339</v>
      </c>
      <c r="W1029">
        <v>140</v>
      </c>
      <c r="X1029" s="9" t="s">
        <v>1334</v>
      </c>
      <c r="Z1029">
        <v>12</v>
      </c>
      <c r="AD1029" t="s">
        <v>1165</v>
      </c>
      <c r="AF1029" t="s">
        <v>1165</v>
      </c>
      <c r="AI1029" t="s">
        <v>1165</v>
      </c>
      <c r="AJ1029" s="15" t="s">
        <v>1148</v>
      </c>
      <c r="AK1029" s="15">
        <v>78.760000000000005</v>
      </c>
      <c r="AP1029" s="15">
        <v>28</v>
      </c>
      <c r="AQ1029" s="14" t="s">
        <v>1336</v>
      </c>
      <c r="AR1029" s="15" t="s">
        <v>1335</v>
      </c>
      <c r="AS1029" t="s">
        <v>3001</v>
      </c>
    </row>
    <row r="1030" spans="1:45" x14ac:dyDescent="0.2">
      <c r="A1030" t="s">
        <v>1326</v>
      </c>
      <c r="B1030" s="15" t="s">
        <v>1146</v>
      </c>
      <c r="C1030" s="15" t="s">
        <v>1149</v>
      </c>
      <c r="D1030" t="s">
        <v>469</v>
      </c>
      <c r="E1030" t="s">
        <v>1331</v>
      </c>
      <c r="G1030" s="15" t="s">
        <v>1165</v>
      </c>
      <c r="H1030" s="14" t="s">
        <v>1165</v>
      </c>
      <c r="I1030" s="18" t="s">
        <v>1328</v>
      </c>
      <c r="J1030" s="18" t="s">
        <v>1337</v>
      </c>
      <c r="K1030" s="18" t="s">
        <v>1338</v>
      </c>
      <c r="L1030">
        <v>2000</v>
      </c>
      <c r="M1030" t="s">
        <v>1327</v>
      </c>
      <c r="O1030">
        <v>2005</v>
      </c>
      <c r="P1030">
        <v>2005</v>
      </c>
      <c r="Q1030" t="s">
        <v>1329</v>
      </c>
      <c r="R1030">
        <v>10</v>
      </c>
      <c r="T1030" t="s">
        <v>1330</v>
      </c>
      <c r="U1030" t="s">
        <v>1340</v>
      </c>
      <c r="V1030" s="9" t="s">
        <v>1339</v>
      </c>
      <c r="W1030">
        <v>140</v>
      </c>
      <c r="X1030" s="9" t="s">
        <v>1333</v>
      </c>
      <c r="Z1030">
        <v>0</v>
      </c>
      <c r="AD1030" t="s">
        <v>1165</v>
      </c>
      <c r="AF1030" t="s">
        <v>1165</v>
      </c>
      <c r="AI1030" t="s">
        <v>1165</v>
      </c>
      <c r="AJ1030" s="15" t="s">
        <v>1148</v>
      </c>
      <c r="AK1030" s="15">
        <v>8.0280000000000005</v>
      </c>
      <c r="AP1030" s="15">
        <v>28</v>
      </c>
      <c r="AQ1030" s="14" t="s">
        <v>1336</v>
      </c>
      <c r="AR1030" s="15" t="s">
        <v>1335</v>
      </c>
      <c r="AS1030" t="s">
        <v>3001</v>
      </c>
    </row>
    <row r="1031" spans="1:45" x14ac:dyDescent="0.2">
      <c r="A1031" t="s">
        <v>1326</v>
      </c>
      <c r="B1031" s="15" t="s">
        <v>1146</v>
      </c>
      <c r="C1031" s="15" t="s">
        <v>1149</v>
      </c>
      <c r="D1031" t="s">
        <v>469</v>
      </c>
      <c r="E1031" t="s">
        <v>1331</v>
      </c>
      <c r="G1031" s="15" t="s">
        <v>1165</v>
      </c>
      <c r="H1031" s="14" t="s">
        <v>1165</v>
      </c>
      <c r="I1031" s="18" t="s">
        <v>1328</v>
      </c>
      <c r="J1031" s="18" t="s">
        <v>1337</v>
      </c>
      <c r="K1031" s="18" t="s">
        <v>1338</v>
      </c>
      <c r="L1031">
        <v>2000</v>
      </c>
      <c r="M1031" t="s">
        <v>1327</v>
      </c>
      <c r="O1031">
        <v>2005</v>
      </c>
      <c r="P1031">
        <v>2005</v>
      </c>
      <c r="Q1031" t="s">
        <v>1329</v>
      </c>
      <c r="R1031">
        <v>10</v>
      </c>
      <c r="T1031" t="s">
        <v>1330</v>
      </c>
      <c r="U1031" t="s">
        <v>1340</v>
      </c>
      <c r="V1031" s="9" t="s">
        <v>1339</v>
      </c>
      <c r="W1031">
        <v>140</v>
      </c>
      <c r="X1031" s="9" t="s">
        <v>1264</v>
      </c>
      <c r="Z1031">
        <v>0</v>
      </c>
      <c r="AD1031" t="s">
        <v>1165</v>
      </c>
      <c r="AF1031" t="s">
        <v>1165</v>
      </c>
      <c r="AI1031" t="s">
        <v>1165</v>
      </c>
      <c r="AJ1031" s="15" t="s">
        <v>1148</v>
      </c>
      <c r="AK1031" s="15">
        <v>6.4020000000000001</v>
      </c>
      <c r="AP1031" s="15">
        <v>28</v>
      </c>
      <c r="AQ1031" s="14" t="s">
        <v>1336</v>
      </c>
      <c r="AR1031" s="15" t="s">
        <v>1335</v>
      </c>
      <c r="AS1031" t="s">
        <v>3001</v>
      </c>
    </row>
    <row r="1032" spans="1:45" x14ac:dyDescent="0.2">
      <c r="A1032" t="s">
        <v>1326</v>
      </c>
      <c r="B1032" s="15" t="s">
        <v>1146</v>
      </c>
      <c r="C1032" s="15" t="s">
        <v>1149</v>
      </c>
      <c r="D1032" t="s">
        <v>469</v>
      </c>
      <c r="E1032" t="s">
        <v>1331</v>
      </c>
      <c r="G1032" s="15" t="s">
        <v>1165</v>
      </c>
      <c r="H1032" s="14" t="s">
        <v>1165</v>
      </c>
      <c r="I1032" s="18" t="s">
        <v>1328</v>
      </c>
      <c r="J1032" s="18" t="s">
        <v>1337</v>
      </c>
      <c r="K1032" s="18" t="s">
        <v>1338</v>
      </c>
      <c r="L1032">
        <v>2000</v>
      </c>
      <c r="M1032" t="s">
        <v>1327</v>
      </c>
      <c r="O1032">
        <v>2005</v>
      </c>
      <c r="P1032">
        <v>2005</v>
      </c>
      <c r="Q1032" t="s">
        <v>1329</v>
      </c>
      <c r="R1032">
        <v>10</v>
      </c>
      <c r="T1032" t="s">
        <v>1330</v>
      </c>
      <c r="U1032" t="s">
        <v>1340</v>
      </c>
      <c r="V1032" s="9" t="s">
        <v>1339</v>
      </c>
      <c r="W1032">
        <v>140</v>
      </c>
      <c r="X1032" s="9" t="s">
        <v>1261</v>
      </c>
      <c r="Z1032">
        <v>0</v>
      </c>
      <c r="AD1032" t="s">
        <v>1165</v>
      </c>
      <c r="AF1032" t="s">
        <v>1165</v>
      </c>
      <c r="AI1032" t="s">
        <v>1165</v>
      </c>
      <c r="AJ1032" s="15" t="s">
        <v>1148</v>
      </c>
      <c r="AK1032" s="15">
        <v>2.3370000000000002</v>
      </c>
      <c r="AP1032" s="15">
        <v>28</v>
      </c>
      <c r="AQ1032" s="14" t="s">
        <v>1336</v>
      </c>
      <c r="AR1032" s="15" t="s">
        <v>1335</v>
      </c>
      <c r="AS1032" t="s">
        <v>3001</v>
      </c>
    </row>
    <row r="1033" spans="1:45" x14ac:dyDescent="0.2">
      <c r="A1033" t="s">
        <v>1326</v>
      </c>
      <c r="B1033" s="15" t="s">
        <v>1146</v>
      </c>
      <c r="C1033" s="15" t="s">
        <v>1149</v>
      </c>
      <c r="D1033" t="s">
        <v>469</v>
      </c>
      <c r="E1033" t="s">
        <v>1331</v>
      </c>
      <c r="G1033" s="15" t="s">
        <v>1165</v>
      </c>
      <c r="H1033" s="14" t="s">
        <v>1165</v>
      </c>
      <c r="I1033" s="18" t="s">
        <v>1328</v>
      </c>
      <c r="J1033" s="18" t="s">
        <v>1337</v>
      </c>
      <c r="K1033" s="18" t="s">
        <v>1338</v>
      </c>
      <c r="L1033">
        <v>2000</v>
      </c>
      <c r="M1033" t="s">
        <v>1327</v>
      </c>
      <c r="O1033">
        <v>2005</v>
      </c>
      <c r="P1033">
        <v>2005</v>
      </c>
      <c r="Q1033" t="s">
        <v>1329</v>
      </c>
      <c r="R1033">
        <v>10</v>
      </c>
      <c r="T1033" t="s">
        <v>1330</v>
      </c>
      <c r="U1033" t="s">
        <v>1340</v>
      </c>
      <c r="V1033" s="9" t="s">
        <v>1339</v>
      </c>
      <c r="W1033">
        <v>140</v>
      </c>
      <c r="X1033" s="9" t="s">
        <v>1334</v>
      </c>
      <c r="Z1033">
        <v>0</v>
      </c>
      <c r="AD1033" t="s">
        <v>1165</v>
      </c>
      <c r="AF1033" t="s">
        <v>1165</v>
      </c>
      <c r="AI1033" t="s">
        <v>1165</v>
      </c>
      <c r="AJ1033" s="15" t="s">
        <v>1148</v>
      </c>
      <c r="AK1033" s="15">
        <v>0</v>
      </c>
      <c r="AP1033" s="15">
        <v>28</v>
      </c>
      <c r="AQ1033" s="14" t="s">
        <v>1336</v>
      </c>
      <c r="AR1033" s="15" t="s">
        <v>1335</v>
      </c>
      <c r="AS1033" t="s">
        <v>3001</v>
      </c>
    </row>
    <row r="1034" spans="1:45" x14ac:dyDescent="0.2">
      <c r="A1034" t="s">
        <v>1326</v>
      </c>
      <c r="B1034" s="15" t="s">
        <v>1146</v>
      </c>
      <c r="C1034" s="15" t="s">
        <v>1149</v>
      </c>
      <c r="D1034" t="s">
        <v>469</v>
      </c>
      <c r="E1034" t="s">
        <v>1331</v>
      </c>
      <c r="G1034" s="15" t="s">
        <v>1165</v>
      </c>
      <c r="H1034" s="14" t="s">
        <v>1165</v>
      </c>
      <c r="I1034" s="18" t="s">
        <v>1328</v>
      </c>
      <c r="J1034" s="18" t="s">
        <v>1337</v>
      </c>
      <c r="K1034" s="18" t="s">
        <v>1338</v>
      </c>
      <c r="L1034">
        <v>2000</v>
      </c>
      <c r="M1034" t="s">
        <v>1327</v>
      </c>
      <c r="O1034">
        <v>2005</v>
      </c>
      <c r="P1034">
        <v>2005</v>
      </c>
      <c r="Q1034" t="s">
        <v>1329</v>
      </c>
      <c r="R1034">
        <v>10</v>
      </c>
      <c r="T1034" t="s">
        <v>1330</v>
      </c>
      <c r="U1034" t="s">
        <v>1340</v>
      </c>
      <c r="V1034" s="9" t="s">
        <v>1339</v>
      </c>
      <c r="W1034">
        <v>210</v>
      </c>
      <c r="X1034" s="9" t="s">
        <v>1333</v>
      </c>
      <c r="Z1034">
        <v>12</v>
      </c>
      <c r="AD1034" t="s">
        <v>1165</v>
      </c>
      <c r="AF1034" t="s">
        <v>1165</v>
      </c>
      <c r="AI1034" t="s">
        <v>1165</v>
      </c>
      <c r="AJ1034" s="15" t="s">
        <v>1148</v>
      </c>
      <c r="AK1034" s="15">
        <v>46.341000000000001</v>
      </c>
      <c r="AP1034" s="15">
        <v>28</v>
      </c>
      <c r="AQ1034" s="14" t="s">
        <v>1336</v>
      </c>
      <c r="AR1034" s="15" t="s">
        <v>1335</v>
      </c>
      <c r="AS1034" t="s">
        <v>3001</v>
      </c>
    </row>
    <row r="1035" spans="1:45" x14ac:dyDescent="0.2">
      <c r="A1035" t="s">
        <v>1326</v>
      </c>
      <c r="B1035" s="15" t="s">
        <v>1146</v>
      </c>
      <c r="C1035" s="15" t="s">
        <v>1149</v>
      </c>
      <c r="D1035" t="s">
        <v>469</v>
      </c>
      <c r="E1035" t="s">
        <v>1331</v>
      </c>
      <c r="G1035" s="15" t="s">
        <v>1165</v>
      </c>
      <c r="H1035" s="14" t="s">
        <v>1165</v>
      </c>
      <c r="I1035" s="18" t="s">
        <v>1328</v>
      </c>
      <c r="J1035" s="18" t="s">
        <v>1337</v>
      </c>
      <c r="K1035" s="18" t="s">
        <v>1338</v>
      </c>
      <c r="L1035">
        <v>2000</v>
      </c>
      <c r="M1035" t="s">
        <v>1327</v>
      </c>
      <c r="O1035">
        <v>2005</v>
      </c>
      <c r="P1035">
        <v>2005</v>
      </c>
      <c r="Q1035" t="s">
        <v>1329</v>
      </c>
      <c r="R1035">
        <v>10</v>
      </c>
      <c r="T1035" t="s">
        <v>1330</v>
      </c>
      <c r="U1035" t="s">
        <v>1340</v>
      </c>
      <c r="V1035" s="9" t="s">
        <v>1339</v>
      </c>
      <c r="W1035">
        <v>210</v>
      </c>
      <c r="X1035" s="9" t="s">
        <v>1264</v>
      </c>
      <c r="Z1035">
        <v>12</v>
      </c>
      <c r="AD1035" t="s">
        <v>1165</v>
      </c>
      <c r="AF1035" t="s">
        <v>1165</v>
      </c>
      <c r="AI1035" t="s">
        <v>1165</v>
      </c>
      <c r="AJ1035" s="15" t="s">
        <v>1148</v>
      </c>
      <c r="AK1035" s="15">
        <v>68.191000000000003</v>
      </c>
      <c r="AP1035" s="15">
        <v>28</v>
      </c>
      <c r="AQ1035" s="14" t="s">
        <v>1336</v>
      </c>
      <c r="AR1035" s="15" t="s">
        <v>1335</v>
      </c>
      <c r="AS1035" t="s">
        <v>3001</v>
      </c>
    </row>
    <row r="1036" spans="1:45" x14ac:dyDescent="0.2">
      <c r="A1036" t="s">
        <v>1326</v>
      </c>
      <c r="B1036" s="15" t="s">
        <v>1146</v>
      </c>
      <c r="C1036" s="15" t="s">
        <v>1149</v>
      </c>
      <c r="D1036" t="s">
        <v>469</v>
      </c>
      <c r="E1036" t="s">
        <v>1331</v>
      </c>
      <c r="G1036" s="15" t="s">
        <v>1165</v>
      </c>
      <c r="H1036" s="14" t="s">
        <v>1165</v>
      </c>
      <c r="I1036" s="18" t="s">
        <v>1328</v>
      </c>
      <c r="J1036" s="18" t="s">
        <v>1337</v>
      </c>
      <c r="K1036" s="18" t="s">
        <v>1338</v>
      </c>
      <c r="L1036">
        <v>2000</v>
      </c>
      <c r="M1036" t="s">
        <v>1327</v>
      </c>
      <c r="O1036">
        <v>2005</v>
      </c>
      <c r="P1036">
        <v>2005</v>
      </c>
      <c r="Q1036" t="s">
        <v>1329</v>
      </c>
      <c r="R1036">
        <v>10</v>
      </c>
      <c r="T1036" t="s">
        <v>1330</v>
      </c>
      <c r="U1036" t="s">
        <v>1340</v>
      </c>
      <c r="V1036" s="9" t="s">
        <v>1339</v>
      </c>
      <c r="W1036">
        <v>210</v>
      </c>
      <c r="X1036" s="9" t="s">
        <v>1261</v>
      </c>
      <c r="Z1036">
        <v>12</v>
      </c>
      <c r="AD1036" t="s">
        <v>1165</v>
      </c>
      <c r="AF1036" t="s">
        <v>1165</v>
      </c>
      <c r="AI1036" t="s">
        <v>1165</v>
      </c>
      <c r="AJ1036" s="15" t="s">
        <v>1148</v>
      </c>
      <c r="AK1036" s="15">
        <v>86.89</v>
      </c>
      <c r="AP1036" s="15">
        <v>28</v>
      </c>
      <c r="AQ1036" s="14" t="s">
        <v>1336</v>
      </c>
      <c r="AR1036" s="15" t="s">
        <v>1335</v>
      </c>
      <c r="AS1036" t="s">
        <v>3001</v>
      </c>
    </row>
    <row r="1037" spans="1:45" x14ac:dyDescent="0.2">
      <c r="A1037" t="s">
        <v>1326</v>
      </c>
      <c r="B1037" s="15" t="s">
        <v>1146</v>
      </c>
      <c r="C1037" s="15" t="s">
        <v>1149</v>
      </c>
      <c r="D1037" t="s">
        <v>469</v>
      </c>
      <c r="E1037" t="s">
        <v>1331</v>
      </c>
      <c r="G1037" s="15" t="s">
        <v>1165</v>
      </c>
      <c r="H1037" s="14" t="s">
        <v>1165</v>
      </c>
      <c r="I1037" s="18" t="s">
        <v>1328</v>
      </c>
      <c r="J1037" s="18" t="s">
        <v>1337</v>
      </c>
      <c r="K1037" s="18" t="s">
        <v>1338</v>
      </c>
      <c r="L1037">
        <v>2000</v>
      </c>
      <c r="M1037" t="s">
        <v>1327</v>
      </c>
      <c r="O1037">
        <v>2005</v>
      </c>
      <c r="P1037">
        <v>2005</v>
      </c>
      <c r="Q1037" t="s">
        <v>1329</v>
      </c>
      <c r="R1037">
        <v>10</v>
      </c>
      <c r="T1037" t="s">
        <v>1330</v>
      </c>
      <c r="U1037" t="s">
        <v>1340</v>
      </c>
      <c r="V1037" s="9" t="s">
        <v>1339</v>
      </c>
      <c r="W1037">
        <v>210</v>
      </c>
      <c r="X1037" s="9" t="s">
        <v>1334</v>
      </c>
      <c r="Z1037">
        <v>12</v>
      </c>
      <c r="AD1037" t="s">
        <v>1165</v>
      </c>
      <c r="AF1037" t="s">
        <v>1165</v>
      </c>
      <c r="AI1037" t="s">
        <v>1165</v>
      </c>
      <c r="AJ1037" s="15" t="s">
        <v>1148</v>
      </c>
      <c r="AK1037" s="15">
        <v>77.134</v>
      </c>
      <c r="AP1037" s="15">
        <v>28</v>
      </c>
      <c r="AQ1037" s="14" t="s">
        <v>1336</v>
      </c>
      <c r="AR1037" s="15" t="s">
        <v>1335</v>
      </c>
      <c r="AS1037" t="s">
        <v>3001</v>
      </c>
    </row>
    <row r="1038" spans="1:45" x14ac:dyDescent="0.2">
      <c r="A1038" t="s">
        <v>1326</v>
      </c>
      <c r="B1038" s="15" t="s">
        <v>1146</v>
      </c>
      <c r="C1038" s="15" t="s">
        <v>1149</v>
      </c>
      <c r="D1038" t="s">
        <v>469</v>
      </c>
      <c r="E1038" t="s">
        <v>1331</v>
      </c>
      <c r="G1038" s="15" t="s">
        <v>1165</v>
      </c>
      <c r="H1038" s="14" t="s">
        <v>1165</v>
      </c>
      <c r="I1038" s="18" t="s">
        <v>1328</v>
      </c>
      <c r="J1038" s="18" t="s">
        <v>1337</v>
      </c>
      <c r="K1038" s="18" t="s">
        <v>1338</v>
      </c>
      <c r="L1038">
        <v>2000</v>
      </c>
      <c r="M1038" t="s">
        <v>1327</v>
      </c>
      <c r="O1038">
        <v>2005</v>
      </c>
      <c r="P1038">
        <v>2005</v>
      </c>
      <c r="Q1038" t="s">
        <v>1329</v>
      </c>
      <c r="R1038">
        <v>10</v>
      </c>
      <c r="T1038" t="s">
        <v>1330</v>
      </c>
      <c r="U1038" t="s">
        <v>1340</v>
      </c>
      <c r="V1038" s="9" t="s">
        <v>1339</v>
      </c>
      <c r="W1038">
        <v>210</v>
      </c>
      <c r="X1038" s="9" t="s">
        <v>1333</v>
      </c>
      <c r="Z1038">
        <v>0</v>
      </c>
      <c r="AD1038" t="s">
        <v>1165</v>
      </c>
      <c r="AF1038" t="s">
        <v>1165</v>
      </c>
      <c r="AI1038" t="s">
        <v>1165</v>
      </c>
      <c r="AJ1038" s="15" t="s">
        <v>1148</v>
      </c>
      <c r="AK1038" s="15">
        <v>18.292999999999999</v>
      </c>
      <c r="AP1038" s="15">
        <v>28</v>
      </c>
      <c r="AQ1038" s="14" t="s">
        <v>1336</v>
      </c>
      <c r="AR1038" s="15" t="s">
        <v>1335</v>
      </c>
      <c r="AS1038" t="s">
        <v>3001</v>
      </c>
    </row>
    <row r="1039" spans="1:45" x14ac:dyDescent="0.2">
      <c r="A1039" t="s">
        <v>1326</v>
      </c>
      <c r="B1039" s="15" t="s">
        <v>1146</v>
      </c>
      <c r="C1039" s="15" t="s">
        <v>1149</v>
      </c>
      <c r="D1039" t="s">
        <v>469</v>
      </c>
      <c r="E1039" t="s">
        <v>1331</v>
      </c>
      <c r="G1039" s="15" t="s">
        <v>1165</v>
      </c>
      <c r="H1039" s="14" t="s">
        <v>1165</v>
      </c>
      <c r="I1039" s="18" t="s">
        <v>1328</v>
      </c>
      <c r="J1039" s="18" t="s">
        <v>1337</v>
      </c>
      <c r="K1039" s="18" t="s">
        <v>1338</v>
      </c>
      <c r="L1039">
        <v>2000</v>
      </c>
      <c r="M1039" t="s">
        <v>1327</v>
      </c>
      <c r="O1039">
        <v>2005</v>
      </c>
      <c r="P1039">
        <v>2005</v>
      </c>
      <c r="Q1039" t="s">
        <v>1329</v>
      </c>
      <c r="R1039">
        <v>10</v>
      </c>
      <c r="T1039" t="s">
        <v>1330</v>
      </c>
      <c r="U1039" t="s">
        <v>1340</v>
      </c>
      <c r="V1039" s="9" t="s">
        <v>1339</v>
      </c>
      <c r="W1039">
        <v>210</v>
      </c>
      <c r="X1039" s="9" t="s">
        <v>1264</v>
      </c>
      <c r="Z1039">
        <v>0</v>
      </c>
      <c r="AD1039" t="s">
        <v>1165</v>
      </c>
      <c r="AF1039" t="s">
        <v>1165</v>
      </c>
      <c r="AI1039" t="s">
        <v>1165</v>
      </c>
      <c r="AJ1039" s="15" t="s">
        <v>1148</v>
      </c>
      <c r="AK1039" s="15">
        <v>13.72</v>
      </c>
      <c r="AP1039" s="15">
        <v>28</v>
      </c>
      <c r="AQ1039" s="14" t="s">
        <v>1336</v>
      </c>
      <c r="AR1039" s="15" t="s">
        <v>1335</v>
      </c>
      <c r="AS1039" t="s">
        <v>3001</v>
      </c>
    </row>
    <row r="1040" spans="1:45" x14ac:dyDescent="0.2">
      <c r="A1040" t="s">
        <v>1326</v>
      </c>
      <c r="B1040" s="15" t="s">
        <v>1146</v>
      </c>
      <c r="C1040" s="15" t="s">
        <v>1149</v>
      </c>
      <c r="D1040" t="s">
        <v>469</v>
      </c>
      <c r="E1040" t="s">
        <v>1331</v>
      </c>
      <c r="G1040" s="15" t="s">
        <v>1165</v>
      </c>
      <c r="H1040" s="14" t="s">
        <v>1165</v>
      </c>
      <c r="I1040" s="18" t="s">
        <v>1328</v>
      </c>
      <c r="J1040" s="18" t="s">
        <v>1337</v>
      </c>
      <c r="K1040" s="18" t="s">
        <v>1338</v>
      </c>
      <c r="L1040">
        <v>2000</v>
      </c>
      <c r="M1040" t="s">
        <v>1327</v>
      </c>
      <c r="O1040">
        <v>2005</v>
      </c>
      <c r="P1040">
        <v>2005</v>
      </c>
      <c r="Q1040" t="s">
        <v>1329</v>
      </c>
      <c r="R1040">
        <v>10</v>
      </c>
      <c r="T1040" t="s">
        <v>1330</v>
      </c>
      <c r="U1040" t="s">
        <v>1340</v>
      </c>
      <c r="V1040" s="9" t="s">
        <v>1339</v>
      </c>
      <c r="W1040">
        <v>210</v>
      </c>
      <c r="X1040" s="9" t="s">
        <v>1261</v>
      </c>
      <c r="Z1040">
        <v>0</v>
      </c>
      <c r="AD1040" t="s">
        <v>1165</v>
      </c>
      <c r="AF1040" t="s">
        <v>1165</v>
      </c>
      <c r="AI1040" t="s">
        <v>1165</v>
      </c>
      <c r="AJ1040" s="15" t="s">
        <v>1148</v>
      </c>
      <c r="AK1040" s="15">
        <v>14.532999999999999</v>
      </c>
      <c r="AP1040" s="15">
        <v>28</v>
      </c>
      <c r="AQ1040" s="14" t="s">
        <v>1336</v>
      </c>
      <c r="AR1040" s="15" t="s">
        <v>1335</v>
      </c>
      <c r="AS1040" t="s">
        <v>3001</v>
      </c>
    </row>
    <row r="1041" spans="1:45" x14ac:dyDescent="0.2">
      <c r="A1041" t="s">
        <v>1326</v>
      </c>
      <c r="B1041" s="15" t="s">
        <v>1146</v>
      </c>
      <c r="C1041" s="15" t="s">
        <v>1149</v>
      </c>
      <c r="D1041" t="s">
        <v>469</v>
      </c>
      <c r="E1041" t="s">
        <v>1331</v>
      </c>
      <c r="G1041" s="15" t="s">
        <v>1165</v>
      </c>
      <c r="H1041" s="14" t="s">
        <v>1165</v>
      </c>
      <c r="I1041" s="18" t="s">
        <v>1328</v>
      </c>
      <c r="J1041" s="18" t="s">
        <v>1337</v>
      </c>
      <c r="K1041" s="18" t="s">
        <v>1338</v>
      </c>
      <c r="L1041">
        <v>2000</v>
      </c>
      <c r="M1041" t="s">
        <v>1327</v>
      </c>
      <c r="O1041">
        <v>2005</v>
      </c>
      <c r="P1041">
        <v>2005</v>
      </c>
      <c r="Q1041" t="s">
        <v>1329</v>
      </c>
      <c r="R1041">
        <v>10</v>
      </c>
      <c r="T1041" t="s">
        <v>1330</v>
      </c>
      <c r="U1041" t="s">
        <v>1340</v>
      </c>
      <c r="V1041" s="9" t="s">
        <v>1339</v>
      </c>
      <c r="W1041">
        <v>210</v>
      </c>
      <c r="X1041" s="9" t="s">
        <v>1334</v>
      </c>
      <c r="Z1041">
        <v>0</v>
      </c>
      <c r="AD1041" t="s">
        <v>1165</v>
      </c>
      <c r="AF1041" t="s">
        <v>1165</v>
      </c>
      <c r="AI1041" t="s">
        <v>1165</v>
      </c>
      <c r="AJ1041" s="15" t="s">
        <v>1148</v>
      </c>
      <c r="AK1041" s="15">
        <v>6.4020000000000001</v>
      </c>
      <c r="AP1041" s="15">
        <v>28</v>
      </c>
      <c r="AQ1041" s="14" t="s">
        <v>1336</v>
      </c>
      <c r="AR1041" s="15" t="s">
        <v>1335</v>
      </c>
      <c r="AS1041" t="s">
        <v>3001</v>
      </c>
    </row>
    <row r="1042" spans="1:45" s="14" customFormat="1" x14ac:dyDescent="0.2">
      <c r="A1042" s="14" t="s">
        <v>1326</v>
      </c>
      <c r="B1042" s="15" t="s">
        <v>1146</v>
      </c>
      <c r="C1042" s="15" t="s">
        <v>1149</v>
      </c>
      <c r="D1042" s="14" t="s">
        <v>469</v>
      </c>
      <c r="E1042" s="14" t="s">
        <v>1331</v>
      </c>
      <c r="G1042" s="15" t="s">
        <v>1165</v>
      </c>
      <c r="H1042" s="14" t="s">
        <v>1165</v>
      </c>
      <c r="I1042" s="18" t="s">
        <v>1328</v>
      </c>
      <c r="J1042" s="18" t="s">
        <v>1337</v>
      </c>
      <c r="K1042" s="18" t="s">
        <v>1338</v>
      </c>
      <c r="L1042" s="14">
        <v>2000</v>
      </c>
      <c r="M1042" s="14" t="s">
        <v>1327</v>
      </c>
      <c r="O1042" s="14">
        <v>2005</v>
      </c>
      <c r="P1042" s="14">
        <v>2005</v>
      </c>
      <c r="Q1042" s="14" t="s">
        <v>1329</v>
      </c>
      <c r="R1042" s="14">
        <v>10</v>
      </c>
      <c r="T1042" s="14" t="s">
        <v>1330</v>
      </c>
      <c r="U1042" s="14" t="s">
        <v>1341</v>
      </c>
      <c r="V1042" s="12"/>
      <c r="X1042" s="12" t="s">
        <v>1333</v>
      </c>
      <c r="Y1042" s="14" t="s">
        <v>2994</v>
      </c>
      <c r="Z1042" s="14">
        <v>12</v>
      </c>
      <c r="AD1042" s="14" t="s">
        <v>1165</v>
      </c>
      <c r="AF1042" s="14" t="s">
        <v>1165</v>
      </c>
      <c r="AI1042" s="14" t="s">
        <v>1165</v>
      </c>
      <c r="AJ1042" s="15" t="s">
        <v>1148</v>
      </c>
      <c r="AK1042" s="15">
        <v>1.22</v>
      </c>
      <c r="AP1042" s="15">
        <v>28</v>
      </c>
      <c r="AQ1042" s="14" t="s">
        <v>1336</v>
      </c>
      <c r="AR1042" s="15" t="s">
        <v>1335</v>
      </c>
      <c r="AS1042" s="14" t="s">
        <v>3002</v>
      </c>
    </row>
    <row r="1043" spans="1:45" s="14" customFormat="1" x14ac:dyDescent="0.2">
      <c r="A1043" s="14" t="s">
        <v>1326</v>
      </c>
      <c r="B1043" s="15" t="s">
        <v>1146</v>
      </c>
      <c r="C1043" s="15" t="s">
        <v>1149</v>
      </c>
      <c r="D1043" s="14" t="s">
        <v>469</v>
      </c>
      <c r="E1043" s="14" t="s">
        <v>1331</v>
      </c>
      <c r="G1043" s="15" t="s">
        <v>1165</v>
      </c>
      <c r="H1043" s="14" t="s">
        <v>1165</v>
      </c>
      <c r="I1043" s="18" t="s">
        <v>1328</v>
      </c>
      <c r="J1043" s="18" t="s">
        <v>1337</v>
      </c>
      <c r="K1043" s="18" t="s">
        <v>1338</v>
      </c>
      <c r="L1043" s="14">
        <v>2000</v>
      </c>
      <c r="M1043" s="14" t="s">
        <v>1327</v>
      </c>
      <c r="O1043" s="14">
        <v>2005</v>
      </c>
      <c r="P1043" s="14">
        <v>2005</v>
      </c>
      <c r="Q1043" s="14" t="s">
        <v>1329</v>
      </c>
      <c r="R1043" s="14">
        <v>10</v>
      </c>
      <c r="T1043" s="14" t="s">
        <v>1330</v>
      </c>
      <c r="U1043" s="14" t="s">
        <v>1341</v>
      </c>
      <c r="V1043" s="12"/>
      <c r="X1043" s="12" t="s">
        <v>1264</v>
      </c>
      <c r="Y1043" s="14" t="s">
        <v>2994</v>
      </c>
      <c r="Z1043" s="14">
        <v>12</v>
      </c>
      <c r="AD1043" s="14" t="s">
        <v>1165</v>
      </c>
      <c r="AF1043" s="14" t="s">
        <v>1165</v>
      </c>
      <c r="AI1043" s="14" t="s">
        <v>1165</v>
      </c>
      <c r="AJ1043" s="15" t="s">
        <v>1148</v>
      </c>
      <c r="AK1043" s="15">
        <v>7.2149999999999999</v>
      </c>
      <c r="AP1043" s="15">
        <v>28</v>
      </c>
      <c r="AQ1043" s="14" t="s">
        <v>1336</v>
      </c>
      <c r="AR1043" s="15" t="s">
        <v>1335</v>
      </c>
      <c r="AS1043" s="14" t="s">
        <v>3002</v>
      </c>
    </row>
    <row r="1044" spans="1:45" s="14" customFormat="1" x14ac:dyDescent="0.2">
      <c r="A1044" s="14" t="s">
        <v>1326</v>
      </c>
      <c r="B1044" s="15" t="s">
        <v>1146</v>
      </c>
      <c r="C1044" s="15" t="s">
        <v>1149</v>
      </c>
      <c r="D1044" s="14" t="s">
        <v>469</v>
      </c>
      <c r="E1044" s="14" t="s">
        <v>1331</v>
      </c>
      <c r="G1044" s="15" t="s">
        <v>1165</v>
      </c>
      <c r="H1044" s="14" t="s">
        <v>1165</v>
      </c>
      <c r="I1044" s="18" t="s">
        <v>1328</v>
      </c>
      <c r="J1044" s="18" t="s">
        <v>1337</v>
      </c>
      <c r="K1044" s="18" t="s">
        <v>1338</v>
      </c>
      <c r="L1044" s="14">
        <v>2000</v>
      </c>
      <c r="M1044" s="14" t="s">
        <v>1327</v>
      </c>
      <c r="O1044" s="14">
        <v>2005</v>
      </c>
      <c r="P1044" s="14">
        <v>2005</v>
      </c>
      <c r="Q1044" s="14" t="s">
        <v>1329</v>
      </c>
      <c r="R1044" s="14">
        <v>10</v>
      </c>
      <c r="T1044" s="14" t="s">
        <v>1330</v>
      </c>
      <c r="U1044" s="14" t="s">
        <v>1341</v>
      </c>
      <c r="V1044" s="12"/>
      <c r="X1044" s="12" t="s">
        <v>1261</v>
      </c>
      <c r="Y1044" s="14" t="s">
        <v>2994</v>
      </c>
      <c r="Z1044" s="14">
        <v>12</v>
      </c>
      <c r="AD1044" s="14" t="s">
        <v>1165</v>
      </c>
      <c r="AF1044" s="14" t="s">
        <v>1165</v>
      </c>
      <c r="AI1044" s="14" t="s">
        <v>1165</v>
      </c>
      <c r="AJ1044" s="15" t="s">
        <v>1148</v>
      </c>
      <c r="AK1044" s="15">
        <v>9.6539999999999999</v>
      </c>
      <c r="AP1044" s="15">
        <v>28</v>
      </c>
      <c r="AQ1044" s="14" t="s">
        <v>1336</v>
      </c>
      <c r="AR1044" s="15" t="s">
        <v>1335</v>
      </c>
      <c r="AS1044" s="14" t="s">
        <v>3002</v>
      </c>
    </row>
    <row r="1045" spans="1:45" s="14" customFormat="1" x14ac:dyDescent="0.2">
      <c r="A1045" s="14" t="s">
        <v>1326</v>
      </c>
      <c r="B1045" s="15" t="s">
        <v>1146</v>
      </c>
      <c r="C1045" s="15" t="s">
        <v>1149</v>
      </c>
      <c r="D1045" s="14" t="s">
        <v>469</v>
      </c>
      <c r="E1045" s="14" t="s">
        <v>1331</v>
      </c>
      <c r="G1045" s="15" t="s">
        <v>1165</v>
      </c>
      <c r="H1045" s="14" t="s">
        <v>1165</v>
      </c>
      <c r="I1045" s="18" t="s">
        <v>1328</v>
      </c>
      <c r="J1045" s="18" t="s">
        <v>1337</v>
      </c>
      <c r="K1045" s="18" t="s">
        <v>1338</v>
      </c>
      <c r="L1045" s="14">
        <v>2000</v>
      </c>
      <c r="M1045" s="14" t="s">
        <v>1327</v>
      </c>
      <c r="O1045" s="14">
        <v>2005</v>
      </c>
      <c r="P1045" s="14">
        <v>2005</v>
      </c>
      <c r="Q1045" s="14" t="s">
        <v>1329</v>
      </c>
      <c r="R1045" s="14">
        <v>10</v>
      </c>
      <c r="T1045" s="14" t="s">
        <v>1330</v>
      </c>
      <c r="U1045" s="14" t="s">
        <v>1341</v>
      </c>
      <c r="V1045" s="12"/>
      <c r="X1045" s="12" t="s">
        <v>1334</v>
      </c>
      <c r="Y1045" s="14" t="s">
        <v>2994</v>
      </c>
      <c r="Z1045" s="14">
        <v>12</v>
      </c>
      <c r="AD1045" s="14" t="s">
        <v>1165</v>
      </c>
      <c r="AF1045" s="14" t="s">
        <v>1165</v>
      </c>
      <c r="AI1045" s="14" t="s">
        <v>1165</v>
      </c>
      <c r="AJ1045" s="15" t="s">
        <v>1148</v>
      </c>
      <c r="AK1045" s="15">
        <v>13.72</v>
      </c>
      <c r="AP1045" s="15">
        <v>28</v>
      </c>
      <c r="AQ1045" s="14" t="s">
        <v>1336</v>
      </c>
      <c r="AR1045" s="15" t="s">
        <v>1335</v>
      </c>
      <c r="AS1045" s="14" t="s">
        <v>3002</v>
      </c>
    </row>
    <row r="1046" spans="1:45" s="14" customFormat="1" x14ac:dyDescent="0.2">
      <c r="A1046" s="14" t="s">
        <v>1326</v>
      </c>
      <c r="B1046" s="15" t="s">
        <v>1146</v>
      </c>
      <c r="C1046" s="15" t="s">
        <v>1149</v>
      </c>
      <c r="D1046" s="14" t="s">
        <v>469</v>
      </c>
      <c r="E1046" s="14" t="s">
        <v>1331</v>
      </c>
      <c r="G1046" s="15" t="s">
        <v>1165</v>
      </c>
      <c r="H1046" s="14" t="s">
        <v>1165</v>
      </c>
      <c r="I1046" s="18" t="s">
        <v>1328</v>
      </c>
      <c r="J1046" s="18" t="s">
        <v>1337</v>
      </c>
      <c r="K1046" s="18" t="s">
        <v>1338</v>
      </c>
      <c r="L1046" s="14">
        <v>2000</v>
      </c>
      <c r="M1046" s="14" t="s">
        <v>1327</v>
      </c>
      <c r="O1046" s="14">
        <v>2005</v>
      </c>
      <c r="P1046" s="14">
        <v>2005</v>
      </c>
      <c r="Q1046" s="14" t="s">
        <v>1329</v>
      </c>
      <c r="R1046" s="14">
        <v>10</v>
      </c>
      <c r="T1046" s="14" t="s">
        <v>1330</v>
      </c>
      <c r="U1046" s="14" t="s">
        <v>1341</v>
      </c>
      <c r="V1046" s="12"/>
      <c r="X1046" s="12" t="s">
        <v>1333</v>
      </c>
      <c r="Y1046" s="14" t="s">
        <v>2994</v>
      </c>
      <c r="Z1046" s="14">
        <v>0</v>
      </c>
      <c r="AD1046" s="14" t="s">
        <v>1165</v>
      </c>
      <c r="AF1046" s="14" t="s">
        <v>1165</v>
      </c>
      <c r="AI1046" s="14" t="s">
        <v>1165</v>
      </c>
      <c r="AJ1046" s="15" t="s">
        <v>1148</v>
      </c>
      <c r="AK1046" s="15">
        <v>0</v>
      </c>
      <c r="AP1046" s="15">
        <v>28</v>
      </c>
      <c r="AQ1046" s="14" t="s">
        <v>1336</v>
      </c>
      <c r="AR1046" s="15" t="s">
        <v>1335</v>
      </c>
      <c r="AS1046" s="14" t="s">
        <v>3002</v>
      </c>
    </row>
    <row r="1047" spans="1:45" s="14" customFormat="1" x14ac:dyDescent="0.2">
      <c r="A1047" s="14" t="s">
        <v>1326</v>
      </c>
      <c r="B1047" s="15" t="s">
        <v>1146</v>
      </c>
      <c r="C1047" s="15" t="s">
        <v>1149</v>
      </c>
      <c r="D1047" s="14" t="s">
        <v>469</v>
      </c>
      <c r="E1047" s="14" t="s">
        <v>1331</v>
      </c>
      <c r="G1047" s="15" t="s">
        <v>1165</v>
      </c>
      <c r="H1047" s="14" t="s">
        <v>1165</v>
      </c>
      <c r="I1047" s="18" t="s">
        <v>1328</v>
      </c>
      <c r="J1047" s="18" t="s">
        <v>1337</v>
      </c>
      <c r="K1047" s="18" t="s">
        <v>1338</v>
      </c>
      <c r="L1047" s="14">
        <v>2000</v>
      </c>
      <c r="M1047" s="14" t="s">
        <v>1327</v>
      </c>
      <c r="O1047" s="14">
        <v>2005</v>
      </c>
      <c r="P1047" s="14">
        <v>2005</v>
      </c>
      <c r="Q1047" s="14" t="s">
        <v>1329</v>
      </c>
      <c r="R1047" s="14">
        <v>10</v>
      </c>
      <c r="T1047" s="14" t="s">
        <v>1330</v>
      </c>
      <c r="U1047" s="14" t="s">
        <v>1341</v>
      </c>
      <c r="V1047" s="12"/>
      <c r="X1047" s="12" t="s">
        <v>1264</v>
      </c>
      <c r="Y1047" s="14" t="s">
        <v>2994</v>
      </c>
      <c r="Z1047" s="14">
        <v>0</v>
      </c>
      <c r="AD1047" s="14" t="s">
        <v>1165</v>
      </c>
      <c r="AF1047" s="14" t="s">
        <v>1165</v>
      </c>
      <c r="AI1047" s="14" t="s">
        <v>1165</v>
      </c>
      <c r="AJ1047" s="15" t="s">
        <v>1148</v>
      </c>
      <c r="AK1047" s="15">
        <v>0</v>
      </c>
      <c r="AP1047" s="15">
        <v>28</v>
      </c>
      <c r="AQ1047" s="14" t="s">
        <v>1336</v>
      </c>
      <c r="AR1047" s="15" t="s">
        <v>1335</v>
      </c>
      <c r="AS1047" s="14" t="s">
        <v>3002</v>
      </c>
    </row>
    <row r="1048" spans="1:45" s="14" customFormat="1" x14ac:dyDescent="0.2">
      <c r="A1048" s="14" t="s">
        <v>1326</v>
      </c>
      <c r="B1048" s="15" t="s">
        <v>1146</v>
      </c>
      <c r="C1048" s="15" t="s">
        <v>1149</v>
      </c>
      <c r="D1048" s="14" t="s">
        <v>469</v>
      </c>
      <c r="E1048" s="14" t="s">
        <v>1331</v>
      </c>
      <c r="G1048" s="15" t="s">
        <v>1165</v>
      </c>
      <c r="H1048" s="14" t="s">
        <v>1165</v>
      </c>
      <c r="I1048" s="18" t="s">
        <v>1328</v>
      </c>
      <c r="J1048" s="18" t="s">
        <v>1337</v>
      </c>
      <c r="K1048" s="18" t="s">
        <v>1338</v>
      </c>
      <c r="L1048" s="14">
        <v>2000</v>
      </c>
      <c r="M1048" s="14" t="s">
        <v>1327</v>
      </c>
      <c r="O1048" s="14">
        <v>2005</v>
      </c>
      <c r="P1048" s="14">
        <v>2005</v>
      </c>
      <c r="Q1048" s="14" t="s">
        <v>1329</v>
      </c>
      <c r="R1048" s="14">
        <v>10</v>
      </c>
      <c r="T1048" s="14" t="s">
        <v>1330</v>
      </c>
      <c r="U1048" s="14" t="s">
        <v>1341</v>
      </c>
      <c r="V1048" s="12"/>
      <c r="X1048" s="12" t="s">
        <v>1261</v>
      </c>
      <c r="Y1048" s="14" t="s">
        <v>2994</v>
      </c>
      <c r="Z1048" s="14">
        <v>0</v>
      </c>
      <c r="AD1048" s="14" t="s">
        <v>1165</v>
      </c>
      <c r="AF1048" s="14" t="s">
        <v>1165</v>
      </c>
      <c r="AI1048" s="14" t="s">
        <v>1165</v>
      </c>
      <c r="AJ1048" s="15" t="s">
        <v>1148</v>
      </c>
      <c r="AK1048" s="15">
        <v>0</v>
      </c>
      <c r="AP1048" s="15">
        <v>28</v>
      </c>
      <c r="AQ1048" s="14" t="s">
        <v>1336</v>
      </c>
      <c r="AR1048" s="15" t="s">
        <v>1335</v>
      </c>
      <c r="AS1048" s="14" t="s">
        <v>3002</v>
      </c>
    </row>
    <row r="1049" spans="1:45" s="14" customFormat="1" x14ac:dyDescent="0.2">
      <c r="A1049" s="14" t="s">
        <v>1326</v>
      </c>
      <c r="B1049" s="15" t="s">
        <v>1146</v>
      </c>
      <c r="C1049" s="15" t="s">
        <v>1149</v>
      </c>
      <c r="D1049" s="14" t="s">
        <v>469</v>
      </c>
      <c r="E1049" s="14" t="s">
        <v>1331</v>
      </c>
      <c r="G1049" s="15" t="s">
        <v>1165</v>
      </c>
      <c r="H1049" s="14" t="s">
        <v>1165</v>
      </c>
      <c r="I1049" s="18" t="s">
        <v>1328</v>
      </c>
      <c r="J1049" s="18" t="s">
        <v>1337</v>
      </c>
      <c r="K1049" s="18" t="s">
        <v>1338</v>
      </c>
      <c r="L1049" s="14">
        <v>2000</v>
      </c>
      <c r="M1049" s="14" t="s">
        <v>1327</v>
      </c>
      <c r="O1049" s="14">
        <v>2005</v>
      </c>
      <c r="P1049" s="14">
        <v>2005</v>
      </c>
      <c r="Q1049" s="14" t="s">
        <v>1329</v>
      </c>
      <c r="R1049" s="14">
        <v>10</v>
      </c>
      <c r="T1049" s="14" t="s">
        <v>1330</v>
      </c>
      <c r="U1049" s="14" t="s">
        <v>1341</v>
      </c>
      <c r="V1049" s="12"/>
      <c r="X1049" s="12" t="s">
        <v>1334</v>
      </c>
      <c r="Y1049" s="14" t="s">
        <v>2994</v>
      </c>
      <c r="Z1049" s="14">
        <v>0</v>
      </c>
      <c r="AD1049" s="14" t="s">
        <v>1165</v>
      </c>
      <c r="AF1049" s="14" t="s">
        <v>1165</v>
      </c>
      <c r="AI1049" s="14" t="s">
        <v>1165</v>
      </c>
      <c r="AJ1049" s="15" t="s">
        <v>1148</v>
      </c>
      <c r="AK1049" s="15">
        <v>0</v>
      </c>
      <c r="AP1049" s="15">
        <v>28</v>
      </c>
      <c r="AQ1049" s="14" t="s">
        <v>1336</v>
      </c>
      <c r="AR1049" s="15" t="s">
        <v>1335</v>
      </c>
      <c r="AS1049" s="14" t="s">
        <v>3002</v>
      </c>
    </row>
    <row r="1050" spans="1:45" s="14" customFormat="1" x14ac:dyDescent="0.2">
      <c r="A1050" s="14" t="s">
        <v>1326</v>
      </c>
      <c r="B1050" s="15" t="s">
        <v>1146</v>
      </c>
      <c r="C1050" s="15" t="s">
        <v>1149</v>
      </c>
      <c r="D1050" s="14" t="s">
        <v>469</v>
      </c>
      <c r="E1050" s="14" t="s">
        <v>1331</v>
      </c>
      <c r="G1050" s="15" t="s">
        <v>1165</v>
      </c>
      <c r="H1050" s="14" t="s">
        <v>1165</v>
      </c>
      <c r="I1050" s="18" t="s">
        <v>1328</v>
      </c>
      <c r="J1050" s="18" t="s">
        <v>1337</v>
      </c>
      <c r="K1050" s="18" t="s">
        <v>1338</v>
      </c>
      <c r="L1050" s="14">
        <v>2000</v>
      </c>
      <c r="M1050" s="14" t="s">
        <v>1327</v>
      </c>
      <c r="O1050" s="14">
        <v>2005</v>
      </c>
      <c r="P1050" s="14">
        <v>2005</v>
      </c>
      <c r="Q1050" s="14" t="s">
        <v>1329</v>
      </c>
      <c r="R1050" s="14">
        <v>10</v>
      </c>
      <c r="T1050" s="14" t="s">
        <v>1330</v>
      </c>
      <c r="U1050" s="14" t="s">
        <v>1341</v>
      </c>
      <c r="V1050" s="12"/>
      <c r="X1050" s="12" t="s">
        <v>1333</v>
      </c>
      <c r="Y1050" s="14" t="s">
        <v>2995</v>
      </c>
      <c r="Z1050" s="14">
        <v>12</v>
      </c>
      <c r="AD1050" s="14" t="s">
        <v>1165</v>
      </c>
      <c r="AF1050" s="14" t="s">
        <v>1165</v>
      </c>
      <c r="AI1050" s="14" t="s">
        <v>1165</v>
      </c>
      <c r="AJ1050" s="15" t="s">
        <v>1148</v>
      </c>
      <c r="AK1050" s="15">
        <v>0</v>
      </c>
      <c r="AP1050" s="15">
        <v>28</v>
      </c>
      <c r="AQ1050" s="14" t="s">
        <v>1336</v>
      </c>
      <c r="AR1050" s="15" t="s">
        <v>1335</v>
      </c>
      <c r="AS1050" s="14" t="s">
        <v>3002</v>
      </c>
    </row>
    <row r="1051" spans="1:45" s="14" customFormat="1" x14ac:dyDescent="0.2">
      <c r="A1051" s="14" t="s">
        <v>1326</v>
      </c>
      <c r="B1051" s="15" t="s">
        <v>1146</v>
      </c>
      <c r="C1051" s="15" t="s">
        <v>1149</v>
      </c>
      <c r="D1051" s="14" t="s">
        <v>469</v>
      </c>
      <c r="E1051" s="14" t="s">
        <v>1331</v>
      </c>
      <c r="G1051" s="15" t="s">
        <v>1165</v>
      </c>
      <c r="H1051" s="14" t="s">
        <v>1165</v>
      </c>
      <c r="I1051" s="18" t="s">
        <v>1328</v>
      </c>
      <c r="J1051" s="18" t="s">
        <v>1337</v>
      </c>
      <c r="K1051" s="18" t="s">
        <v>1338</v>
      </c>
      <c r="L1051" s="14">
        <v>2000</v>
      </c>
      <c r="M1051" s="14" t="s">
        <v>1327</v>
      </c>
      <c r="O1051" s="14">
        <v>2005</v>
      </c>
      <c r="P1051" s="14">
        <v>2005</v>
      </c>
      <c r="Q1051" s="14" t="s">
        <v>1329</v>
      </c>
      <c r="R1051" s="14">
        <v>10</v>
      </c>
      <c r="T1051" s="14" t="s">
        <v>1330</v>
      </c>
      <c r="U1051" s="14" t="s">
        <v>1341</v>
      </c>
      <c r="V1051" s="12"/>
      <c r="X1051" s="12" t="s">
        <v>1264</v>
      </c>
      <c r="Y1051" s="14" t="s">
        <v>2995</v>
      </c>
      <c r="Z1051" s="14">
        <v>12</v>
      </c>
      <c r="AD1051" s="14" t="s">
        <v>1165</v>
      </c>
      <c r="AF1051" s="14" t="s">
        <v>1165</v>
      </c>
      <c r="AI1051" s="14" t="s">
        <v>1165</v>
      </c>
      <c r="AJ1051" s="15" t="s">
        <v>1148</v>
      </c>
      <c r="AK1051" s="15">
        <v>5.5890000000000004</v>
      </c>
      <c r="AP1051" s="15">
        <v>28</v>
      </c>
      <c r="AQ1051" s="14" t="s">
        <v>1336</v>
      </c>
      <c r="AR1051" s="15" t="s">
        <v>1335</v>
      </c>
      <c r="AS1051" s="14" t="s">
        <v>3002</v>
      </c>
    </row>
    <row r="1052" spans="1:45" s="14" customFormat="1" x14ac:dyDescent="0.2">
      <c r="A1052" s="14" t="s">
        <v>1326</v>
      </c>
      <c r="B1052" s="15" t="s">
        <v>1146</v>
      </c>
      <c r="C1052" s="15" t="s">
        <v>1149</v>
      </c>
      <c r="D1052" s="14" t="s">
        <v>469</v>
      </c>
      <c r="E1052" s="14" t="s">
        <v>1331</v>
      </c>
      <c r="G1052" s="15" t="s">
        <v>1165</v>
      </c>
      <c r="H1052" s="14" t="s">
        <v>1165</v>
      </c>
      <c r="I1052" s="18" t="s">
        <v>1328</v>
      </c>
      <c r="J1052" s="18" t="s">
        <v>1337</v>
      </c>
      <c r="K1052" s="18" t="s">
        <v>1338</v>
      </c>
      <c r="L1052" s="14">
        <v>2000</v>
      </c>
      <c r="M1052" s="14" t="s">
        <v>1327</v>
      </c>
      <c r="O1052" s="14">
        <v>2005</v>
      </c>
      <c r="P1052" s="14">
        <v>2005</v>
      </c>
      <c r="Q1052" s="14" t="s">
        <v>1329</v>
      </c>
      <c r="R1052" s="14">
        <v>10</v>
      </c>
      <c r="T1052" s="14" t="s">
        <v>1330</v>
      </c>
      <c r="U1052" s="14" t="s">
        <v>1341</v>
      </c>
      <c r="V1052" s="12"/>
      <c r="X1052" s="12" t="s">
        <v>1261</v>
      </c>
      <c r="Y1052" s="14" t="s">
        <v>2995</v>
      </c>
      <c r="Z1052" s="14">
        <v>12</v>
      </c>
      <c r="AD1052" s="14" t="s">
        <v>1165</v>
      </c>
      <c r="AF1052" s="14" t="s">
        <v>1165</v>
      </c>
      <c r="AI1052" s="14" t="s">
        <v>1165</v>
      </c>
      <c r="AJ1052" s="15" t="s">
        <v>1148</v>
      </c>
      <c r="AK1052" s="15">
        <v>16.972000000000001</v>
      </c>
      <c r="AP1052" s="15">
        <v>28</v>
      </c>
      <c r="AQ1052" s="14" t="s">
        <v>1336</v>
      </c>
      <c r="AR1052" s="15" t="s">
        <v>1335</v>
      </c>
      <c r="AS1052" s="14" t="s">
        <v>3002</v>
      </c>
    </row>
    <row r="1053" spans="1:45" s="14" customFormat="1" x14ac:dyDescent="0.2">
      <c r="A1053" s="14" t="s">
        <v>1326</v>
      </c>
      <c r="B1053" s="15" t="s">
        <v>1146</v>
      </c>
      <c r="C1053" s="15" t="s">
        <v>1149</v>
      </c>
      <c r="D1053" s="14" t="s">
        <v>469</v>
      </c>
      <c r="E1053" s="14" t="s">
        <v>1331</v>
      </c>
      <c r="G1053" s="15" t="s">
        <v>1165</v>
      </c>
      <c r="H1053" s="14" t="s">
        <v>1165</v>
      </c>
      <c r="I1053" s="18" t="s">
        <v>1328</v>
      </c>
      <c r="J1053" s="18" t="s">
        <v>1337</v>
      </c>
      <c r="K1053" s="18" t="s">
        <v>1338</v>
      </c>
      <c r="L1053" s="14">
        <v>2000</v>
      </c>
      <c r="M1053" s="14" t="s">
        <v>1327</v>
      </c>
      <c r="O1053" s="14">
        <v>2005</v>
      </c>
      <c r="P1053" s="14">
        <v>2005</v>
      </c>
      <c r="Q1053" s="14" t="s">
        <v>1329</v>
      </c>
      <c r="R1053" s="14">
        <v>10</v>
      </c>
      <c r="T1053" s="14" t="s">
        <v>1330</v>
      </c>
      <c r="U1053" s="14" t="s">
        <v>1341</v>
      </c>
      <c r="V1053" s="12"/>
      <c r="X1053" s="12" t="s">
        <v>1334</v>
      </c>
      <c r="Y1053" s="14" t="s">
        <v>2995</v>
      </c>
      <c r="Z1053" s="14">
        <v>12</v>
      </c>
      <c r="AD1053" s="14" t="s">
        <v>1165</v>
      </c>
      <c r="AF1053" s="14" t="s">
        <v>1165</v>
      </c>
      <c r="AI1053" s="14" t="s">
        <v>1165</v>
      </c>
      <c r="AJ1053" s="15" t="s">
        <v>1148</v>
      </c>
      <c r="AK1053" s="15">
        <v>16.972000000000001</v>
      </c>
      <c r="AP1053" s="15">
        <v>28</v>
      </c>
      <c r="AQ1053" s="14" t="s">
        <v>1336</v>
      </c>
      <c r="AR1053" s="15" t="s">
        <v>1335</v>
      </c>
      <c r="AS1053" s="14" t="s">
        <v>3002</v>
      </c>
    </row>
    <row r="1054" spans="1:45" s="14" customFormat="1" x14ac:dyDescent="0.2">
      <c r="A1054" s="14" t="s">
        <v>1326</v>
      </c>
      <c r="B1054" s="15" t="s">
        <v>1146</v>
      </c>
      <c r="C1054" s="15" t="s">
        <v>1149</v>
      </c>
      <c r="D1054" s="14" t="s">
        <v>469</v>
      </c>
      <c r="E1054" s="14" t="s">
        <v>1331</v>
      </c>
      <c r="G1054" s="15" t="s">
        <v>1165</v>
      </c>
      <c r="H1054" s="14" t="s">
        <v>1165</v>
      </c>
      <c r="I1054" s="18" t="s">
        <v>1328</v>
      </c>
      <c r="J1054" s="18" t="s">
        <v>1337</v>
      </c>
      <c r="K1054" s="18" t="s">
        <v>1338</v>
      </c>
      <c r="L1054" s="14">
        <v>2000</v>
      </c>
      <c r="M1054" s="14" t="s">
        <v>1327</v>
      </c>
      <c r="O1054" s="14">
        <v>2005</v>
      </c>
      <c r="P1054" s="14">
        <v>2005</v>
      </c>
      <c r="Q1054" s="14" t="s">
        <v>1329</v>
      </c>
      <c r="R1054" s="14">
        <v>10</v>
      </c>
      <c r="T1054" s="14" t="s">
        <v>1330</v>
      </c>
      <c r="U1054" s="14" t="s">
        <v>1341</v>
      </c>
      <c r="V1054" s="12"/>
      <c r="X1054" s="12" t="s">
        <v>1333</v>
      </c>
      <c r="Y1054" s="14" t="s">
        <v>2995</v>
      </c>
      <c r="Z1054" s="14">
        <v>0</v>
      </c>
      <c r="AD1054" s="14" t="s">
        <v>1165</v>
      </c>
      <c r="AF1054" s="14" t="s">
        <v>1165</v>
      </c>
      <c r="AI1054" s="14" t="s">
        <v>1165</v>
      </c>
      <c r="AJ1054" s="15" t="s">
        <v>1148</v>
      </c>
      <c r="AK1054" s="15">
        <v>0</v>
      </c>
      <c r="AP1054" s="15">
        <v>28</v>
      </c>
      <c r="AQ1054" s="14" t="s">
        <v>1336</v>
      </c>
      <c r="AR1054" s="15" t="s">
        <v>1335</v>
      </c>
      <c r="AS1054" s="14" t="s">
        <v>3002</v>
      </c>
    </row>
    <row r="1055" spans="1:45" s="14" customFormat="1" x14ac:dyDescent="0.2">
      <c r="A1055" s="14" t="s">
        <v>1326</v>
      </c>
      <c r="B1055" s="15" t="s">
        <v>1146</v>
      </c>
      <c r="C1055" s="15" t="s">
        <v>1149</v>
      </c>
      <c r="D1055" s="14" t="s">
        <v>469</v>
      </c>
      <c r="E1055" s="14" t="s">
        <v>1331</v>
      </c>
      <c r="G1055" s="15" t="s">
        <v>1165</v>
      </c>
      <c r="H1055" s="14" t="s">
        <v>1165</v>
      </c>
      <c r="I1055" s="18" t="s">
        <v>1328</v>
      </c>
      <c r="J1055" s="18" t="s">
        <v>1337</v>
      </c>
      <c r="K1055" s="18" t="s">
        <v>1338</v>
      </c>
      <c r="L1055" s="14">
        <v>2000</v>
      </c>
      <c r="M1055" s="14" t="s">
        <v>1327</v>
      </c>
      <c r="O1055" s="14">
        <v>2005</v>
      </c>
      <c r="P1055" s="14">
        <v>2005</v>
      </c>
      <c r="Q1055" s="14" t="s">
        <v>1329</v>
      </c>
      <c r="R1055" s="14">
        <v>10</v>
      </c>
      <c r="T1055" s="14" t="s">
        <v>1330</v>
      </c>
      <c r="U1055" s="14" t="s">
        <v>1341</v>
      </c>
      <c r="V1055" s="12"/>
      <c r="X1055" s="12" t="s">
        <v>1264</v>
      </c>
      <c r="Y1055" s="14" t="s">
        <v>2995</v>
      </c>
      <c r="Z1055" s="14">
        <v>0</v>
      </c>
      <c r="AD1055" s="14" t="s">
        <v>1165</v>
      </c>
      <c r="AF1055" s="14" t="s">
        <v>1165</v>
      </c>
      <c r="AI1055" s="14" t="s">
        <v>1165</v>
      </c>
      <c r="AJ1055" s="15" t="s">
        <v>1148</v>
      </c>
      <c r="AK1055" s="15">
        <v>0</v>
      </c>
      <c r="AP1055" s="15">
        <v>28</v>
      </c>
      <c r="AQ1055" s="14" t="s">
        <v>1336</v>
      </c>
      <c r="AR1055" s="15" t="s">
        <v>1335</v>
      </c>
      <c r="AS1055" s="14" t="s">
        <v>3002</v>
      </c>
    </row>
    <row r="1056" spans="1:45" s="14" customFormat="1" x14ac:dyDescent="0.2">
      <c r="A1056" s="14" t="s">
        <v>1326</v>
      </c>
      <c r="B1056" s="15" t="s">
        <v>1146</v>
      </c>
      <c r="C1056" s="15" t="s">
        <v>1149</v>
      </c>
      <c r="D1056" s="14" t="s">
        <v>469</v>
      </c>
      <c r="E1056" s="14" t="s">
        <v>1331</v>
      </c>
      <c r="G1056" s="15" t="s">
        <v>1165</v>
      </c>
      <c r="H1056" s="14" t="s">
        <v>1165</v>
      </c>
      <c r="I1056" s="18" t="s">
        <v>1328</v>
      </c>
      <c r="J1056" s="18" t="s">
        <v>1337</v>
      </c>
      <c r="K1056" s="18" t="s">
        <v>1338</v>
      </c>
      <c r="L1056" s="14">
        <v>2000</v>
      </c>
      <c r="M1056" s="14" t="s">
        <v>1327</v>
      </c>
      <c r="O1056" s="14">
        <v>2005</v>
      </c>
      <c r="P1056" s="14">
        <v>2005</v>
      </c>
      <c r="Q1056" s="14" t="s">
        <v>1329</v>
      </c>
      <c r="R1056" s="14">
        <v>10</v>
      </c>
      <c r="T1056" s="14" t="s">
        <v>1330</v>
      </c>
      <c r="U1056" s="14" t="s">
        <v>1341</v>
      </c>
      <c r="V1056" s="12"/>
      <c r="X1056" s="12" t="s">
        <v>1261</v>
      </c>
      <c r="Y1056" s="14" t="s">
        <v>2995</v>
      </c>
      <c r="Z1056" s="14">
        <v>0</v>
      </c>
      <c r="AD1056" s="14" t="s">
        <v>1165</v>
      </c>
      <c r="AF1056" s="14" t="s">
        <v>1165</v>
      </c>
      <c r="AI1056" s="14" t="s">
        <v>1165</v>
      </c>
      <c r="AJ1056" s="15" t="s">
        <v>1148</v>
      </c>
      <c r="AK1056" s="15">
        <v>0</v>
      </c>
      <c r="AP1056" s="15">
        <v>28</v>
      </c>
      <c r="AQ1056" s="14" t="s">
        <v>1336</v>
      </c>
      <c r="AR1056" s="15" t="s">
        <v>1335</v>
      </c>
      <c r="AS1056" s="14" t="s">
        <v>3002</v>
      </c>
    </row>
    <row r="1057" spans="1:45" s="14" customFormat="1" x14ac:dyDescent="0.2">
      <c r="A1057" s="14" t="s">
        <v>1326</v>
      </c>
      <c r="B1057" s="15" t="s">
        <v>1146</v>
      </c>
      <c r="C1057" s="15" t="s">
        <v>1149</v>
      </c>
      <c r="D1057" s="14" t="s">
        <v>469</v>
      </c>
      <c r="E1057" s="14" t="s">
        <v>1331</v>
      </c>
      <c r="G1057" s="15" t="s">
        <v>1165</v>
      </c>
      <c r="H1057" s="14" t="s">
        <v>1165</v>
      </c>
      <c r="I1057" s="18" t="s">
        <v>1328</v>
      </c>
      <c r="J1057" s="18" t="s">
        <v>1337</v>
      </c>
      <c r="K1057" s="18" t="s">
        <v>1338</v>
      </c>
      <c r="L1057" s="14">
        <v>2000</v>
      </c>
      <c r="M1057" s="14" t="s">
        <v>1327</v>
      </c>
      <c r="O1057" s="14">
        <v>2005</v>
      </c>
      <c r="P1057" s="14">
        <v>2005</v>
      </c>
      <c r="Q1057" s="14" t="s">
        <v>1329</v>
      </c>
      <c r="R1057" s="14">
        <v>10</v>
      </c>
      <c r="T1057" s="14" t="s">
        <v>1330</v>
      </c>
      <c r="U1057" s="14" t="s">
        <v>1341</v>
      </c>
      <c r="V1057" s="12"/>
      <c r="X1057" s="12" t="s">
        <v>1334</v>
      </c>
      <c r="Y1057" s="14" t="s">
        <v>2995</v>
      </c>
      <c r="Z1057" s="14">
        <v>0</v>
      </c>
      <c r="AD1057" s="14" t="s">
        <v>1165</v>
      </c>
      <c r="AF1057" s="14" t="s">
        <v>1165</v>
      </c>
      <c r="AI1057" s="14" t="s">
        <v>1165</v>
      </c>
      <c r="AJ1057" s="15" t="s">
        <v>1148</v>
      </c>
      <c r="AK1057" s="15">
        <v>0</v>
      </c>
      <c r="AP1057" s="15">
        <v>28</v>
      </c>
      <c r="AQ1057" s="14" t="s">
        <v>1336</v>
      </c>
      <c r="AR1057" s="15" t="s">
        <v>1335</v>
      </c>
      <c r="AS1057" s="14" t="s">
        <v>3002</v>
      </c>
    </row>
    <row r="1058" spans="1:45" s="14" customFormat="1" x14ac:dyDescent="0.2">
      <c r="A1058" s="14" t="s">
        <v>1326</v>
      </c>
      <c r="B1058" s="15" t="s">
        <v>1146</v>
      </c>
      <c r="C1058" s="15" t="s">
        <v>1149</v>
      </c>
      <c r="D1058" s="14" t="s">
        <v>469</v>
      </c>
      <c r="E1058" s="14" t="s">
        <v>1331</v>
      </c>
      <c r="G1058" s="15" t="s">
        <v>1165</v>
      </c>
      <c r="H1058" s="14" t="s">
        <v>1165</v>
      </c>
      <c r="I1058" s="18" t="s">
        <v>1328</v>
      </c>
      <c r="J1058" s="18" t="s">
        <v>1337</v>
      </c>
      <c r="K1058" s="18" t="s">
        <v>1338</v>
      </c>
      <c r="L1058" s="14">
        <v>2000</v>
      </c>
      <c r="M1058" s="14" t="s">
        <v>1327</v>
      </c>
      <c r="O1058" s="14">
        <v>2005</v>
      </c>
      <c r="P1058" s="14">
        <v>2005</v>
      </c>
      <c r="Q1058" s="14" t="s">
        <v>1329</v>
      </c>
      <c r="R1058" s="14">
        <v>10</v>
      </c>
      <c r="T1058" s="14" t="s">
        <v>1330</v>
      </c>
      <c r="U1058" s="14" t="s">
        <v>1341</v>
      </c>
      <c r="V1058" s="12"/>
      <c r="X1058" s="12" t="s">
        <v>1333</v>
      </c>
      <c r="Y1058" s="14" t="s">
        <v>2996</v>
      </c>
      <c r="Z1058" s="14">
        <v>12</v>
      </c>
      <c r="AD1058" s="14" t="s">
        <v>1165</v>
      </c>
      <c r="AF1058" s="14" t="s">
        <v>1165</v>
      </c>
      <c r="AI1058" s="14" t="s">
        <v>1165</v>
      </c>
      <c r="AJ1058" s="15" t="s">
        <v>1148</v>
      </c>
      <c r="AK1058" s="15">
        <v>0.71099999999999997</v>
      </c>
      <c r="AP1058" s="15">
        <v>28</v>
      </c>
      <c r="AQ1058" s="14" t="s">
        <v>1336</v>
      </c>
      <c r="AR1058" s="15" t="s">
        <v>1335</v>
      </c>
      <c r="AS1058" s="14" t="s">
        <v>3002</v>
      </c>
    </row>
    <row r="1059" spans="1:45" s="14" customFormat="1" x14ac:dyDescent="0.2">
      <c r="A1059" s="14" t="s">
        <v>1326</v>
      </c>
      <c r="B1059" s="15" t="s">
        <v>1146</v>
      </c>
      <c r="C1059" s="15" t="s">
        <v>1149</v>
      </c>
      <c r="D1059" s="14" t="s">
        <v>469</v>
      </c>
      <c r="E1059" s="14" t="s">
        <v>1331</v>
      </c>
      <c r="G1059" s="15" t="s">
        <v>1165</v>
      </c>
      <c r="H1059" s="14" t="s">
        <v>1165</v>
      </c>
      <c r="I1059" s="18" t="s">
        <v>1328</v>
      </c>
      <c r="J1059" s="18" t="s">
        <v>1337</v>
      </c>
      <c r="K1059" s="18" t="s">
        <v>1338</v>
      </c>
      <c r="L1059" s="14">
        <v>2000</v>
      </c>
      <c r="M1059" s="14" t="s">
        <v>1327</v>
      </c>
      <c r="O1059" s="14">
        <v>2005</v>
      </c>
      <c r="P1059" s="14">
        <v>2005</v>
      </c>
      <c r="Q1059" s="14" t="s">
        <v>1329</v>
      </c>
      <c r="R1059" s="14">
        <v>10</v>
      </c>
      <c r="T1059" s="14" t="s">
        <v>1330</v>
      </c>
      <c r="U1059" s="14" t="s">
        <v>1341</v>
      </c>
      <c r="V1059" s="12"/>
      <c r="X1059" s="12" t="s">
        <v>1264</v>
      </c>
      <c r="Y1059" s="14" t="s">
        <v>2996</v>
      </c>
      <c r="Z1059" s="14">
        <v>12</v>
      </c>
      <c r="AD1059" s="14" t="s">
        <v>1165</v>
      </c>
      <c r="AF1059" s="14" t="s">
        <v>1165</v>
      </c>
      <c r="AI1059" s="14" t="s">
        <v>1165</v>
      </c>
      <c r="AJ1059" s="15" t="s">
        <v>1148</v>
      </c>
      <c r="AK1059" s="15">
        <v>10.467000000000001</v>
      </c>
      <c r="AP1059" s="15">
        <v>28</v>
      </c>
      <c r="AQ1059" s="14" t="s">
        <v>1336</v>
      </c>
      <c r="AR1059" s="15" t="s">
        <v>1335</v>
      </c>
      <c r="AS1059" s="14" t="s">
        <v>3002</v>
      </c>
    </row>
    <row r="1060" spans="1:45" s="14" customFormat="1" x14ac:dyDescent="0.2">
      <c r="A1060" s="14" t="s">
        <v>1326</v>
      </c>
      <c r="B1060" s="15" t="s">
        <v>1146</v>
      </c>
      <c r="C1060" s="15" t="s">
        <v>1149</v>
      </c>
      <c r="D1060" s="14" t="s">
        <v>469</v>
      </c>
      <c r="E1060" s="14" t="s">
        <v>1331</v>
      </c>
      <c r="G1060" s="15" t="s">
        <v>1165</v>
      </c>
      <c r="H1060" s="14" t="s">
        <v>1165</v>
      </c>
      <c r="I1060" s="18" t="s">
        <v>1328</v>
      </c>
      <c r="J1060" s="18" t="s">
        <v>1337</v>
      </c>
      <c r="K1060" s="18" t="s">
        <v>1338</v>
      </c>
      <c r="L1060" s="14">
        <v>2000</v>
      </c>
      <c r="M1060" s="14" t="s">
        <v>1327</v>
      </c>
      <c r="O1060" s="14">
        <v>2005</v>
      </c>
      <c r="P1060" s="14">
        <v>2005</v>
      </c>
      <c r="Q1060" s="14" t="s">
        <v>1329</v>
      </c>
      <c r="R1060" s="14">
        <v>10</v>
      </c>
      <c r="T1060" s="14" t="s">
        <v>1330</v>
      </c>
      <c r="U1060" s="14" t="s">
        <v>1341</v>
      </c>
      <c r="V1060" s="12"/>
      <c r="X1060" s="12" t="s">
        <v>1261</v>
      </c>
      <c r="Y1060" s="14" t="s">
        <v>2996</v>
      </c>
      <c r="Z1060" s="14">
        <v>12</v>
      </c>
      <c r="AD1060" s="14" t="s">
        <v>1165</v>
      </c>
      <c r="AF1060" s="14" t="s">
        <v>1165</v>
      </c>
      <c r="AI1060" s="14" t="s">
        <v>1165</v>
      </c>
      <c r="AJ1060" s="15" t="s">
        <v>1148</v>
      </c>
      <c r="AK1060" s="15">
        <v>15.346</v>
      </c>
      <c r="AP1060" s="15">
        <v>28</v>
      </c>
      <c r="AQ1060" s="14" t="s">
        <v>1336</v>
      </c>
      <c r="AR1060" s="15" t="s">
        <v>1335</v>
      </c>
      <c r="AS1060" s="14" t="s">
        <v>3002</v>
      </c>
    </row>
    <row r="1061" spans="1:45" s="14" customFormat="1" x14ac:dyDescent="0.2">
      <c r="A1061" s="14" t="s">
        <v>1326</v>
      </c>
      <c r="B1061" s="15" t="s">
        <v>1146</v>
      </c>
      <c r="C1061" s="15" t="s">
        <v>1149</v>
      </c>
      <c r="D1061" s="14" t="s">
        <v>469</v>
      </c>
      <c r="E1061" s="14" t="s">
        <v>1331</v>
      </c>
      <c r="G1061" s="15" t="s">
        <v>1165</v>
      </c>
      <c r="H1061" s="14" t="s">
        <v>1165</v>
      </c>
      <c r="I1061" s="18" t="s">
        <v>1328</v>
      </c>
      <c r="J1061" s="18" t="s">
        <v>1337</v>
      </c>
      <c r="K1061" s="18" t="s">
        <v>1338</v>
      </c>
      <c r="L1061" s="14">
        <v>2000</v>
      </c>
      <c r="M1061" s="14" t="s">
        <v>1327</v>
      </c>
      <c r="O1061" s="14">
        <v>2005</v>
      </c>
      <c r="P1061" s="14">
        <v>2005</v>
      </c>
      <c r="Q1061" s="14" t="s">
        <v>1329</v>
      </c>
      <c r="R1061" s="14">
        <v>10</v>
      </c>
      <c r="T1061" s="14" t="s">
        <v>1330</v>
      </c>
      <c r="U1061" s="14" t="s">
        <v>1341</v>
      </c>
      <c r="V1061" s="12"/>
      <c r="X1061" s="12" t="s">
        <v>1334</v>
      </c>
      <c r="Y1061" s="14" t="s">
        <v>2996</v>
      </c>
      <c r="Z1061" s="14">
        <v>12</v>
      </c>
      <c r="AD1061" s="14" t="s">
        <v>1165</v>
      </c>
      <c r="AF1061" s="14" t="s">
        <v>1165</v>
      </c>
      <c r="AI1061" s="14" t="s">
        <v>1165</v>
      </c>
      <c r="AJ1061" s="15" t="s">
        <v>1148</v>
      </c>
      <c r="AK1061" s="15">
        <v>17.073</v>
      </c>
      <c r="AP1061" s="15">
        <v>28</v>
      </c>
      <c r="AQ1061" s="14" t="s">
        <v>1336</v>
      </c>
      <c r="AR1061" s="15" t="s">
        <v>1335</v>
      </c>
      <c r="AS1061" s="14" t="s">
        <v>3002</v>
      </c>
    </row>
    <row r="1062" spans="1:45" s="14" customFormat="1" x14ac:dyDescent="0.2">
      <c r="A1062" s="14" t="s">
        <v>1326</v>
      </c>
      <c r="B1062" s="15" t="s">
        <v>1146</v>
      </c>
      <c r="C1062" s="15" t="s">
        <v>1149</v>
      </c>
      <c r="D1062" s="14" t="s">
        <v>469</v>
      </c>
      <c r="E1062" s="14" t="s">
        <v>1331</v>
      </c>
      <c r="G1062" s="15" t="s">
        <v>1165</v>
      </c>
      <c r="H1062" s="14" t="s">
        <v>1165</v>
      </c>
      <c r="I1062" s="18" t="s">
        <v>1328</v>
      </c>
      <c r="J1062" s="18" t="s">
        <v>1337</v>
      </c>
      <c r="K1062" s="18" t="s">
        <v>1338</v>
      </c>
      <c r="L1062" s="14">
        <v>2000</v>
      </c>
      <c r="M1062" s="14" t="s">
        <v>1327</v>
      </c>
      <c r="O1062" s="14">
        <v>2005</v>
      </c>
      <c r="P1062" s="14">
        <v>2005</v>
      </c>
      <c r="Q1062" s="14" t="s">
        <v>1329</v>
      </c>
      <c r="R1062" s="14">
        <v>10</v>
      </c>
      <c r="T1062" s="14" t="s">
        <v>1330</v>
      </c>
      <c r="U1062" s="14" t="s">
        <v>1341</v>
      </c>
      <c r="V1062" s="12"/>
      <c r="X1062" s="12" t="s">
        <v>1333</v>
      </c>
      <c r="Y1062" s="14" t="s">
        <v>2996</v>
      </c>
      <c r="Z1062" s="14">
        <v>0</v>
      </c>
      <c r="AD1062" s="14" t="s">
        <v>1165</v>
      </c>
      <c r="AF1062" s="14" t="s">
        <v>1165</v>
      </c>
      <c r="AI1062" s="14" t="s">
        <v>1165</v>
      </c>
      <c r="AJ1062" s="15" t="s">
        <v>1148</v>
      </c>
      <c r="AK1062" s="15">
        <v>0</v>
      </c>
      <c r="AP1062" s="15">
        <v>28</v>
      </c>
      <c r="AQ1062" s="14" t="s">
        <v>1336</v>
      </c>
      <c r="AR1062" s="15" t="s">
        <v>1335</v>
      </c>
      <c r="AS1062" s="14" t="s">
        <v>3002</v>
      </c>
    </row>
    <row r="1063" spans="1:45" s="14" customFormat="1" x14ac:dyDescent="0.2">
      <c r="A1063" s="14" t="s">
        <v>1326</v>
      </c>
      <c r="B1063" s="15" t="s">
        <v>1146</v>
      </c>
      <c r="C1063" s="15" t="s">
        <v>1149</v>
      </c>
      <c r="D1063" s="14" t="s">
        <v>469</v>
      </c>
      <c r="E1063" s="14" t="s">
        <v>1331</v>
      </c>
      <c r="G1063" s="15" t="s">
        <v>1165</v>
      </c>
      <c r="H1063" s="14" t="s">
        <v>1165</v>
      </c>
      <c r="I1063" s="18" t="s">
        <v>1328</v>
      </c>
      <c r="J1063" s="18" t="s">
        <v>1337</v>
      </c>
      <c r="K1063" s="18" t="s">
        <v>1338</v>
      </c>
      <c r="L1063" s="14">
        <v>2000</v>
      </c>
      <c r="M1063" s="14" t="s">
        <v>1327</v>
      </c>
      <c r="O1063" s="14">
        <v>2005</v>
      </c>
      <c r="P1063" s="14">
        <v>2005</v>
      </c>
      <c r="Q1063" s="14" t="s">
        <v>1329</v>
      </c>
      <c r="R1063" s="14">
        <v>10</v>
      </c>
      <c r="T1063" s="14" t="s">
        <v>1330</v>
      </c>
      <c r="U1063" s="14" t="s">
        <v>1341</v>
      </c>
      <c r="V1063" s="12"/>
      <c r="X1063" s="12" t="s">
        <v>1264</v>
      </c>
      <c r="Y1063" s="14" t="s">
        <v>2996</v>
      </c>
      <c r="Z1063" s="14">
        <v>0</v>
      </c>
      <c r="AD1063" s="14" t="s">
        <v>1165</v>
      </c>
      <c r="AF1063" s="14" t="s">
        <v>1165</v>
      </c>
      <c r="AI1063" s="14" t="s">
        <v>1165</v>
      </c>
      <c r="AJ1063" s="15" t="s">
        <v>1148</v>
      </c>
      <c r="AK1063" s="15">
        <v>0</v>
      </c>
      <c r="AP1063" s="15">
        <v>28</v>
      </c>
      <c r="AQ1063" s="14" t="s">
        <v>1336</v>
      </c>
      <c r="AR1063" s="15" t="s">
        <v>1335</v>
      </c>
      <c r="AS1063" s="14" t="s">
        <v>3002</v>
      </c>
    </row>
    <row r="1064" spans="1:45" s="14" customFormat="1" x14ac:dyDescent="0.2">
      <c r="A1064" s="14" t="s">
        <v>1326</v>
      </c>
      <c r="B1064" s="15" t="s">
        <v>1146</v>
      </c>
      <c r="C1064" s="15" t="s">
        <v>1149</v>
      </c>
      <c r="D1064" s="14" t="s">
        <v>469</v>
      </c>
      <c r="E1064" s="14" t="s">
        <v>1331</v>
      </c>
      <c r="G1064" s="15" t="s">
        <v>1165</v>
      </c>
      <c r="H1064" s="14" t="s">
        <v>1165</v>
      </c>
      <c r="I1064" s="18" t="s">
        <v>1328</v>
      </c>
      <c r="J1064" s="18" t="s">
        <v>1337</v>
      </c>
      <c r="K1064" s="18" t="s">
        <v>1338</v>
      </c>
      <c r="L1064" s="14">
        <v>2000</v>
      </c>
      <c r="M1064" s="14" t="s">
        <v>1327</v>
      </c>
      <c r="O1064" s="14">
        <v>2005</v>
      </c>
      <c r="P1064" s="14">
        <v>2005</v>
      </c>
      <c r="Q1064" s="14" t="s">
        <v>1329</v>
      </c>
      <c r="R1064" s="14">
        <v>10</v>
      </c>
      <c r="T1064" s="14" t="s">
        <v>1330</v>
      </c>
      <c r="U1064" s="14" t="s">
        <v>1341</v>
      </c>
      <c r="V1064" s="12"/>
      <c r="X1064" s="12" t="s">
        <v>1261</v>
      </c>
      <c r="Y1064" s="14" t="s">
        <v>2996</v>
      </c>
      <c r="Z1064" s="14">
        <v>0</v>
      </c>
      <c r="AD1064" s="14" t="s">
        <v>1165</v>
      </c>
      <c r="AF1064" s="14" t="s">
        <v>1165</v>
      </c>
      <c r="AI1064" s="14" t="s">
        <v>1165</v>
      </c>
      <c r="AJ1064" s="15" t="s">
        <v>1148</v>
      </c>
      <c r="AK1064" s="15">
        <v>0</v>
      </c>
      <c r="AP1064" s="15">
        <v>28</v>
      </c>
      <c r="AQ1064" s="14" t="s">
        <v>1336</v>
      </c>
      <c r="AR1064" s="15" t="s">
        <v>1335</v>
      </c>
      <c r="AS1064" s="14" t="s">
        <v>3002</v>
      </c>
    </row>
    <row r="1065" spans="1:45" s="14" customFormat="1" x14ac:dyDescent="0.2">
      <c r="A1065" s="14" t="s">
        <v>1326</v>
      </c>
      <c r="B1065" s="15" t="s">
        <v>1146</v>
      </c>
      <c r="C1065" s="15" t="s">
        <v>1149</v>
      </c>
      <c r="D1065" s="14" t="s">
        <v>469</v>
      </c>
      <c r="E1065" s="14" t="s">
        <v>1331</v>
      </c>
      <c r="G1065" s="15" t="s">
        <v>1165</v>
      </c>
      <c r="H1065" s="14" t="s">
        <v>1165</v>
      </c>
      <c r="I1065" s="18" t="s">
        <v>1328</v>
      </c>
      <c r="J1065" s="18" t="s">
        <v>1337</v>
      </c>
      <c r="K1065" s="18" t="s">
        <v>1338</v>
      </c>
      <c r="L1065" s="14">
        <v>2000</v>
      </c>
      <c r="M1065" s="14" t="s">
        <v>1327</v>
      </c>
      <c r="O1065" s="14">
        <v>2005</v>
      </c>
      <c r="P1065" s="14">
        <v>2005</v>
      </c>
      <c r="Q1065" s="14" t="s">
        <v>1329</v>
      </c>
      <c r="R1065" s="14">
        <v>10</v>
      </c>
      <c r="T1065" s="14" t="s">
        <v>1330</v>
      </c>
      <c r="U1065" s="14" t="s">
        <v>1341</v>
      </c>
      <c r="V1065" s="12"/>
      <c r="X1065" s="12" t="s">
        <v>1334</v>
      </c>
      <c r="Y1065" s="14" t="s">
        <v>2996</v>
      </c>
      <c r="Z1065" s="14">
        <v>0</v>
      </c>
      <c r="AD1065" s="14" t="s">
        <v>1165</v>
      </c>
      <c r="AF1065" s="14" t="s">
        <v>1165</v>
      </c>
      <c r="AI1065" s="14" t="s">
        <v>1165</v>
      </c>
      <c r="AJ1065" s="15" t="s">
        <v>1148</v>
      </c>
      <c r="AK1065" s="15">
        <v>0</v>
      </c>
      <c r="AP1065" s="15">
        <v>28</v>
      </c>
      <c r="AQ1065" s="14" t="s">
        <v>1336</v>
      </c>
      <c r="AR1065" s="15" t="s">
        <v>1335</v>
      </c>
      <c r="AS1065" s="14" t="s">
        <v>3002</v>
      </c>
    </row>
    <row r="1066" spans="1:45" s="14" customFormat="1" x14ac:dyDescent="0.2">
      <c r="A1066" s="14" t="s">
        <v>1326</v>
      </c>
      <c r="B1066" s="15" t="s">
        <v>1146</v>
      </c>
      <c r="C1066" s="15" t="s">
        <v>1149</v>
      </c>
      <c r="D1066" s="14" t="s">
        <v>469</v>
      </c>
      <c r="E1066" s="14" t="s">
        <v>1331</v>
      </c>
      <c r="G1066" s="15" t="s">
        <v>1165</v>
      </c>
      <c r="H1066" s="14" t="s">
        <v>1165</v>
      </c>
      <c r="I1066" s="18" t="s">
        <v>1328</v>
      </c>
      <c r="J1066" s="18" t="s">
        <v>1337</v>
      </c>
      <c r="K1066" s="18" t="s">
        <v>1338</v>
      </c>
      <c r="L1066" s="14">
        <v>2000</v>
      </c>
      <c r="M1066" s="14" t="s">
        <v>1327</v>
      </c>
      <c r="O1066" s="14">
        <v>2005</v>
      </c>
      <c r="P1066" s="14">
        <v>2005</v>
      </c>
      <c r="Q1066" s="14" t="s">
        <v>1329</v>
      </c>
      <c r="R1066" s="14">
        <v>10</v>
      </c>
      <c r="T1066" s="14" t="s">
        <v>1330</v>
      </c>
      <c r="U1066" s="14" t="s">
        <v>1341</v>
      </c>
      <c r="V1066" s="12"/>
      <c r="X1066" s="12" t="s">
        <v>1333</v>
      </c>
      <c r="Y1066" s="14" t="s">
        <v>2997</v>
      </c>
      <c r="Z1066" s="14">
        <v>12</v>
      </c>
      <c r="AD1066" s="14" t="s">
        <v>1165</v>
      </c>
      <c r="AF1066" s="14" t="s">
        <v>1165</v>
      </c>
      <c r="AI1066" s="14" t="s">
        <v>1165</v>
      </c>
      <c r="AJ1066" s="15" t="s">
        <v>1148</v>
      </c>
      <c r="AK1066" s="15">
        <v>4.7759999999999998</v>
      </c>
      <c r="AP1066" s="15">
        <v>28</v>
      </c>
      <c r="AQ1066" s="14" t="s">
        <v>1336</v>
      </c>
      <c r="AR1066" s="15" t="s">
        <v>1335</v>
      </c>
      <c r="AS1066" s="14" t="s">
        <v>3002</v>
      </c>
    </row>
    <row r="1067" spans="1:45" s="14" customFormat="1" x14ac:dyDescent="0.2">
      <c r="A1067" s="14" t="s">
        <v>1326</v>
      </c>
      <c r="B1067" s="15" t="s">
        <v>1146</v>
      </c>
      <c r="C1067" s="15" t="s">
        <v>1149</v>
      </c>
      <c r="D1067" s="14" t="s">
        <v>469</v>
      </c>
      <c r="E1067" s="14" t="s">
        <v>1331</v>
      </c>
      <c r="G1067" s="15" t="s">
        <v>1165</v>
      </c>
      <c r="H1067" s="14" t="s">
        <v>1165</v>
      </c>
      <c r="I1067" s="18" t="s">
        <v>1328</v>
      </c>
      <c r="J1067" s="18" t="s">
        <v>1337</v>
      </c>
      <c r="K1067" s="18" t="s">
        <v>1338</v>
      </c>
      <c r="L1067" s="14">
        <v>2000</v>
      </c>
      <c r="M1067" s="14" t="s">
        <v>1327</v>
      </c>
      <c r="O1067" s="14">
        <v>2005</v>
      </c>
      <c r="P1067" s="14">
        <v>2005</v>
      </c>
      <c r="Q1067" s="14" t="s">
        <v>1329</v>
      </c>
      <c r="R1067" s="14">
        <v>10</v>
      </c>
      <c r="T1067" s="14" t="s">
        <v>1330</v>
      </c>
      <c r="U1067" s="14" t="s">
        <v>1341</v>
      </c>
      <c r="V1067" s="12"/>
      <c r="X1067" s="12" t="s">
        <v>1264</v>
      </c>
      <c r="Y1067" s="14" t="s">
        <v>2997</v>
      </c>
      <c r="Z1067" s="14">
        <v>12</v>
      </c>
      <c r="AD1067" s="14" t="s">
        <v>1165</v>
      </c>
      <c r="AF1067" s="14" t="s">
        <v>1165</v>
      </c>
      <c r="AI1067" s="14" t="s">
        <v>1165</v>
      </c>
      <c r="AJ1067" s="15" t="s">
        <v>1148</v>
      </c>
      <c r="AK1067" s="15">
        <v>15.346</v>
      </c>
      <c r="AP1067" s="15">
        <v>28</v>
      </c>
      <c r="AQ1067" s="14" t="s">
        <v>1336</v>
      </c>
      <c r="AR1067" s="15" t="s">
        <v>1335</v>
      </c>
      <c r="AS1067" s="14" t="s">
        <v>3002</v>
      </c>
    </row>
    <row r="1068" spans="1:45" s="14" customFormat="1" x14ac:dyDescent="0.2">
      <c r="A1068" s="14" t="s">
        <v>1326</v>
      </c>
      <c r="B1068" s="15" t="s">
        <v>1146</v>
      </c>
      <c r="C1068" s="15" t="s">
        <v>1149</v>
      </c>
      <c r="D1068" s="14" t="s">
        <v>469</v>
      </c>
      <c r="E1068" s="14" t="s">
        <v>1331</v>
      </c>
      <c r="G1068" s="15" t="s">
        <v>1165</v>
      </c>
      <c r="H1068" s="14" t="s">
        <v>1165</v>
      </c>
      <c r="I1068" s="18" t="s">
        <v>1328</v>
      </c>
      <c r="J1068" s="18" t="s">
        <v>1337</v>
      </c>
      <c r="K1068" s="18" t="s">
        <v>1338</v>
      </c>
      <c r="L1068" s="14">
        <v>2000</v>
      </c>
      <c r="M1068" s="14" t="s">
        <v>1327</v>
      </c>
      <c r="O1068" s="14">
        <v>2005</v>
      </c>
      <c r="P1068" s="14">
        <v>2005</v>
      </c>
      <c r="Q1068" s="14" t="s">
        <v>1329</v>
      </c>
      <c r="R1068" s="14">
        <v>10</v>
      </c>
      <c r="T1068" s="14" t="s">
        <v>1330</v>
      </c>
      <c r="U1068" s="14" t="s">
        <v>1341</v>
      </c>
      <c r="V1068" s="12"/>
      <c r="X1068" s="12" t="s">
        <v>1261</v>
      </c>
      <c r="Y1068" s="14" t="s">
        <v>2997</v>
      </c>
      <c r="Z1068" s="14">
        <v>12</v>
      </c>
      <c r="AD1068" s="14" t="s">
        <v>1165</v>
      </c>
      <c r="AF1068" s="14" t="s">
        <v>1165</v>
      </c>
      <c r="AI1068" s="14" t="s">
        <v>1165</v>
      </c>
      <c r="AJ1068" s="15" t="s">
        <v>1148</v>
      </c>
      <c r="AK1068" s="15">
        <v>24.289000000000001</v>
      </c>
      <c r="AP1068" s="15">
        <v>28</v>
      </c>
      <c r="AQ1068" s="14" t="s">
        <v>1336</v>
      </c>
      <c r="AR1068" s="15" t="s">
        <v>1335</v>
      </c>
      <c r="AS1068" s="14" t="s">
        <v>3002</v>
      </c>
    </row>
    <row r="1069" spans="1:45" s="14" customFormat="1" x14ac:dyDescent="0.2">
      <c r="A1069" s="14" t="s">
        <v>1326</v>
      </c>
      <c r="B1069" s="15" t="s">
        <v>1146</v>
      </c>
      <c r="C1069" s="15" t="s">
        <v>1149</v>
      </c>
      <c r="D1069" s="14" t="s">
        <v>469</v>
      </c>
      <c r="E1069" s="14" t="s">
        <v>1331</v>
      </c>
      <c r="G1069" s="15" t="s">
        <v>1165</v>
      </c>
      <c r="H1069" s="14" t="s">
        <v>1165</v>
      </c>
      <c r="I1069" s="18" t="s">
        <v>1328</v>
      </c>
      <c r="J1069" s="18" t="s">
        <v>1337</v>
      </c>
      <c r="K1069" s="18" t="s">
        <v>1338</v>
      </c>
      <c r="L1069" s="14">
        <v>2000</v>
      </c>
      <c r="M1069" s="14" t="s">
        <v>1327</v>
      </c>
      <c r="O1069" s="14">
        <v>2005</v>
      </c>
      <c r="P1069" s="14">
        <v>2005</v>
      </c>
      <c r="Q1069" s="14" t="s">
        <v>1329</v>
      </c>
      <c r="R1069" s="14">
        <v>10</v>
      </c>
      <c r="T1069" s="14" t="s">
        <v>1330</v>
      </c>
      <c r="U1069" s="14" t="s">
        <v>1341</v>
      </c>
      <c r="V1069" s="12"/>
      <c r="X1069" s="12" t="s">
        <v>1334</v>
      </c>
      <c r="Y1069" s="14" t="s">
        <v>2997</v>
      </c>
      <c r="Z1069" s="14">
        <v>12</v>
      </c>
      <c r="AD1069" s="14" t="s">
        <v>1165</v>
      </c>
      <c r="AF1069" s="14" t="s">
        <v>1165</v>
      </c>
      <c r="AI1069" s="14" t="s">
        <v>1165</v>
      </c>
      <c r="AJ1069" s="15" t="s">
        <v>1148</v>
      </c>
      <c r="AK1069" s="15">
        <v>38.11</v>
      </c>
      <c r="AP1069" s="15">
        <v>28</v>
      </c>
      <c r="AQ1069" s="14" t="s">
        <v>1336</v>
      </c>
      <c r="AR1069" s="15" t="s">
        <v>1335</v>
      </c>
      <c r="AS1069" s="14" t="s">
        <v>3002</v>
      </c>
    </row>
    <row r="1070" spans="1:45" s="14" customFormat="1" x14ac:dyDescent="0.2">
      <c r="A1070" s="14" t="s">
        <v>1326</v>
      </c>
      <c r="B1070" s="15" t="s">
        <v>1146</v>
      </c>
      <c r="C1070" s="15" t="s">
        <v>1149</v>
      </c>
      <c r="D1070" s="14" t="s">
        <v>469</v>
      </c>
      <c r="E1070" s="14" t="s">
        <v>1331</v>
      </c>
      <c r="G1070" s="15" t="s">
        <v>1165</v>
      </c>
      <c r="H1070" s="14" t="s">
        <v>1165</v>
      </c>
      <c r="I1070" s="18" t="s">
        <v>1328</v>
      </c>
      <c r="J1070" s="18" t="s">
        <v>1337</v>
      </c>
      <c r="K1070" s="18" t="s">
        <v>1338</v>
      </c>
      <c r="L1070" s="14">
        <v>2000</v>
      </c>
      <c r="M1070" s="14" t="s">
        <v>1327</v>
      </c>
      <c r="O1070" s="14">
        <v>2005</v>
      </c>
      <c r="P1070" s="14">
        <v>2005</v>
      </c>
      <c r="Q1070" s="14" t="s">
        <v>1329</v>
      </c>
      <c r="R1070" s="14">
        <v>10</v>
      </c>
      <c r="T1070" s="14" t="s">
        <v>1330</v>
      </c>
      <c r="U1070" s="14" t="s">
        <v>1341</v>
      </c>
      <c r="V1070" s="12"/>
      <c r="X1070" s="12" t="s">
        <v>1333</v>
      </c>
      <c r="Y1070" s="14" t="s">
        <v>2997</v>
      </c>
      <c r="Z1070" s="14">
        <v>0</v>
      </c>
      <c r="AD1070" s="14" t="s">
        <v>1165</v>
      </c>
      <c r="AF1070" s="14" t="s">
        <v>1165</v>
      </c>
      <c r="AI1070" s="14" t="s">
        <v>1165</v>
      </c>
      <c r="AJ1070" s="15" t="s">
        <v>1148</v>
      </c>
      <c r="AK1070" s="15">
        <v>0</v>
      </c>
      <c r="AP1070" s="15">
        <v>28</v>
      </c>
      <c r="AQ1070" s="14" t="s">
        <v>1336</v>
      </c>
      <c r="AR1070" s="15" t="s">
        <v>1335</v>
      </c>
      <c r="AS1070" s="14" t="s">
        <v>3002</v>
      </c>
    </row>
    <row r="1071" spans="1:45" s="14" customFormat="1" x14ac:dyDescent="0.2">
      <c r="A1071" s="14" t="s">
        <v>1326</v>
      </c>
      <c r="B1071" s="15" t="s">
        <v>1146</v>
      </c>
      <c r="C1071" s="15" t="s">
        <v>1149</v>
      </c>
      <c r="D1071" s="14" t="s">
        <v>469</v>
      </c>
      <c r="E1071" s="14" t="s">
        <v>1331</v>
      </c>
      <c r="G1071" s="15" t="s">
        <v>1165</v>
      </c>
      <c r="H1071" s="14" t="s">
        <v>1165</v>
      </c>
      <c r="I1071" s="18" t="s">
        <v>1328</v>
      </c>
      <c r="J1071" s="18" t="s">
        <v>1337</v>
      </c>
      <c r="K1071" s="18" t="s">
        <v>1338</v>
      </c>
      <c r="L1071" s="14">
        <v>2000</v>
      </c>
      <c r="M1071" s="14" t="s">
        <v>1327</v>
      </c>
      <c r="O1071" s="14">
        <v>2005</v>
      </c>
      <c r="P1071" s="14">
        <v>2005</v>
      </c>
      <c r="Q1071" s="14" t="s">
        <v>1329</v>
      </c>
      <c r="R1071" s="14">
        <v>10</v>
      </c>
      <c r="T1071" s="14" t="s">
        <v>1330</v>
      </c>
      <c r="U1071" s="14" t="s">
        <v>1341</v>
      </c>
      <c r="V1071" s="12"/>
      <c r="X1071" s="12" t="s">
        <v>1264</v>
      </c>
      <c r="Y1071" s="14" t="s">
        <v>2997</v>
      </c>
      <c r="Z1071" s="14">
        <v>0</v>
      </c>
      <c r="AD1071" s="14" t="s">
        <v>1165</v>
      </c>
      <c r="AF1071" s="14" t="s">
        <v>1165</v>
      </c>
      <c r="AI1071" s="14" t="s">
        <v>1165</v>
      </c>
      <c r="AJ1071" s="15" t="s">
        <v>1148</v>
      </c>
      <c r="AK1071" s="15">
        <v>0</v>
      </c>
      <c r="AP1071" s="15">
        <v>28</v>
      </c>
      <c r="AQ1071" s="14" t="s">
        <v>1336</v>
      </c>
      <c r="AR1071" s="15" t="s">
        <v>1335</v>
      </c>
      <c r="AS1071" s="14" t="s">
        <v>3002</v>
      </c>
    </row>
    <row r="1072" spans="1:45" s="14" customFormat="1" x14ac:dyDescent="0.2">
      <c r="A1072" s="14" t="s">
        <v>1326</v>
      </c>
      <c r="B1072" s="15" t="s">
        <v>1146</v>
      </c>
      <c r="C1072" s="15" t="s">
        <v>1149</v>
      </c>
      <c r="D1072" s="14" t="s">
        <v>469</v>
      </c>
      <c r="E1072" s="14" t="s">
        <v>1331</v>
      </c>
      <c r="G1072" s="15" t="s">
        <v>1165</v>
      </c>
      <c r="H1072" s="14" t="s">
        <v>1165</v>
      </c>
      <c r="I1072" s="18" t="s">
        <v>1328</v>
      </c>
      <c r="J1072" s="18" t="s">
        <v>1337</v>
      </c>
      <c r="K1072" s="18" t="s">
        <v>1338</v>
      </c>
      <c r="L1072" s="14">
        <v>2000</v>
      </c>
      <c r="M1072" s="14" t="s">
        <v>1327</v>
      </c>
      <c r="O1072" s="14">
        <v>2005</v>
      </c>
      <c r="P1072" s="14">
        <v>2005</v>
      </c>
      <c r="Q1072" s="14" t="s">
        <v>1329</v>
      </c>
      <c r="R1072" s="14">
        <v>10</v>
      </c>
      <c r="T1072" s="14" t="s">
        <v>1330</v>
      </c>
      <c r="U1072" s="14" t="s">
        <v>1341</v>
      </c>
      <c r="V1072" s="12"/>
      <c r="X1072" s="12" t="s">
        <v>1261</v>
      </c>
      <c r="Y1072" s="14" t="s">
        <v>2997</v>
      </c>
      <c r="Z1072" s="14">
        <v>0</v>
      </c>
      <c r="AD1072" s="14" t="s">
        <v>1165</v>
      </c>
      <c r="AF1072" s="14" t="s">
        <v>1165</v>
      </c>
      <c r="AI1072" s="14" t="s">
        <v>1165</v>
      </c>
      <c r="AJ1072" s="15" t="s">
        <v>1148</v>
      </c>
      <c r="AK1072" s="15">
        <v>0</v>
      </c>
      <c r="AP1072" s="15">
        <v>28</v>
      </c>
      <c r="AQ1072" s="14" t="s">
        <v>1336</v>
      </c>
      <c r="AR1072" s="15" t="s">
        <v>1335</v>
      </c>
      <c r="AS1072" s="14" t="s">
        <v>3002</v>
      </c>
    </row>
    <row r="1073" spans="1:45" s="14" customFormat="1" x14ac:dyDescent="0.2">
      <c r="A1073" s="14" t="s">
        <v>1326</v>
      </c>
      <c r="B1073" s="15" t="s">
        <v>1146</v>
      </c>
      <c r="C1073" s="15" t="s">
        <v>1149</v>
      </c>
      <c r="D1073" s="14" t="s">
        <v>469</v>
      </c>
      <c r="E1073" s="14" t="s">
        <v>1331</v>
      </c>
      <c r="G1073" s="15" t="s">
        <v>1165</v>
      </c>
      <c r="H1073" s="14" t="s">
        <v>1165</v>
      </c>
      <c r="I1073" s="18" t="s">
        <v>1328</v>
      </c>
      <c r="J1073" s="18" t="s">
        <v>1337</v>
      </c>
      <c r="K1073" s="18" t="s">
        <v>1338</v>
      </c>
      <c r="L1073" s="14">
        <v>2000</v>
      </c>
      <c r="M1073" s="14" t="s">
        <v>1327</v>
      </c>
      <c r="O1073" s="14">
        <v>2005</v>
      </c>
      <c r="P1073" s="14">
        <v>2005</v>
      </c>
      <c r="Q1073" s="14" t="s">
        <v>1329</v>
      </c>
      <c r="R1073" s="14">
        <v>10</v>
      </c>
      <c r="T1073" s="14" t="s">
        <v>1330</v>
      </c>
      <c r="U1073" s="14" t="s">
        <v>1341</v>
      </c>
      <c r="V1073" s="12"/>
      <c r="X1073" s="12" t="s">
        <v>1334</v>
      </c>
      <c r="Y1073" s="14" t="s">
        <v>2997</v>
      </c>
      <c r="Z1073" s="14">
        <v>0</v>
      </c>
      <c r="AD1073" s="14" t="s">
        <v>1165</v>
      </c>
      <c r="AF1073" s="14" t="s">
        <v>1165</v>
      </c>
      <c r="AI1073" s="14" t="s">
        <v>1165</v>
      </c>
      <c r="AJ1073" s="15" t="s">
        <v>1148</v>
      </c>
      <c r="AK1073" s="15">
        <v>0</v>
      </c>
      <c r="AP1073" s="15">
        <v>28</v>
      </c>
      <c r="AQ1073" s="14" t="s">
        <v>1336</v>
      </c>
      <c r="AR1073" s="15" t="s">
        <v>1335</v>
      </c>
      <c r="AS1073" s="14" t="s">
        <v>3002</v>
      </c>
    </row>
    <row r="1074" spans="1:45" s="14" customFormat="1" x14ac:dyDescent="0.2">
      <c r="A1074" s="14" t="s">
        <v>1326</v>
      </c>
      <c r="B1074" s="15" t="s">
        <v>1146</v>
      </c>
      <c r="C1074" s="15" t="s">
        <v>1149</v>
      </c>
      <c r="D1074" s="14" t="s">
        <v>469</v>
      </c>
      <c r="E1074" s="14" t="s">
        <v>1331</v>
      </c>
      <c r="G1074" s="15" t="s">
        <v>1165</v>
      </c>
      <c r="H1074" s="14" t="s">
        <v>1165</v>
      </c>
      <c r="I1074" s="18" t="s">
        <v>1328</v>
      </c>
      <c r="J1074" s="18" t="s">
        <v>1337</v>
      </c>
      <c r="K1074" s="18" t="s">
        <v>1338</v>
      </c>
      <c r="L1074" s="14">
        <v>2000</v>
      </c>
      <c r="M1074" s="14" t="s">
        <v>1327</v>
      </c>
      <c r="O1074" s="14">
        <v>2005</v>
      </c>
      <c r="P1074" s="14">
        <v>2005</v>
      </c>
      <c r="Q1074" s="14" t="s">
        <v>1329</v>
      </c>
      <c r="R1074" s="14">
        <v>10</v>
      </c>
      <c r="T1074" s="14" t="s">
        <v>1330</v>
      </c>
      <c r="U1074" s="14" t="s">
        <v>1341</v>
      </c>
      <c r="V1074" s="12"/>
      <c r="X1074" s="12" t="s">
        <v>1333</v>
      </c>
      <c r="Y1074" s="14" t="s">
        <v>2998</v>
      </c>
      <c r="Z1074" s="14">
        <v>12</v>
      </c>
      <c r="AD1074" s="14" t="s">
        <v>1165</v>
      </c>
      <c r="AF1074" s="14" t="s">
        <v>1165</v>
      </c>
      <c r="AI1074" s="14" t="s">
        <v>1165</v>
      </c>
      <c r="AJ1074" s="15" t="s">
        <v>1148</v>
      </c>
      <c r="AK1074" s="15">
        <v>33.231999999999999</v>
      </c>
      <c r="AP1074" s="15">
        <v>28</v>
      </c>
      <c r="AQ1074" s="14" t="s">
        <v>1336</v>
      </c>
      <c r="AR1074" s="15" t="s">
        <v>1335</v>
      </c>
      <c r="AS1074" s="14" t="s">
        <v>3002</v>
      </c>
    </row>
    <row r="1075" spans="1:45" s="14" customFormat="1" x14ac:dyDescent="0.2">
      <c r="A1075" s="14" t="s">
        <v>1326</v>
      </c>
      <c r="B1075" s="15" t="s">
        <v>1146</v>
      </c>
      <c r="C1075" s="15" t="s">
        <v>1149</v>
      </c>
      <c r="D1075" s="14" t="s">
        <v>469</v>
      </c>
      <c r="E1075" s="14" t="s">
        <v>1331</v>
      </c>
      <c r="G1075" s="15" t="s">
        <v>1165</v>
      </c>
      <c r="H1075" s="14" t="s">
        <v>1165</v>
      </c>
      <c r="I1075" s="18" t="s">
        <v>1328</v>
      </c>
      <c r="J1075" s="18" t="s">
        <v>1337</v>
      </c>
      <c r="K1075" s="18" t="s">
        <v>1338</v>
      </c>
      <c r="L1075" s="14">
        <v>2000</v>
      </c>
      <c r="M1075" s="14" t="s">
        <v>1327</v>
      </c>
      <c r="O1075" s="14">
        <v>2005</v>
      </c>
      <c r="P1075" s="14">
        <v>2005</v>
      </c>
      <c r="Q1075" s="14" t="s">
        <v>1329</v>
      </c>
      <c r="R1075" s="14">
        <v>10</v>
      </c>
      <c r="T1075" s="14" t="s">
        <v>1330</v>
      </c>
      <c r="U1075" s="14" t="s">
        <v>1341</v>
      </c>
      <c r="V1075" s="12"/>
      <c r="X1075" s="12" t="s">
        <v>1264</v>
      </c>
      <c r="Y1075" s="14" t="s">
        <v>2998</v>
      </c>
      <c r="Z1075" s="14">
        <v>12</v>
      </c>
      <c r="AD1075" s="14" t="s">
        <v>1165</v>
      </c>
      <c r="AF1075" s="14" t="s">
        <v>1165</v>
      </c>
      <c r="AI1075" s="14" t="s">
        <v>1165</v>
      </c>
      <c r="AJ1075" s="15" t="s">
        <v>1148</v>
      </c>
      <c r="AK1075" s="15">
        <v>44.613999999999997</v>
      </c>
      <c r="AP1075" s="15">
        <v>28</v>
      </c>
      <c r="AQ1075" s="14" t="s">
        <v>1336</v>
      </c>
      <c r="AR1075" s="15" t="s">
        <v>1335</v>
      </c>
      <c r="AS1075" s="14" t="s">
        <v>3002</v>
      </c>
    </row>
    <row r="1076" spans="1:45" s="14" customFormat="1" x14ac:dyDescent="0.2">
      <c r="A1076" s="14" t="s">
        <v>1326</v>
      </c>
      <c r="B1076" s="15" t="s">
        <v>1146</v>
      </c>
      <c r="C1076" s="15" t="s">
        <v>1149</v>
      </c>
      <c r="D1076" s="14" t="s">
        <v>469</v>
      </c>
      <c r="E1076" s="14" t="s">
        <v>1331</v>
      </c>
      <c r="G1076" s="15" t="s">
        <v>1165</v>
      </c>
      <c r="H1076" s="14" t="s">
        <v>1165</v>
      </c>
      <c r="I1076" s="18" t="s">
        <v>1328</v>
      </c>
      <c r="J1076" s="18" t="s">
        <v>1337</v>
      </c>
      <c r="K1076" s="18" t="s">
        <v>1338</v>
      </c>
      <c r="L1076" s="14">
        <v>2000</v>
      </c>
      <c r="M1076" s="14" t="s">
        <v>1327</v>
      </c>
      <c r="O1076" s="14">
        <v>2005</v>
      </c>
      <c r="P1076" s="14">
        <v>2005</v>
      </c>
      <c r="Q1076" s="14" t="s">
        <v>1329</v>
      </c>
      <c r="R1076" s="14">
        <v>10</v>
      </c>
      <c r="T1076" s="14" t="s">
        <v>1330</v>
      </c>
      <c r="U1076" s="14" t="s">
        <v>1341</v>
      </c>
      <c r="V1076" s="12"/>
      <c r="X1076" s="12" t="s">
        <v>1261</v>
      </c>
      <c r="Y1076" s="14" t="s">
        <v>2998</v>
      </c>
      <c r="Z1076" s="14">
        <v>12</v>
      </c>
      <c r="AD1076" s="14" t="s">
        <v>1165</v>
      </c>
      <c r="AF1076" s="14" t="s">
        <v>1165</v>
      </c>
      <c r="AI1076" s="14" t="s">
        <v>1165</v>
      </c>
      <c r="AJ1076" s="15" t="s">
        <v>1148</v>
      </c>
      <c r="AK1076" s="15">
        <v>38.923000000000002</v>
      </c>
      <c r="AP1076" s="15">
        <v>28</v>
      </c>
      <c r="AQ1076" s="14" t="s">
        <v>1336</v>
      </c>
      <c r="AR1076" s="15" t="s">
        <v>1335</v>
      </c>
      <c r="AS1076" s="14" t="s">
        <v>3002</v>
      </c>
    </row>
    <row r="1077" spans="1:45" s="14" customFormat="1" x14ac:dyDescent="0.2">
      <c r="A1077" s="14" t="s">
        <v>1326</v>
      </c>
      <c r="B1077" s="15" t="s">
        <v>1146</v>
      </c>
      <c r="C1077" s="15" t="s">
        <v>1149</v>
      </c>
      <c r="D1077" s="14" t="s">
        <v>469</v>
      </c>
      <c r="E1077" s="14" t="s">
        <v>1331</v>
      </c>
      <c r="G1077" s="15" t="s">
        <v>1165</v>
      </c>
      <c r="H1077" s="14" t="s">
        <v>1165</v>
      </c>
      <c r="I1077" s="18" t="s">
        <v>1328</v>
      </c>
      <c r="J1077" s="18" t="s">
        <v>1337</v>
      </c>
      <c r="K1077" s="18" t="s">
        <v>1338</v>
      </c>
      <c r="L1077" s="14">
        <v>2000</v>
      </c>
      <c r="M1077" s="14" t="s">
        <v>1327</v>
      </c>
      <c r="O1077" s="14">
        <v>2005</v>
      </c>
      <c r="P1077" s="14">
        <v>2005</v>
      </c>
      <c r="Q1077" s="14" t="s">
        <v>1329</v>
      </c>
      <c r="R1077" s="14">
        <v>10</v>
      </c>
      <c r="T1077" s="14" t="s">
        <v>1330</v>
      </c>
      <c r="U1077" s="14" t="s">
        <v>1341</v>
      </c>
      <c r="V1077" s="12"/>
      <c r="X1077" s="12" t="s">
        <v>1334</v>
      </c>
      <c r="Y1077" s="14" t="s">
        <v>2998</v>
      </c>
      <c r="Z1077" s="14">
        <v>12</v>
      </c>
      <c r="AD1077" s="14" t="s">
        <v>1165</v>
      </c>
      <c r="AF1077" s="14" t="s">
        <v>1165</v>
      </c>
      <c r="AI1077" s="14" t="s">
        <v>1165</v>
      </c>
      <c r="AJ1077" s="15" t="s">
        <v>1148</v>
      </c>
      <c r="AK1077" s="15">
        <v>44.512</v>
      </c>
      <c r="AP1077" s="15">
        <v>28</v>
      </c>
      <c r="AQ1077" s="14" t="s">
        <v>1336</v>
      </c>
      <c r="AR1077" s="15" t="s">
        <v>1335</v>
      </c>
      <c r="AS1077" s="14" t="s">
        <v>3002</v>
      </c>
    </row>
    <row r="1078" spans="1:45" s="14" customFormat="1" x14ac:dyDescent="0.2">
      <c r="A1078" s="14" t="s">
        <v>1326</v>
      </c>
      <c r="B1078" s="15" t="s">
        <v>1146</v>
      </c>
      <c r="C1078" s="15" t="s">
        <v>1149</v>
      </c>
      <c r="D1078" s="14" t="s">
        <v>469</v>
      </c>
      <c r="E1078" s="14" t="s">
        <v>1331</v>
      </c>
      <c r="G1078" s="15" t="s">
        <v>1165</v>
      </c>
      <c r="H1078" s="14" t="s">
        <v>1165</v>
      </c>
      <c r="I1078" s="18" t="s">
        <v>1328</v>
      </c>
      <c r="J1078" s="18" t="s">
        <v>1337</v>
      </c>
      <c r="K1078" s="18" t="s">
        <v>1338</v>
      </c>
      <c r="L1078" s="14">
        <v>2000</v>
      </c>
      <c r="M1078" s="14" t="s">
        <v>1327</v>
      </c>
      <c r="O1078" s="14">
        <v>2005</v>
      </c>
      <c r="P1078" s="14">
        <v>2005</v>
      </c>
      <c r="Q1078" s="14" t="s">
        <v>1329</v>
      </c>
      <c r="R1078" s="14">
        <v>10</v>
      </c>
      <c r="T1078" s="14" t="s">
        <v>1330</v>
      </c>
      <c r="U1078" s="14" t="s">
        <v>1341</v>
      </c>
      <c r="V1078" s="12"/>
      <c r="X1078" s="12" t="s">
        <v>1333</v>
      </c>
      <c r="Y1078" s="14" t="s">
        <v>2998</v>
      </c>
      <c r="Z1078" s="14">
        <v>0</v>
      </c>
      <c r="AD1078" s="14" t="s">
        <v>1165</v>
      </c>
      <c r="AF1078" s="14" t="s">
        <v>1165</v>
      </c>
      <c r="AI1078" s="14" t="s">
        <v>1165</v>
      </c>
      <c r="AJ1078" s="15" t="s">
        <v>1148</v>
      </c>
      <c r="AK1078" s="15">
        <v>7.2149999999999999</v>
      </c>
      <c r="AP1078" s="15">
        <v>28</v>
      </c>
      <c r="AQ1078" s="14" t="s">
        <v>1336</v>
      </c>
      <c r="AR1078" s="15" t="s">
        <v>1335</v>
      </c>
      <c r="AS1078" s="14" t="s">
        <v>3002</v>
      </c>
    </row>
    <row r="1079" spans="1:45" s="14" customFormat="1" x14ac:dyDescent="0.2">
      <c r="A1079" s="14" t="s">
        <v>1326</v>
      </c>
      <c r="B1079" s="15" t="s">
        <v>1146</v>
      </c>
      <c r="C1079" s="15" t="s">
        <v>1149</v>
      </c>
      <c r="D1079" s="14" t="s">
        <v>469</v>
      </c>
      <c r="E1079" s="14" t="s">
        <v>1331</v>
      </c>
      <c r="G1079" s="15" t="s">
        <v>1165</v>
      </c>
      <c r="H1079" s="14" t="s">
        <v>1165</v>
      </c>
      <c r="I1079" s="18" t="s">
        <v>1328</v>
      </c>
      <c r="J1079" s="18" t="s">
        <v>1337</v>
      </c>
      <c r="K1079" s="18" t="s">
        <v>1338</v>
      </c>
      <c r="L1079" s="14">
        <v>2000</v>
      </c>
      <c r="M1079" s="14" t="s">
        <v>1327</v>
      </c>
      <c r="O1079" s="14">
        <v>2005</v>
      </c>
      <c r="P1079" s="14">
        <v>2005</v>
      </c>
      <c r="Q1079" s="14" t="s">
        <v>1329</v>
      </c>
      <c r="R1079" s="14">
        <v>10</v>
      </c>
      <c r="T1079" s="14" t="s">
        <v>1330</v>
      </c>
      <c r="U1079" s="14" t="s">
        <v>1341</v>
      </c>
      <c r="V1079" s="12"/>
      <c r="X1079" s="12" t="s">
        <v>1264</v>
      </c>
      <c r="Y1079" s="14" t="s">
        <v>2998</v>
      </c>
      <c r="Z1079" s="14">
        <v>0</v>
      </c>
      <c r="AD1079" s="14" t="s">
        <v>1165</v>
      </c>
      <c r="AF1079" s="14" t="s">
        <v>1165</v>
      </c>
      <c r="AI1079" s="14" t="s">
        <v>1165</v>
      </c>
      <c r="AJ1079" s="15" t="s">
        <v>1148</v>
      </c>
      <c r="AK1079" s="15">
        <v>3.9630000000000001</v>
      </c>
      <c r="AP1079" s="15">
        <v>28</v>
      </c>
      <c r="AQ1079" s="14" t="s">
        <v>1336</v>
      </c>
      <c r="AR1079" s="15" t="s">
        <v>1335</v>
      </c>
      <c r="AS1079" s="14" t="s">
        <v>3002</v>
      </c>
    </row>
    <row r="1080" spans="1:45" s="14" customFormat="1" x14ac:dyDescent="0.2">
      <c r="A1080" s="14" t="s">
        <v>1326</v>
      </c>
      <c r="B1080" s="15" t="s">
        <v>1146</v>
      </c>
      <c r="C1080" s="15" t="s">
        <v>1149</v>
      </c>
      <c r="D1080" s="14" t="s">
        <v>469</v>
      </c>
      <c r="E1080" s="14" t="s">
        <v>1331</v>
      </c>
      <c r="G1080" s="15" t="s">
        <v>1165</v>
      </c>
      <c r="H1080" s="14" t="s">
        <v>1165</v>
      </c>
      <c r="I1080" s="18" t="s">
        <v>1328</v>
      </c>
      <c r="J1080" s="18" t="s">
        <v>1337</v>
      </c>
      <c r="K1080" s="18" t="s">
        <v>1338</v>
      </c>
      <c r="L1080" s="14">
        <v>2000</v>
      </c>
      <c r="M1080" s="14" t="s">
        <v>1327</v>
      </c>
      <c r="O1080" s="14">
        <v>2005</v>
      </c>
      <c r="P1080" s="14">
        <v>2005</v>
      </c>
      <c r="Q1080" s="14" t="s">
        <v>1329</v>
      </c>
      <c r="R1080" s="14">
        <v>10</v>
      </c>
      <c r="T1080" s="14" t="s">
        <v>1330</v>
      </c>
      <c r="U1080" s="14" t="s">
        <v>1341</v>
      </c>
      <c r="V1080" s="12"/>
      <c r="X1080" s="12" t="s">
        <v>1261</v>
      </c>
      <c r="Y1080" s="14" t="s">
        <v>2998</v>
      </c>
      <c r="Z1080" s="14">
        <v>0</v>
      </c>
      <c r="AD1080" s="14" t="s">
        <v>1165</v>
      </c>
      <c r="AF1080" s="14" t="s">
        <v>1165</v>
      </c>
      <c r="AI1080" s="14" t="s">
        <v>1165</v>
      </c>
      <c r="AJ1080" s="15" t="s">
        <v>1148</v>
      </c>
      <c r="AK1080" s="15">
        <v>6.0979999999999999</v>
      </c>
      <c r="AP1080" s="15">
        <v>28</v>
      </c>
      <c r="AQ1080" s="14" t="s">
        <v>1336</v>
      </c>
      <c r="AR1080" s="15" t="s">
        <v>1335</v>
      </c>
      <c r="AS1080" s="14" t="s">
        <v>3002</v>
      </c>
    </row>
    <row r="1081" spans="1:45" s="14" customFormat="1" x14ac:dyDescent="0.2">
      <c r="A1081" s="14" t="s">
        <v>1326</v>
      </c>
      <c r="B1081" s="15" t="s">
        <v>1146</v>
      </c>
      <c r="C1081" s="15" t="s">
        <v>1149</v>
      </c>
      <c r="D1081" s="14" t="s">
        <v>469</v>
      </c>
      <c r="E1081" s="14" t="s">
        <v>1331</v>
      </c>
      <c r="G1081" s="15" t="s">
        <v>1165</v>
      </c>
      <c r="H1081" s="14" t="s">
        <v>1165</v>
      </c>
      <c r="I1081" s="18" t="s">
        <v>1328</v>
      </c>
      <c r="J1081" s="18" t="s">
        <v>1337</v>
      </c>
      <c r="K1081" s="18" t="s">
        <v>1338</v>
      </c>
      <c r="L1081" s="14">
        <v>2000</v>
      </c>
      <c r="M1081" s="14" t="s">
        <v>1327</v>
      </c>
      <c r="O1081" s="14">
        <v>2005</v>
      </c>
      <c r="P1081" s="14">
        <v>2005</v>
      </c>
      <c r="Q1081" s="14" t="s">
        <v>1329</v>
      </c>
      <c r="R1081" s="14">
        <v>10</v>
      </c>
      <c r="T1081" s="14" t="s">
        <v>1330</v>
      </c>
      <c r="U1081" s="14" t="s">
        <v>1341</v>
      </c>
      <c r="V1081" s="12"/>
      <c r="X1081" s="12" t="s">
        <v>1334</v>
      </c>
      <c r="Y1081" s="14" t="s">
        <v>2998</v>
      </c>
      <c r="Z1081" s="14">
        <v>0</v>
      </c>
      <c r="AD1081" s="14" t="s">
        <v>1165</v>
      </c>
      <c r="AF1081" s="14" t="s">
        <v>1165</v>
      </c>
      <c r="AI1081" s="14" t="s">
        <v>1165</v>
      </c>
      <c r="AJ1081" s="15" t="s">
        <v>1148</v>
      </c>
      <c r="AK1081" s="15">
        <v>0</v>
      </c>
      <c r="AP1081" s="15">
        <v>28</v>
      </c>
      <c r="AQ1081" s="14" t="s">
        <v>1336</v>
      </c>
      <c r="AR1081" s="15" t="s">
        <v>1335</v>
      </c>
      <c r="AS1081" s="14" t="s">
        <v>3002</v>
      </c>
    </row>
    <row r="1082" spans="1:45" s="14" customFormat="1" x14ac:dyDescent="0.2">
      <c r="A1082" s="14" t="s">
        <v>1326</v>
      </c>
      <c r="B1082" s="15" t="s">
        <v>1146</v>
      </c>
      <c r="C1082" s="15" t="s">
        <v>1149</v>
      </c>
      <c r="D1082" s="14" t="s">
        <v>469</v>
      </c>
      <c r="E1082" s="14" t="s">
        <v>1331</v>
      </c>
      <c r="G1082" s="15" t="s">
        <v>1165</v>
      </c>
      <c r="H1082" s="14" t="s">
        <v>1165</v>
      </c>
      <c r="I1082" s="18" t="s">
        <v>1328</v>
      </c>
      <c r="J1082" s="18" t="s">
        <v>1337</v>
      </c>
      <c r="K1082" s="18" t="s">
        <v>1338</v>
      </c>
      <c r="L1082" s="14">
        <v>2000</v>
      </c>
      <c r="M1082" s="14" t="s">
        <v>1327</v>
      </c>
      <c r="O1082" s="14">
        <v>2005</v>
      </c>
      <c r="P1082" s="14">
        <v>2005</v>
      </c>
      <c r="Q1082" s="14" t="s">
        <v>1329</v>
      </c>
      <c r="R1082" s="14">
        <v>10</v>
      </c>
      <c r="T1082" s="14" t="s">
        <v>1330</v>
      </c>
      <c r="U1082" s="14" t="s">
        <v>1341</v>
      </c>
      <c r="V1082" s="12"/>
      <c r="X1082" s="12" t="s">
        <v>1333</v>
      </c>
      <c r="Y1082" s="14" t="s">
        <v>2999</v>
      </c>
      <c r="Z1082" s="14">
        <v>12</v>
      </c>
      <c r="AD1082" s="14" t="s">
        <v>1165</v>
      </c>
      <c r="AF1082" s="14" t="s">
        <v>1165</v>
      </c>
      <c r="AI1082" s="14" t="s">
        <v>1165</v>
      </c>
      <c r="AJ1082" s="15" t="s">
        <v>1148</v>
      </c>
      <c r="AK1082" s="15">
        <v>27.541</v>
      </c>
      <c r="AP1082" s="15">
        <v>28</v>
      </c>
      <c r="AQ1082" s="14" t="s">
        <v>1336</v>
      </c>
      <c r="AR1082" s="15" t="s">
        <v>1335</v>
      </c>
      <c r="AS1082" s="14" t="s">
        <v>3002</v>
      </c>
    </row>
    <row r="1083" spans="1:45" s="14" customFormat="1" x14ac:dyDescent="0.2">
      <c r="A1083" s="14" t="s">
        <v>1326</v>
      </c>
      <c r="B1083" s="15" t="s">
        <v>1146</v>
      </c>
      <c r="C1083" s="15" t="s">
        <v>1149</v>
      </c>
      <c r="D1083" s="14" t="s">
        <v>469</v>
      </c>
      <c r="E1083" s="14" t="s">
        <v>1331</v>
      </c>
      <c r="G1083" s="15" t="s">
        <v>1165</v>
      </c>
      <c r="H1083" s="14" t="s">
        <v>1165</v>
      </c>
      <c r="I1083" s="18" t="s">
        <v>1328</v>
      </c>
      <c r="J1083" s="18" t="s">
        <v>1337</v>
      </c>
      <c r="K1083" s="18" t="s">
        <v>1338</v>
      </c>
      <c r="L1083" s="14">
        <v>2000</v>
      </c>
      <c r="M1083" s="14" t="s">
        <v>1327</v>
      </c>
      <c r="O1083" s="14">
        <v>2005</v>
      </c>
      <c r="P1083" s="14">
        <v>2005</v>
      </c>
      <c r="Q1083" s="14" t="s">
        <v>1329</v>
      </c>
      <c r="R1083" s="14">
        <v>10</v>
      </c>
      <c r="T1083" s="14" t="s">
        <v>1330</v>
      </c>
      <c r="U1083" s="14" t="s">
        <v>1341</v>
      </c>
      <c r="V1083" s="12"/>
      <c r="X1083" s="12" t="s">
        <v>1264</v>
      </c>
      <c r="Y1083" s="14" t="s">
        <v>2999</v>
      </c>
      <c r="Z1083" s="14">
        <v>12</v>
      </c>
      <c r="AD1083" s="14" t="s">
        <v>1165</v>
      </c>
      <c r="AF1083" s="14" t="s">
        <v>1165</v>
      </c>
      <c r="AI1083" s="14" t="s">
        <v>1165</v>
      </c>
      <c r="AJ1083" s="15" t="s">
        <v>1148</v>
      </c>
      <c r="AK1083" s="15">
        <v>73.882000000000005</v>
      </c>
      <c r="AP1083" s="15">
        <v>28</v>
      </c>
      <c r="AQ1083" s="14" t="s">
        <v>1336</v>
      </c>
      <c r="AR1083" s="15" t="s">
        <v>1335</v>
      </c>
      <c r="AS1083" s="14" t="s">
        <v>3002</v>
      </c>
    </row>
    <row r="1084" spans="1:45" s="14" customFormat="1" x14ac:dyDescent="0.2">
      <c r="A1084" s="14" t="s">
        <v>1326</v>
      </c>
      <c r="B1084" s="15" t="s">
        <v>1146</v>
      </c>
      <c r="C1084" s="15" t="s">
        <v>1149</v>
      </c>
      <c r="D1084" s="14" t="s">
        <v>469</v>
      </c>
      <c r="E1084" s="14" t="s">
        <v>1331</v>
      </c>
      <c r="G1084" s="15" t="s">
        <v>1165</v>
      </c>
      <c r="H1084" s="14" t="s">
        <v>1165</v>
      </c>
      <c r="I1084" s="18" t="s">
        <v>1328</v>
      </c>
      <c r="J1084" s="18" t="s">
        <v>1337</v>
      </c>
      <c r="K1084" s="18" t="s">
        <v>1338</v>
      </c>
      <c r="L1084" s="14">
        <v>2000</v>
      </c>
      <c r="M1084" s="14" t="s">
        <v>1327</v>
      </c>
      <c r="O1084" s="14">
        <v>2005</v>
      </c>
      <c r="P1084" s="14">
        <v>2005</v>
      </c>
      <c r="Q1084" s="14" t="s">
        <v>1329</v>
      </c>
      <c r="R1084" s="14">
        <v>10</v>
      </c>
      <c r="T1084" s="14" t="s">
        <v>1330</v>
      </c>
      <c r="U1084" s="14" t="s">
        <v>1341</v>
      </c>
      <c r="V1084" s="12"/>
      <c r="X1084" s="12" t="s">
        <v>1261</v>
      </c>
      <c r="Y1084" s="14" t="s">
        <v>2999</v>
      </c>
      <c r="Z1084" s="14">
        <v>12</v>
      </c>
      <c r="AD1084" s="14" t="s">
        <v>1165</v>
      </c>
      <c r="AF1084" s="14" t="s">
        <v>1165</v>
      </c>
      <c r="AI1084" s="14" t="s">
        <v>1165</v>
      </c>
      <c r="AJ1084" s="15" t="s">
        <v>1148</v>
      </c>
      <c r="AK1084" s="15">
        <v>55.183</v>
      </c>
      <c r="AP1084" s="15">
        <v>28</v>
      </c>
      <c r="AQ1084" s="14" t="s">
        <v>1336</v>
      </c>
      <c r="AR1084" s="15" t="s">
        <v>1335</v>
      </c>
      <c r="AS1084" s="14" t="s">
        <v>3002</v>
      </c>
    </row>
    <row r="1085" spans="1:45" s="14" customFormat="1" x14ac:dyDescent="0.2">
      <c r="A1085" s="14" t="s">
        <v>1326</v>
      </c>
      <c r="B1085" s="15" t="s">
        <v>1146</v>
      </c>
      <c r="C1085" s="15" t="s">
        <v>1149</v>
      </c>
      <c r="D1085" s="14" t="s">
        <v>469</v>
      </c>
      <c r="E1085" s="14" t="s">
        <v>1331</v>
      </c>
      <c r="G1085" s="15" t="s">
        <v>1165</v>
      </c>
      <c r="H1085" s="14" t="s">
        <v>1165</v>
      </c>
      <c r="I1085" s="18" t="s">
        <v>1328</v>
      </c>
      <c r="J1085" s="18" t="s">
        <v>1337</v>
      </c>
      <c r="K1085" s="18" t="s">
        <v>1338</v>
      </c>
      <c r="L1085" s="14">
        <v>2000</v>
      </c>
      <c r="M1085" s="14" t="s">
        <v>1327</v>
      </c>
      <c r="O1085" s="14">
        <v>2005</v>
      </c>
      <c r="P1085" s="14">
        <v>2005</v>
      </c>
      <c r="Q1085" s="14" t="s">
        <v>1329</v>
      </c>
      <c r="R1085" s="14">
        <v>10</v>
      </c>
      <c r="T1085" s="14" t="s">
        <v>1330</v>
      </c>
      <c r="U1085" s="14" t="s">
        <v>1341</v>
      </c>
      <c r="V1085" s="12"/>
      <c r="X1085" s="12" t="s">
        <v>1334</v>
      </c>
      <c r="Y1085" s="14" t="s">
        <v>2999</v>
      </c>
      <c r="Z1085" s="14">
        <v>12</v>
      </c>
      <c r="AD1085" s="14" t="s">
        <v>1165</v>
      </c>
      <c r="AF1085" s="14" t="s">
        <v>1165</v>
      </c>
      <c r="AI1085" s="14" t="s">
        <v>1165</v>
      </c>
      <c r="AJ1085" s="15" t="s">
        <v>1148</v>
      </c>
      <c r="AK1085" s="15">
        <v>48.679000000000002</v>
      </c>
      <c r="AP1085" s="15">
        <v>28</v>
      </c>
      <c r="AQ1085" s="14" t="s">
        <v>1336</v>
      </c>
      <c r="AR1085" s="15" t="s">
        <v>1335</v>
      </c>
      <c r="AS1085" s="14" t="s">
        <v>3002</v>
      </c>
    </row>
    <row r="1086" spans="1:45" s="14" customFormat="1" x14ac:dyDescent="0.2">
      <c r="A1086" s="14" t="s">
        <v>1326</v>
      </c>
      <c r="B1086" s="15" t="s">
        <v>1146</v>
      </c>
      <c r="C1086" s="15" t="s">
        <v>1149</v>
      </c>
      <c r="D1086" s="14" t="s">
        <v>469</v>
      </c>
      <c r="E1086" s="14" t="s">
        <v>1331</v>
      </c>
      <c r="G1086" s="15" t="s">
        <v>1165</v>
      </c>
      <c r="H1086" s="14" t="s">
        <v>1165</v>
      </c>
      <c r="I1086" s="18" t="s">
        <v>1328</v>
      </c>
      <c r="J1086" s="18" t="s">
        <v>1337</v>
      </c>
      <c r="K1086" s="18" t="s">
        <v>1338</v>
      </c>
      <c r="L1086" s="14">
        <v>2000</v>
      </c>
      <c r="M1086" s="14" t="s">
        <v>1327</v>
      </c>
      <c r="O1086" s="14">
        <v>2005</v>
      </c>
      <c r="P1086" s="14">
        <v>2005</v>
      </c>
      <c r="Q1086" s="14" t="s">
        <v>1329</v>
      </c>
      <c r="R1086" s="14">
        <v>10</v>
      </c>
      <c r="T1086" s="14" t="s">
        <v>1330</v>
      </c>
      <c r="U1086" s="14" t="s">
        <v>1341</v>
      </c>
      <c r="V1086" s="12"/>
      <c r="X1086" s="12" t="s">
        <v>1333</v>
      </c>
      <c r="Y1086" s="14" t="s">
        <v>2999</v>
      </c>
      <c r="Z1086" s="14">
        <v>0</v>
      </c>
      <c r="AD1086" s="14" t="s">
        <v>1165</v>
      </c>
      <c r="AF1086" s="14" t="s">
        <v>1165</v>
      </c>
      <c r="AI1086" s="14" t="s">
        <v>1165</v>
      </c>
      <c r="AJ1086" s="15" t="s">
        <v>1148</v>
      </c>
      <c r="AK1086" s="15">
        <v>13.72</v>
      </c>
      <c r="AP1086" s="15">
        <v>28</v>
      </c>
      <c r="AQ1086" s="14" t="s">
        <v>1336</v>
      </c>
      <c r="AR1086" s="15" t="s">
        <v>1335</v>
      </c>
      <c r="AS1086" s="14" t="s">
        <v>3002</v>
      </c>
    </row>
    <row r="1087" spans="1:45" s="14" customFormat="1" x14ac:dyDescent="0.2">
      <c r="A1087" s="14" t="s">
        <v>1326</v>
      </c>
      <c r="B1087" s="15" t="s">
        <v>1146</v>
      </c>
      <c r="C1087" s="15" t="s">
        <v>1149</v>
      </c>
      <c r="D1087" s="14" t="s">
        <v>469</v>
      </c>
      <c r="E1087" s="14" t="s">
        <v>1331</v>
      </c>
      <c r="G1087" s="15" t="s">
        <v>1165</v>
      </c>
      <c r="H1087" s="14" t="s">
        <v>1165</v>
      </c>
      <c r="I1087" s="18" t="s">
        <v>1328</v>
      </c>
      <c r="J1087" s="18" t="s">
        <v>1337</v>
      </c>
      <c r="K1087" s="18" t="s">
        <v>1338</v>
      </c>
      <c r="L1087" s="14">
        <v>2000</v>
      </c>
      <c r="M1087" s="14" t="s">
        <v>1327</v>
      </c>
      <c r="O1087" s="14">
        <v>2005</v>
      </c>
      <c r="P1087" s="14">
        <v>2005</v>
      </c>
      <c r="Q1087" s="14" t="s">
        <v>1329</v>
      </c>
      <c r="R1087" s="14">
        <v>10</v>
      </c>
      <c r="T1087" s="14" t="s">
        <v>1330</v>
      </c>
      <c r="U1087" s="14" t="s">
        <v>1341</v>
      </c>
      <c r="V1087" s="12"/>
      <c r="X1087" s="12" t="s">
        <v>1264</v>
      </c>
      <c r="Y1087" s="14" t="s">
        <v>2999</v>
      </c>
      <c r="Z1087" s="14">
        <v>0</v>
      </c>
      <c r="AD1087" s="14" t="s">
        <v>1165</v>
      </c>
      <c r="AF1087" s="14" t="s">
        <v>1165</v>
      </c>
      <c r="AI1087" s="14" t="s">
        <v>1165</v>
      </c>
      <c r="AJ1087" s="15" t="s">
        <v>1148</v>
      </c>
      <c r="AK1087" s="15">
        <v>19.411000000000001</v>
      </c>
      <c r="AP1087" s="15">
        <v>28</v>
      </c>
      <c r="AQ1087" s="14" t="s">
        <v>1336</v>
      </c>
      <c r="AR1087" s="15" t="s">
        <v>1335</v>
      </c>
      <c r="AS1087" s="14" t="s">
        <v>3002</v>
      </c>
    </row>
    <row r="1088" spans="1:45" s="14" customFormat="1" x14ac:dyDescent="0.2">
      <c r="A1088" s="14" t="s">
        <v>1326</v>
      </c>
      <c r="B1088" s="15" t="s">
        <v>1146</v>
      </c>
      <c r="C1088" s="15" t="s">
        <v>1149</v>
      </c>
      <c r="D1088" s="14" t="s">
        <v>469</v>
      </c>
      <c r="E1088" s="14" t="s">
        <v>1331</v>
      </c>
      <c r="G1088" s="15" t="s">
        <v>1165</v>
      </c>
      <c r="H1088" s="14" t="s">
        <v>1165</v>
      </c>
      <c r="I1088" s="18" t="s">
        <v>1328</v>
      </c>
      <c r="J1088" s="18" t="s">
        <v>1337</v>
      </c>
      <c r="K1088" s="18" t="s">
        <v>1338</v>
      </c>
      <c r="L1088" s="14">
        <v>2000</v>
      </c>
      <c r="M1088" s="14" t="s">
        <v>1327</v>
      </c>
      <c r="O1088" s="14">
        <v>2005</v>
      </c>
      <c r="P1088" s="14">
        <v>2005</v>
      </c>
      <c r="Q1088" s="14" t="s">
        <v>1329</v>
      </c>
      <c r="R1088" s="14">
        <v>10</v>
      </c>
      <c r="T1088" s="14" t="s">
        <v>1330</v>
      </c>
      <c r="U1088" s="14" t="s">
        <v>1341</v>
      </c>
      <c r="V1088" s="12"/>
      <c r="X1088" s="12" t="s">
        <v>1261</v>
      </c>
      <c r="Y1088" s="14" t="s">
        <v>2999</v>
      </c>
      <c r="Z1088" s="14">
        <v>0</v>
      </c>
      <c r="AD1088" s="14" t="s">
        <v>1165</v>
      </c>
      <c r="AF1088" s="14" t="s">
        <v>1165</v>
      </c>
      <c r="AI1088" s="14" t="s">
        <v>1165</v>
      </c>
      <c r="AJ1088" s="15" t="s">
        <v>1148</v>
      </c>
      <c r="AK1088" s="15">
        <v>28.048999999999999</v>
      </c>
      <c r="AP1088" s="15">
        <v>28</v>
      </c>
      <c r="AQ1088" s="14" t="s">
        <v>1336</v>
      </c>
      <c r="AR1088" s="15" t="s">
        <v>1335</v>
      </c>
      <c r="AS1088" s="14" t="s">
        <v>3002</v>
      </c>
    </row>
    <row r="1089" spans="1:45" s="14" customFormat="1" x14ac:dyDescent="0.2">
      <c r="A1089" s="14" t="s">
        <v>1326</v>
      </c>
      <c r="B1089" s="15" t="s">
        <v>1146</v>
      </c>
      <c r="C1089" s="15" t="s">
        <v>1149</v>
      </c>
      <c r="D1089" s="14" t="s">
        <v>469</v>
      </c>
      <c r="E1089" s="14" t="s">
        <v>1331</v>
      </c>
      <c r="G1089" s="15" t="s">
        <v>1165</v>
      </c>
      <c r="H1089" s="14" t="s">
        <v>1165</v>
      </c>
      <c r="I1089" s="18" t="s">
        <v>1328</v>
      </c>
      <c r="J1089" s="18" t="s">
        <v>1337</v>
      </c>
      <c r="K1089" s="18" t="s">
        <v>1338</v>
      </c>
      <c r="L1089" s="14">
        <v>2000</v>
      </c>
      <c r="M1089" s="14" t="s">
        <v>1327</v>
      </c>
      <c r="O1089" s="14">
        <v>2005</v>
      </c>
      <c r="P1089" s="14">
        <v>2005</v>
      </c>
      <c r="Q1089" s="14" t="s">
        <v>1329</v>
      </c>
      <c r="R1089" s="14">
        <v>10</v>
      </c>
      <c r="T1089" s="14" t="s">
        <v>1330</v>
      </c>
      <c r="U1089" s="14" t="s">
        <v>1341</v>
      </c>
      <c r="V1089" s="12"/>
      <c r="X1089" s="12" t="s">
        <v>1334</v>
      </c>
      <c r="Y1089" s="14" t="s">
        <v>2999</v>
      </c>
      <c r="Z1089" s="14">
        <v>0</v>
      </c>
      <c r="AD1089" s="14" t="s">
        <v>1165</v>
      </c>
      <c r="AF1089" s="14" t="s">
        <v>1165</v>
      </c>
      <c r="AI1089" s="14" t="s">
        <v>1165</v>
      </c>
      <c r="AJ1089" s="15" t="s">
        <v>1148</v>
      </c>
      <c r="AK1089" s="15">
        <v>33.231999999999999</v>
      </c>
      <c r="AP1089" s="15">
        <v>28</v>
      </c>
      <c r="AQ1089" s="14" t="s">
        <v>1336</v>
      </c>
      <c r="AR1089" s="15" t="s">
        <v>1335</v>
      </c>
      <c r="AS1089" s="14" t="s">
        <v>3002</v>
      </c>
    </row>
    <row r="1090" spans="1:45" x14ac:dyDescent="0.2">
      <c r="A1090" t="s">
        <v>1326</v>
      </c>
      <c r="B1090" s="15" t="s">
        <v>1146</v>
      </c>
      <c r="C1090" s="15" t="s">
        <v>1149</v>
      </c>
      <c r="D1090" t="s">
        <v>1342</v>
      </c>
      <c r="E1090" t="s">
        <v>1343</v>
      </c>
      <c r="G1090" s="15" t="s">
        <v>1165</v>
      </c>
      <c r="H1090" s="14" t="s">
        <v>1165</v>
      </c>
      <c r="I1090" s="18" t="s">
        <v>1328</v>
      </c>
      <c r="J1090" s="18" t="s">
        <v>1337</v>
      </c>
      <c r="K1090" s="18" t="s">
        <v>1338</v>
      </c>
      <c r="L1090">
        <v>2000</v>
      </c>
      <c r="M1090" t="s">
        <v>1327</v>
      </c>
      <c r="O1090">
        <v>2005</v>
      </c>
      <c r="P1090">
        <v>2005</v>
      </c>
      <c r="Q1090" t="s">
        <v>1329</v>
      </c>
      <c r="R1090">
        <v>10</v>
      </c>
      <c r="T1090" t="s">
        <v>1330</v>
      </c>
      <c r="U1090" t="s">
        <v>1246</v>
      </c>
      <c r="V1090" s="9" t="s">
        <v>1332</v>
      </c>
      <c r="W1090">
        <v>0</v>
      </c>
      <c r="X1090" s="9" t="s">
        <v>1333</v>
      </c>
      <c r="Z1090">
        <v>12</v>
      </c>
      <c r="AD1090" t="s">
        <v>1165</v>
      </c>
      <c r="AF1090" t="s">
        <v>1165</v>
      </c>
      <c r="AI1090" t="s">
        <v>1165</v>
      </c>
      <c r="AJ1090" s="15" t="s">
        <v>1148</v>
      </c>
      <c r="AK1090" s="15">
        <v>3.2349999999999999</v>
      </c>
      <c r="AP1090" s="15">
        <v>28</v>
      </c>
      <c r="AQ1090" s="14" t="s">
        <v>1336</v>
      </c>
      <c r="AR1090" s="15" t="s">
        <v>1335</v>
      </c>
      <c r="AS1090" t="s">
        <v>3000</v>
      </c>
    </row>
    <row r="1091" spans="1:45" x14ac:dyDescent="0.2">
      <c r="A1091" t="s">
        <v>1326</v>
      </c>
      <c r="B1091" s="15" t="s">
        <v>1146</v>
      </c>
      <c r="C1091" s="15" t="s">
        <v>1149</v>
      </c>
      <c r="D1091" t="s">
        <v>1342</v>
      </c>
      <c r="E1091" t="s">
        <v>1343</v>
      </c>
      <c r="G1091" s="15" t="s">
        <v>1165</v>
      </c>
      <c r="H1091" s="14" t="s">
        <v>1165</v>
      </c>
      <c r="I1091" s="18" t="s">
        <v>1328</v>
      </c>
      <c r="J1091" s="18" t="s">
        <v>1337</v>
      </c>
      <c r="K1091" s="18" t="s">
        <v>1338</v>
      </c>
      <c r="L1091">
        <v>2000</v>
      </c>
      <c r="M1091" t="s">
        <v>1327</v>
      </c>
      <c r="O1091">
        <v>2005</v>
      </c>
      <c r="P1091">
        <v>2005</v>
      </c>
      <c r="Q1091" t="s">
        <v>1329</v>
      </c>
      <c r="R1091">
        <v>10</v>
      </c>
      <c r="T1091" t="s">
        <v>1330</v>
      </c>
      <c r="U1091" t="s">
        <v>1246</v>
      </c>
      <c r="V1091" s="9" t="s">
        <v>1332</v>
      </c>
      <c r="W1091">
        <v>0</v>
      </c>
      <c r="X1091" s="9" t="s">
        <v>1264</v>
      </c>
      <c r="Z1091">
        <v>12</v>
      </c>
      <c r="AD1091" t="s">
        <v>1165</v>
      </c>
      <c r="AF1091" t="s">
        <v>1165</v>
      </c>
      <c r="AI1091" t="s">
        <v>1165</v>
      </c>
      <c r="AJ1091" s="15" t="s">
        <v>1148</v>
      </c>
      <c r="AK1091" s="15">
        <v>22.059000000000001</v>
      </c>
      <c r="AP1091" s="15">
        <v>28</v>
      </c>
      <c r="AQ1091" s="14" t="s">
        <v>1336</v>
      </c>
      <c r="AR1091" s="15" t="s">
        <v>1335</v>
      </c>
      <c r="AS1091" t="s">
        <v>3000</v>
      </c>
    </row>
    <row r="1092" spans="1:45" x14ac:dyDescent="0.2">
      <c r="A1092" t="s">
        <v>1326</v>
      </c>
      <c r="B1092" s="15" t="s">
        <v>1146</v>
      </c>
      <c r="C1092" s="15" t="s">
        <v>1149</v>
      </c>
      <c r="D1092" t="s">
        <v>1342</v>
      </c>
      <c r="E1092" t="s">
        <v>1343</v>
      </c>
      <c r="G1092" s="15" t="s">
        <v>1165</v>
      </c>
      <c r="H1092" s="14" t="s">
        <v>1165</v>
      </c>
      <c r="I1092" s="18" t="s">
        <v>1328</v>
      </c>
      <c r="J1092" s="18" t="s">
        <v>1337</v>
      </c>
      <c r="K1092" s="18" t="s">
        <v>1338</v>
      </c>
      <c r="L1092">
        <v>2000</v>
      </c>
      <c r="M1092" t="s">
        <v>1327</v>
      </c>
      <c r="O1092">
        <v>2005</v>
      </c>
      <c r="P1092">
        <v>2005</v>
      </c>
      <c r="Q1092" t="s">
        <v>1329</v>
      </c>
      <c r="R1092">
        <v>10</v>
      </c>
      <c r="T1092" t="s">
        <v>1330</v>
      </c>
      <c r="U1092" t="s">
        <v>1246</v>
      </c>
      <c r="V1092" s="9" t="s">
        <v>1332</v>
      </c>
      <c r="W1092">
        <v>0</v>
      </c>
      <c r="X1092" s="9" t="s">
        <v>1261</v>
      </c>
      <c r="Z1092">
        <v>12</v>
      </c>
      <c r="AD1092" t="s">
        <v>1165</v>
      </c>
      <c r="AF1092" t="s">
        <v>1165</v>
      </c>
      <c r="AI1092" t="s">
        <v>1165</v>
      </c>
      <c r="AJ1092" s="15" t="s">
        <v>1148</v>
      </c>
      <c r="AK1092" s="15">
        <v>32.058999999999997</v>
      </c>
      <c r="AP1092" s="15">
        <v>28</v>
      </c>
      <c r="AQ1092" s="14" t="s">
        <v>1336</v>
      </c>
      <c r="AR1092" s="15" t="s">
        <v>1335</v>
      </c>
      <c r="AS1092" t="s">
        <v>3000</v>
      </c>
    </row>
    <row r="1093" spans="1:45" x14ac:dyDescent="0.2">
      <c r="A1093" t="s">
        <v>1326</v>
      </c>
      <c r="B1093" s="15" t="s">
        <v>1146</v>
      </c>
      <c r="C1093" s="15" t="s">
        <v>1149</v>
      </c>
      <c r="D1093" t="s">
        <v>1342</v>
      </c>
      <c r="E1093" t="s">
        <v>1343</v>
      </c>
      <c r="G1093" s="15" t="s">
        <v>1165</v>
      </c>
      <c r="H1093" s="14" t="s">
        <v>1165</v>
      </c>
      <c r="I1093" s="18" t="s">
        <v>1328</v>
      </c>
      <c r="J1093" s="18" t="s">
        <v>1337</v>
      </c>
      <c r="K1093" s="18" t="s">
        <v>1338</v>
      </c>
      <c r="L1093">
        <v>2000</v>
      </c>
      <c r="M1093" t="s">
        <v>1327</v>
      </c>
      <c r="O1093">
        <v>2005</v>
      </c>
      <c r="P1093">
        <v>2005</v>
      </c>
      <c r="Q1093" t="s">
        <v>1329</v>
      </c>
      <c r="R1093">
        <v>10</v>
      </c>
      <c r="T1093" t="s">
        <v>1330</v>
      </c>
      <c r="U1093" t="s">
        <v>1246</v>
      </c>
      <c r="V1093" s="9" t="s">
        <v>1332</v>
      </c>
      <c r="W1093">
        <v>0</v>
      </c>
      <c r="X1093" s="9" t="s">
        <v>1334</v>
      </c>
      <c r="Z1093">
        <v>12</v>
      </c>
      <c r="AD1093" t="s">
        <v>1165</v>
      </c>
      <c r="AF1093" t="s">
        <v>1165</v>
      </c>
      <c r="AI1093" t="s">
        <v>1165</v>
      </c>
      <c r="AJ1093" s="15" t="s">
        <v>1148</v>
      </c>
      <c r="AK1093" s="15">
        <v>44.411999999999999</v>
      </c>
      <c r="AP1093" s="15">
        <v>28</v>
      </c>
      <c r="AQ1093" s="14" t="s">
        <v>1336</v>
      </c>
      <c r="AR1093" s="15" t="s">
        <v>1335</v>
      </c>
      <c r="AS1093" t="s">
        <v>3000</v>
      </c>
    </row>
    <row r="1094" spans="1:45" x14ac:dyDescent="0.2">
      <c r="A1094" t="s">
        <v>1326</v>
      </c>
      <c r="B1094" s="15" t="s">
        <v>1146</v>
      </c>
      <c r="C1094" s="15" t="s">
        <v>1149</v>
      </c>
      <c r="D1094" t="s">
        <v>1342</v>
      </c>
      <c r="E1094" t="s">
        <v>1343</v>
      </c>
      <c r="G1094" s="15" t="s">
        <v>1165</v>
      </c>
      <c r="H1094" s="14" t="s">
        <v>1165</v>
      </c>
      <c r="I1094" s="18" t="s">
        <v>1328</v>
      </c>
      <c r="J1094" s="18" t="s">
        <v>1337</v>
      </c>
      <c r="K1094" s="18" t="s">
        <v>1338</v>
      </c>
      <c r="L1094">
        <v>2000</v>
      </c>
      <c r="M1094" t="s">
        <v>1327</v>
      </c>
      <c r="O1094">
        <v>2005</v>
      </c>
      <c r="P1094">
        <v>2005</v>
      </c>
      <c r="Q1094" t="s">
        <v>1329</v>
      </c>
      <c r="R1094">
        <v>10</v>
      </c>
      <c r="T1094" t="s">
        <v>1330</v>
      </c>
      <c r="U1094" t="s">
        <v>1246</v>
      </c>
      <c r="V1094" s="9" t="s">
        <v>1332</v>
      </c>
      <c r="W1094">
        <v>0</v>
      </c>
      <c r="X1094" s="9" t="s">
        <v>1333</v>
      </c>
      <c r="Z1094">
        <v>0</v>
      </c>
      <c r="AD1094" t="s">
        <v>1165</v>
      </c>
      <c r="AF1094" t="s">
        <v>1165</v>
      </c>
      <c r="AI1094" t="s">
        <v>1165</v>
      </c>
      <c r="AJ1094" s="15" t="s">
        <v>1148</v>
      </c>
      <c r="AK1094" s="15">
        <v>0</v>
      </c>
      <c r="AP1094" s="15">
        <v>28</v>
      </c>
      <c r="AQ1094" s="14" t="s">
        <v>1336</v>
      </c>
      <c r="AR1094" s="15" t="s">
        <v>1335</v>
      </c>
      <c r="AS1094" t="s">
        <v>3000</v>
      </c>
    </row>
    <row r="1095" spans="1:45" x14ac:dyDescent="0.2">
      <c r="A1095" t="s">
        <v>1326</v>
      </c>
      <c r="B1095" s="15" t="s">
        <v>1146</v>
      </c>
      <c r="C1095" s="15" t="s">
        <v>1149</v>
      </c>
      <c r="D1095" t="s">
        <v>1342</v>
      </c>
      <c r="E1095" t="s">
        <v>1343</v>
      </c>
      <c r="G1095" s="15" t="s">
        <v>1165</v>
      </c>
      <c r="H1095" s="14" t="s">
        <v>1165</v>
      </c>
      <c r="I1095" s="18" t="s">
        <v>1328</v>
      </c>
      <c r="J1095" s="18" t="s">
        <v>1337</v>
      </c>
      <c r="K1095" s="18" t="s">
        <v>1338</v>
      </c>
      <c r="L1095">
        <v>2000</v>
      </c>
      <c r="M1095" t="s">
        <v>1327</v>
      </c>
      <c r="O1095">
        <v>2005</v>
      </c>
      <c r="P1095">
        <v>2005</v>
      </c>
      <c r="Q1095" t="s">
        <v>1329</v>
      </c>
      <c r="R1095">
        <v>10</v>
      </c>
      <c r="T1095" t="s">
        <v>1330</v>
      </c>
      <c r="U1095" t="s">
        <v>1246</v>
      </c>
      <c r="V1095" s="9" t="s">
        <v>1332</v>
      </c>
      <c r="W1095">
        <v>0</v>
      </c>
      <c r="X1095" s="9" t="s">
        <v>1264</v>
      </c>
      <c r="Z1095">
        <v>0</v>
      </c>
      <c r="AD1095" t="s">
        <v>1165</v>
      </c>
      <c r="AF1095" t="s">
        <v>1165</v>
      </c>
      <c r="AI1095" t="s">
        <v>1165</v>
      </c>
      <c r="AJ1095" s="15" t="s">
        <v>1148</v>
      </c>
      <c r="AK1095" s="15">
        <v>0</v>
      </c>
      <c r="AP1095" s="15">
        <v>28</v>
      </c>
      <c r="AQ1095" s="14" t="s">
        <v>1336</v>
      </c>
      <c r="AR1095" s="15" t="s">
        <v>1335</v>
      </c>
      <c r="AS1095" t="s">
        <v>3000</v>
      </c>
    </row>
    <row r="1096" spans="1:45" x14ac:dyDescent="0.2">
      <c r="A1096" t="s">
        <v>1326</v>
      </c>
      <c r="B1096" s="15" t="s">
        <v>1146</v>
      </c>
      <c r="C1096" s="15" t="s">
        <v>1149</v>
      </c>
      <c r="D1096" t="s">
        <v>1342</v>
      </c>
      <c r="E1096" t="s">
        <v>1343</v>
      </c>
      <c r="G1096" s="15" t="s">
        <v>1165</v>
      </c>
      <c r="H1096" s="14" t="s">
        <v>1165</v>
      </c>
      <c r="I1096" s="18" t="s">
        <v>1328</v>
      </c>
      <c r="J1096" s="18" t="s">
        <v>1337</v>
      </c>
      <c r="K1096" s="18" t="s">
        <v>1338</v>
      </c>
      <c r="L1096">
        <v>2000</v>
      </c>
      <c r="M1096" t="s">
        <v>1327</v>
      </c>
      <c r="O1096">
        <v>2005</v>
      </c>
      <c r="P1096">
        <v>2005</v>
      </c>
      <c r="Q1096" t="s">
        <v>1329</v>
      </c>
      <c r="R1096">
        <v>10</v>
      </c>
      <c r="T1096" t="s">
        <v>1330</v>
      </c>
      <c r="U1096" t="s">
        <v>1246</v>
      </c>
      <c r="V1096" s="9" t="s">
        <v>1332</v>
      </c>
      <c r="W1096">
        <v>0</v>
      </c>
      <c r="X1096" s="9" t="s">
        <v>1261</v>
      </c>
      <c r="Z1096">
        <v>0</v>
      </c>
      <c r="AD1096" t="s">
        <v>1165</v>
      </c>
      <c r="AF1096" t="s">
        <v>1165</v>
      </c>
      <c r="AI1096" t="s">
        <v>1165</v>
      </c>
      <c r="AJ1096" s="15" t="s">
        <v>1148</v>
      </c>
      <c r="AK1096" s="15">
        <v>0</v>
      </c>
      <c r="AP1096" s="15">
        <v>28</v>
      </c>
      <c r="AQ1096" s="14" t="s">
        <v>1336</v>
      </c>
      <c r="AR1096" s="15" t="s">
        <v>1335</v>
      </c>
      <c r="AS1096" t="s">
        <v>3000</v>
      </c>
    </row>
    <row r="1097" spans="1:45" x14ac:dyDescent="0.2">
      <c r="A1097" t="s">
        <v>1326</v>
      </c>
      <c r="B1097" s="15" t="s">
        <v>1146</v>
      </c>
      <c r="C1097" s="15" t="s">
        <v>1149</v>
      </c>
      <c r="D1097" t="s">
        <v>1342</v>
      </c>
      <c r="E1097" t="s">
        <v>1343</v>
      </c>
      <c r="G1097" s="15" t="s">
        <v>1165</v>
      </c>
      <c r="H1097" s="14" t="s">
        <v>1165</v>
      </c>
      <c r="I1097" s="18" t="s">
        <v>1328</v>
      </c>
      <c r="J1097" s="18" t="s">
        <v>1337</v>
      </c>
      <c r="K1097" s="18" t="s">
        <v>1338</v>
      </c>
      <c r="L1097">
        <v>2000</v>
      </c>
      <c r="M1097" t="s">
        <v>1327</v>
      </c>
      <c r="O1097">
        <v>2005</v>
      </c>
      <c r="P1097">
        <v>2005</v>
      </c>
      <c r="Q1097" t="s">
        <v>1329</v>
      </c>
      <c r="R1097">
        <v>10</v>
      </c>
      <c r="T1097" t="s">
        <v>1330</v>
      </c>
      <c r="U1097" t="s">
        <v>1246</v>
      </c>
      <c r="V1097" s="9" t="s">
        <v>1332</v>
      </c>
      <c r="W1097">
        <v>0</v>
      </c>
      <c r="X1097" s="9" t="s">
        <v>1334</v>
      </c>
      <c r="Z1097">
        <v>0</v>
      </c>
      <c r="AD1097" t="s">
        <v>1165</v>
      </c>
      <c r="AF1097" t="s">
        <v>1165</v>
      </c>
      <c r="AI1097" t="s">
        <v>1165</v>
      </c>
      <c r="AJ1097" s="15" t="s">
        <v>1148</v>
      </c>
      <c r="AK1097" s="15">
        <v>0</v>
      </c>
      <c r="AP1097" s="15">
        <v>28</v>
      </c>
      <c r="AQ1097" s="14" t="s">
        <v>1336</v>
      </c>
      <c r="AR1097" s="15" t="s">
        <v>1335</v>
      </c>
      <c r="AS1097" t="s">
        <v>3000</v>
      </c>
    </row>
    <row r="1098" spans="1:45" x14ac:dyDescent="0.2">
      <c r="A1098" t="s">
        <v>1326</v>
      </c>
      <c r="B1098" s="15" t="s">
        <v>1146</v>
      </c>
      <c r="C1098" s="15" t="s">
        <v>1149</v>
      </c>
      <c r="D1098" t="s">
        <v>1342</v>
      </c>
      <c r="E1098" t="s">
        <v>1343</v>
      </c>
      <c r="G1098" s="15" t="s">
        <v>1165</v>
      </c>
      <c r="H1098" s="14" t="s">
        <v>1165</v>
      </c>
      <c r="I1098" s="18" t="s">
        <v>1328</v>
      </c>
      <c r="J1098" s="18" t="s">
        <v>1337</v>
      </c>
      <c r="K1098" s="18" t="s">
        <v>1338</v>
      </c>
      <c r="L1098">
        <v>2000</v>
      </c>
      <c r="M1098" t="s">
        <v>1327</v>
      </c>
      <c r="O1098">
        <v>2005</v>
      </c>
      <c r="P1098">
        <v>2005</v>
      </c>
      <c r="Q1098" t="s">
        <v>1329</v>
      </c>
      <c r="R1098">
        <v>10</v>
      </c>
      <c r="T1098" t="s">
        <v>1330</v>
      </c>
      <c r="U1098" t="s">
        <v>1246</v>
      </c>
      <c r="V1098" s="9" t="s">
        <v>1332</v>
      </c>
      <c r="W1098">
        <v>17.5</v>
      </c>
      <c r="X1098" s="9" t="s">
        <v>1333</v>
      </c>
      <c r="Z1098">
        <v>12</v>
      </c>
      <c r="AD1098" t="s">
        <v>1165</v>
      </c>
      <c r="AF1098" t="s">
        <v>1165</v>
      </c>
      <c r="AI1098" t="s">
        <v>1165</v>
      </c>
      <c r="AJ1098" s="15" t="s">
        <v>1148</v>
      </c>
      <c r="AK1098" s="15">
        <v>32.646999999999998</v>
      </c>
      <c r="AP1098" s="15">
        <v>28</v>
      </c>
      <c r="AQ1098" s="14" t="s">
        <v>1336</v>
      </c>
      <c r="AR1098" s="15" t="s">
        <v>1335</v>
      </c>
      <c r="AS1098" t="s">
        <v>3000</v>
      </c>
    </row>
    <row r="1099" spans="1:45" x14ac:dyDescent="0.2">
      <c r="A1099" t="s">
        <v>1326</v>
      </c>
      <c r="B1099" s="15" t="s">
        <v>1146</v>
      </c>
      <c r="C1099" s="15" t="s">
        <v>1149</v>
      </c>
      <c r="D1099" t="s">
        <v>1342</v>
      </c>
      <c r="E1099" t="s">
        <v>1343</v>
      </c>
      <c r="G1099" s="15" t="s">
        <v>1165</v>
      </c>
      <c r="H1099" s="14" t="s">
        <v>1165</v>
      </c>
      <c r="I1099" s="18" t="s">
        <v>1328</v>
      </c>
      <c r="J1099" s="18" t="s">
        <v>1337</v>
      </c>
      <c r="K1099" s="18" t="s">
        <v>1338</v>
      </c>
      <c r="L1099">
        <v>2000</v>
      </c>
      <c r="M1099" t="s">
        <v>1327</v>
      </c>
      <c r="O1099">
        <v>2005</v>
      </c>
      <c r="P1099">
        <v>2005</v>
      </c>
      <c r="Q1099" t="s">
        <v>1329</v>
      </c>
      <c r="R1099">
        <v>10</v>
      </c>
      <c r="T1099" t="s">
        <v>1330</v>
      </c>
      <c r="U1099" t="s">
        <v>1246</v>
      </c>
      <c r="V1099" s="9" t="s">
        <v>1332</v>
      </c>
      <c r="W1099">
        <v>17.5</v>
      </c>
      <c r="X1099" s="9" t="s">
        <v>1264</v>
      </c>
      <c r="Z1099">
        <v>12</v>
      </c>
      <c r="AD1099" t="s">
        <v>1165</v>
      </c>
      <c r="AF1099" t="s">
        <v>1165</v>
      </c>
      <c r="AI1099" t="s">
        <v>1165</v>
      </c>
      <c r="AJ1099" s="15" t="s">
        <v>1148</v>
      </c>
      <c r="AK1099" s="15">
        <v>66.765000000000001</v>
      </c>
      <c r="AP1099" s="15">
        <v>28</v>
      </c>
      <c r="AQ1099" s="14" t="s">
        <v>1336</v>
      </c>
      <c r="AR1099" s="15" t="s">
        <v>1335</v>
      </c>
      <c r="AS1099" t="s">
        <v>3000</v>
      </c>
    </row>
    <row r="1100" spans="1:45" x14ac:dyDescent="0.2">
      <c r="A1100" t="s">
        <v>1326</v>
      </c>
      <c r="B1100" s="15" t="s">
        <v>1146</v>
      </c>
      <c r="C1100" s="15" t="s">
        <v>1149</v>
      </c>
      <c r="D1100" t="s">
        <v>1342</v>
      </c>
      <c r="E1100" t="s">
        <v>1343</v>
      </c>
      <c r="G1100" s="15" t="s">
        <v>1165</v>
      </c>
      <c r="H1100" s="14" t="s">
        <v>1165</v>
      </c>
      <c r="I1100" s="18" t="s">
        <v>1328</v>
      </c>
      <c r="J1100" s="18" t="s">
        <v>1337</v>
      </c>
      <c r="K1100" s="18" t="s">
        <v>1338</v>
      </c>
      <c r="L1100">
        <v>2000</v>
      </c>
      <c r="M1100" t="s">
        <v>1327</v>
      </c>
      <c r="O1100">
        <v>2005</v>
      </c>
      <c r="P1100">
        <v>2005</v>
      </c>
      <c r="Q1100" t="s">
        <v>1329</v>
      </c>
      <c r="R1100">
        <v>10</v>
      </c>
      <c r="T1100" t="s">
        <v>1330</v>
      </c>
      <c r="U1100" t="s">
        <v>1246</v>
      </c>
      <c r="V1100" s="9" t="s">
        <v>1332</v>
      </c>
      <c r="W1100">
        <v>17.5</v>
      </c>
      <c r="X1100" s="9" t="s">
        <v>1261</v>
      </c>
      <c r="Z1100">
        <v>12</v>
      </c>
      <c r="AD1100" t="s">
        <v>1165</v>
      </c>
      <c r="AF1100" t="s">
        <v>1165</v>
      </c>
      <c r="AI1100" t="s">
        <v>1165</v>
      </c>
      <c r="AJ1100" s="15" t="s">
        <v>1148</v>
      </c>
      <c r="AK1100" s="15">
        <v>60.293999999999997</v>
      </c>
      <c r="AP1100" s="15">
        <v>28</v>
      </c>
      <c r="AQ1100" s="14" t="s">
        <v>1336</v>
      </c>
      <c r="AR1100" s="15" t="s">
        <v>1335</v>
      </c>
      <c r="AS1100" t="s">
        <v>3000</v>
      </c>
    </row>
    <row r="1101" spans="1:45" x14ac:dyDescent="0.2">
      <c r="A1101" t="s">
        <v>1326</v>
      </c>
      <c r="B1101" s="15" t="s">
        <v>1146</v>
      </c>
      <c r="C1101" s="15" t="s">
        <v>1149</v>
      </c>
      <c r="D1101" t="s">
        <v>1342</v>
      </c>
      <c r="E1101" t="s">
        <v>1343</v>
      </c>
      <c r="G1101" s="15" t="s">
        <v>1165</v>
      </c>
      <c r="H1101" s="14" t="s">
        <v>1165</v>
      </c>
      <c r="I1101" s="18" t="s">
        <v>1328</v>
      </c>
      <c r="J1101" s="18" t="s">
        <v>1337</v>
      </c>
      <c r="K1101" s="18" t="s">
        <v>1338</v>
      </c>
      <c r="L1101">
        <v>2000</v>
      </c>
      <c r="M1101" t="s">
        <v>1327</v>
      </c>
      <c r="O1101">
        <v>2005</v>
      </c>
      <c r="P1101">
        <v>2005</v>
      </c>
      <c r="Q1101" t="s">
        <v>1329</v>
      </c>
      <c r="R1101">
        <v>10</v>
      </c>
      <c r="T1101" t="s">
        <v>1330</v>
      </c>
      <c r="U1101" t="s">
        <v>1246</v>
      </c>
      <c r="V1101" s="9" t="s">
        <v>1332</v>
      </c>
      <c r="W1101">
        <v>17.5</v>
      </c>
      <c r="X1101" s="9" t="s">
        <v>1334</v>
      </c>
      <c r="Z1101">
        <v>12</v>
      </c>
      <c r="AD1101" t="s">
        <v>1165</v>
      </c>
      <c r="AF1101" t="s">
        <v>1165</v>
      </c>
      <c r="AI1101" t="s">
        <v>1165</v>
      </c>
      <c r="AJ1101" s="15" t="s">
        <v>1148</v>
      </c>
      <c r="AK1101" s="4">
        <v>32.646999999999998</v>
      </c>
      <c r="AP1101" s="15">
        <v>28</v>
      </c>
      <c r="AQ1101" s="14" t="s">
        <v>1336</v>
      </c>
      <c r="AR1101" s="15" t="s">
        <v>1335</v>
      </c>
      <c r="AS1101" t="s">
        <v>3000</v>
      </c>
    </row>
    <row r="1102" spans="1:45" x14ac:dyDescent="0.2">
      <c r="A1102" t="s">
        <v>1326</v>
      </c>
      <c r="B1102" s="15" t="s">
        <v>1146</v>
      </c>
      <c r="C1102" s="15" t="s">
        <v>1149</v>
      </c>
      <c r="D1102" t="s">
        <v>1342</v>
      </c>
      <c r="E1102" t="s">
        <v>1343</v>
      </c>
      <c r="G1102" s="15" t="s">
        <v>1165</v>
      </c>
      <c r="H1102" s="14" t="s">
        <v>1165</v>
      </c>
      <c r="I1102" s="18" t="s">
        <v>1328</v>
      </c>
      <c r="J1102" s="18" t="s">
        <v>1337</v>
      </c>
      <c r="K1102" s="18" t="s">
        <v>1338</v>
      </c>
      <c r="L1102">
        <v>2000</v>
      </c>
      <c r="M1102" t="s">
        <v>1327</v>
      </c>
      <c r="O1102">
        <v>2005</v>
      </c>
      <c r="P1102">
        <v>2005</v>
      </c>
      <c r="Q1102" t="s">
        <v>1329</v>
      </c>
      <c r="R1102">
        <v>10</v>
      </c>
      <c r="T1102" t="s">
        <v>1330</v>
      </c>
      <c r="U1102" t="s">
        <v>1246</v>
      </c>
      <c r="V1102" s="9" t="s">
        <v>1332</v>
      </c>
      <c r="W1102">
        <v>17.5</v>
      </c>
      <c r="X1102" s="9" t="s">
        <v>1333</v>
      </c>
      <c r="Z1102">
        <v>0</v>
      </c>
      <c r="AD1102" t="s">
        <v>1165</v>
      </c>
      <c r="AF1102" t="s">
        <v>1165</v>
      </c>
      <c r="AI1102" t="s">
        <v>1165</v>
      </c>
      <c r="AJ1102" s="15" t="s">
        <v>1148</v>
      </c>
      <c r="AK1102" s="15">
        <v>0</v>
      </c>
      <c r="AP1102" s="15">
        <v>28</v>
      </c>
      <c r="AQ1102" s="14" t="s">
        <v>1336</v>
      </c>
      <c r="AR1102" s="15" t="s">
        <v>1335</v>
      </c>
      <c r="AS1102" t="s">
        <v>3000</v>
      </c>
    </row>
    <row r="1103" spans="1:45" x14ac:dyDescent="0.2">
      <c r="A1103" t="s">
        <v>1326</v>
      </c>
      <c r="B1103" s="15" t="s">
        <v>1146</v>
      </c>
      <c r="C1103" s="15" t="s">
        <v>1149</v>
      </c>
      <c r="D1103" t="s">
        <v>1342</v>
      </c>
      <c r="E1103" t="s">
        <v>1343</v>
      </c>
      <c r="G1103" s="15" t="s">
        <v>1165</v>
      </c>
      <c r="H1103" s="14" t="s">
        <v>1165</v>
      </c>
      <c r="I1103" s="18" t="s">
        <v>1328</v>
      </c>
      <c r="J1103" s="18" t="s">
        <v>1337</v>
      </c>
      <c r="K1103" s="18" t="s">
        <v>1338</v>
      </c>
      <c r="L1103">
        <v>2000</v>
      </c>
      <c r="M1103" t="s">
        <v>1327</v>
      </c>
      <c r="O1103">
        <v>2005</v>
      </c>
      <c r="P1103">
        <v>2005</v>
      </c>
      <c r="Q1103" t="s">
        <v>1329</v>
      </c>
      <c r="R1103">
        <v>10</v>
      </c>
      <c r="T1103" t="s">
        <v>1330</v>
      </c>
      <c r="U1103" t="s">
        <v>1246</v>
      </c>
      <c r="V1103" s="9" t="s">
        <v>1332</v>
      </c>
      <c r="W1103">
        <v>17.5</v>
      </c>
      <c r="X1103" s="9" t="s">
        <v>1264</v>
      </c>
      <c r="Z1103">
        <v>0</v>
      </c>
      <c r="AD1103" t="s">
        <v>1165</v>
      </c>
      <c r="AF1103" t="s">
        <v>1165</v>
      </c>
      <c r="AI1103" t="s">
        <v>1165</v>
      </c>
      <c r="AJ1103" s="15" t="s">
        <v>1148</v>
      </c>
      <c r="AK1103" s="15">
        <v>0</v>
      </c>
      <c r="AP1103" s="15">
        <v>28</v>
      </c>
      <c r="AQ1103" s="14" t="s">
        <v>1336</v>
      </c>
      <c r="AR1103" s="15" t="s">
        <v>1335</v>
      </c>
      <c r="AS1103" t="s">
        <v>3000</v>
      </c>
    </row>
    <row r="1104" spans="1:45" x14ac:dyDescent="0.2">
      <c r="A1104" t="s">
        <v>1326</v>
      </c>
      <c r="B1104" s="15" t="s">
        <v>1146</v>
      </c>
      <c r="C1104" s="15" t="s">
        <v>1149</v>
      </c>
      <c r="D1104" t="s">
        <v>1342</v>
      </c>
      <c r="E1104" t="s">
        <v>1343</v>
      </c>
      <c r="G1104" s="15" t="s">
        <v>1165</v>
      </c>
      <c r="H1104" s="14" t="s">
        <v>1165</v>
      </c>
      <c r="I1104" s="18" t="s">
        <v>1328</v>
      </c>
      <c r="J1104" s="18" t="s">
        <v>1337</v>
      </c>
      <c r="K1104" s="18" t="s">
        <v>1338</v>
      </c>
      <c r="L1104">
        <v>2000</v>
      </c>
      <c r="M1104" t="s">
        <v>1327</v>
      </c>
      <c r="O1104">
        <v>2005</v>
      </c>
      <c r="P1104">
        <v>2005</v>
      </c>
      <c r="Q1104" t="s">
        <v>1329</v>
      </c>
      <c r="R1104">
        <v>10</v>
      </c>
      <c r="T1104" t="s">
        <v>1330</v>
      </c>
      <c r="U1104" t="s">
        <v>1246</v>
      </c>
      <c r="V1104" s="9" t="s">
        <v>1332</v>
      </c>
      <c r="W1104">
        <v>17.5</v>
      </c>
      <c r="X1104" s="9" t="s">
        <v>1261</v>
      </c>
      <c r="Z1104">
        <v>0</v>
      </c>
      <c r="AD1104" t="s">
        <v>1165</v>
      </c>
      <c r="AF1104" t="s">
        <v>1165</v>
      </c>
      <c r="AI1104" t="s">
        <v>1165</v>
      </c>
      <c r="AJ1104" s="15" t="s">
        <v>1148</v>
      </c>
      <c r="AK1104" s="15">
        <v>0</v>
      </c>
      <c r="AP1104" s="15">
        <v>28</v>
      </c>
      <c r="AQ1104" s="14" t="s">
        <v>1336</v>
      </c>
      <c r="AR1104" s="15" t="s">
        <v>1335</v>
      </c>
      <c r="AS1104" t="s">
        <v>3000</v>
      </c>
    </row>
    <row r="1105" spans="1:45" x14ac:dyDescent="0.2">
      <c r="A1105" t="s">
        <v>1326</v>
      </c>
      <c r="B1105" s="15" t="s">
        <v>1146</v>
      </c>
      <c r="C1105" s="15" t="s">
        <v>1149</v>
      </c>
      <c r="D1105" t="s">
        <v>1342</v>
      </c>
      <c r="E1105" t="s">
        <v>1343</v>
      </c>
      <c r="G1105" s="15" t="s">
        <v>1165</v>
      </c>
      <c r="H1105" s="14" t="s">
        <v>1165</v>
      </c>
      <c r="I1105" s="18" t="s">
        <v>1328</v>
      </c>
      <c r="J1105" s="18" t="s">
        <v>1337</v>
      </c>
      <c r="K1105" s="18" t="s">
        <v>1338</v>
      </c>
      <c r="L1105">
        <v>2000</v>
      </c>
      <c r="M1105" t="s">
        <v>1327</v>
      </c>
      <c r="O1105">
        <v>2005</v>
      </c>
      <c r="P1105">
        <v>2005</v>
      </c>
      <c r="Q1105" t="s">
        <v>1329</v>
      </c>
      <c r="R1105">
        <v>10</v>
      </c>
      <c r="T1105" t="s">
        <v>1330</v>
      </c>
      <c r="U1105" t="s">
        <v>1246</v>
      </c>
      <c r="V1105" s="9" t="s">
        <v>1332</v>
      </c>
      <c r="W1105">
        <v>17.5</v>
      </c>
      <c r="X1105" s="9" t="s">
        <v>1334</v>
      </c>
      <c r="Z1105">
        <v>0</v>
      </c>
      <c r="AD1105" t="s">
        <v>1165</v>
      </c>
      <c r="AF1105" t="s">
        <v>1165</v>
      </c>
      <c r="AI1105" t="s">
        <v>1165</v>
      </c>
      <c r="AJ1105" s="15" t="s">
        <v>1148</v>
      </c>
      <c r="AK1105" s="15">
        <v>0</v>
      </c>
      <c r="AP1105" s="15">
        <v>28</v>
      </c>
      <c r="AQ1105" s="14" t="s">
        <v>1336</v>
      </c>
      <c r="AR1105" s="15" t="s">
        <v>1335</v>
      </c>
      <c r="AS1105" t="s">
        <v>3000</v>
      </c>
    </row>
    <row r="1106" spans="1:45" x14ac:dyDescent="0.2">
      <c r="A1106" t="s">
        <v>1326</v>
      </c>
      <c r="B1106" s="15" t="s">
        <v>1146</v>
      </c>
      <c r="C1106" s="15" t="s">
        <v>1149</v>
      </c>
      <c r="D1106" t="s">
        <v>1342</v>
      </c>
      <c r="E1106" t="s">
        <v>1343</v>
      </c>
      <c r="G1106" s="15" t="s">
        <v>1165</v>
      </c>
      <c r="H1106" s="14" t="s">
        <v>1165</v>
      </c>
      <c r="I1106" s="18" t="s">
        <v>1328</v>
      </c>
      <c r="J1106" s="18" t="s">
        <v>1337</v>
      </c>
      <c r="K1106" s="18" t="s">
        <v>1338</v>
      </c>
      <c r="L1106">
        <v>2000</v>
      </c>
      <c r="M1106" t="s">
        <v>1327</v>
      </c>
      <c r="O1106">
        <v>2005</v>
      </c>
      <c r="P1106">
        <v>2005</v>
      </c>
      <c r="Q1106" t="s">
        <v>1329</v>
      </c>
      <c r="R1106">
        <v>10</v>
      </c>
      <c r="T1106" t="s">
        <v>1330</v>
      </c>
      <c r="U1106" t="s">
        <v>1246</v>
      </c>
      <c r="V1106" s="9" t="s">
        <v>1332</v>
      </c>
      <c r="W1106">
        <v>35</v>
      </c>
      <c r="X1106" s="9" t="s">
        <v>1333</v>
      </c>
      <c r="Z1106">
        <v>12</v>
      </c>
      <c r="AD1106" t="s">
        <v>1165</v>
      </c>
      <c r="AF1106" t="s">
        <v>1165</v>
      </c>
      <c r="AI1106" t="s">
        <v>1165</v>
      </c>
      <c r="AJ1106" s="15" t="s">
        <v>1148</v>
      </c>
      <c r="AK1106" s="15">
        <v>48.823999999999998</v>
      </c>
      <c r="AP1106" s="15">
        <v>28</v>
      </c>
      <c r="AQ1106" s="14" t="s">
        <v>1336</v>
      </c>
      <c r="AR1106" s="15" t="s">
        <v>1335</v>
      </c>
      <c r="AS1106" t="s">
        <v>3000</v>
      </c>
    </row>
    <row r="1107" spans="1:45" x14ac:dyDescent="0.2">
      <c r="A1107" t="s">
        <v>1326</v>
      </c>
      <c r="B1107" s="15" t="s">
        <v>1146</v>
      </c>
      <c r="C1107" s="15" t="s">
        <v>1149</v>
      </c>
      <c r="D1107" t="s">
        <v>1342</v>
      </c>
      <c r="E1107" t="s">
        <v>1343</v>
      </c>
      <c r="G1107" s="15" t="s">
        <v>1165</v>
      </c>
      <c r="H1107" s="14" t="s">
        <v>1165</v>
      </c>
      <c r="I1107" s="18" t="s">
        <v>1328</v>
      </c>
      <c r="J1107" s="18" t="s">
        <v>1337</v>
      </c>
      <c r="K1107" s="18" t="s">
        <v>1338</v>
      </c>
      <c r="L1107">
        <v>2000</v>
      </c>
      <c r="M1107" t="s">
        <v>1327</v>
      </c>
      <c r="O1107">
        <v>2005</v>
      </c>
      <c r="P1107">
        <v>2005</v>
      </c>
      <c r="Q1107" t="s">
        <v>1329</v>
      </c>
      <c r="R1107">
        <v>10</v>
      </c>
      <c r="T1107" t="s">
        <v>1330</v>
      </c>
      <c r="U1107" t="s">
        <v>1246</v>
      </c>
      <c r="V1107" s="9" t="s">
        <v>1332</v>
      </c>
      <c r="W1107">
        <v>35</v>
      </c>
      <c r="X1107" s="9" t="s">
        <v>1264</v>
      </c>
      <c r="Z1107">
        <v>12</v>
      </c>
      <c r="AD1107" t="s">
        <v>1165</v>
      </c>
      <c r="AF1107" t="s">
        <v>1165</v>
      </c>
      <c r="AI1107" t="s">
        <v>1165</v>
      </c>
      <c r="AJ1107" s="15" t="s">
        <v>1148</v>
      </c>
      <c r="AK1107" s="15">
        <v>69.117999999999995</v>
      </c>
      <c r="AP1107" s="15">
        <v>28</v>
      </c>
      <c r="AQ1107" s="14" t="s">
        <v>1336</v>
      </c>
      <c r="AR1107" s="15" t="s">
        <v>1335</v>
      </c>
      <c r="AS1107" t="s">
        <v>3000</v>
      </c>
    </row>
    <row r="1108" spans="1:45" x14ac:dyDescent="0.2">
      <c r="A1108" t="s">
        <v>1326</v>
      </c>
      <c r="B1108" s="15" t="s">
        <v>1146</v>
      </c>
      <c r="C1108" s="15" t="s">
        <v>1149</v>
      </c>
      <c r="D1108" t="s">
        <v>1342</v>
      </c>
      <c r="E1108" t="s">
        <v>1343</v>
      </c>
      <c r="G1108" s="15" t="s">
        <v>1165</v>
      </c>
      <c r="H1108" s="14" t="s">
        <v>1165</v>
      </c>
      <c r="I1108" s="18" t="s">
        <v>1328</v>
      </c>
      <c r="J1108" s="18" t="s">
        <v>1337</v>
      </c>
      <c r="K1108" s="18" t="s">
        <v>1338</v>
      </c>
      <c r="L1108">
        <v>2000</v>
      </c>
      <c r="M1108" t="s">
        <v>1327</v>
      </c>
      <c r="O1108">
        <v>2005</v>
      </c>
      <c r="P1108">
        <v>2005</v>
      </c>
      <c r="Q1108" t="s">
        <v>1329</v>
      </c>
      <c r="R1108">
        <v>10</v>
      </c>
      <c r="T1108" t="s">
        <v>1330</v>
      </c>
      <c r="U1108" t="s">
        <v>1246</v>
      </c>
      <c r="V1108" s="9" t="s">
        <v>1332</v>
      </c>
      <c r="W1108">
        <v>35</v>
      </c>
      <c r="X1108" s="9" t="s">
        <v>1261</v>
      </c>
      <c r="Z1108">
        <v>12</v>
      </c>
      <c r="AD1108" t="s">
        <v>1165</v>
      </c>
      <c r="AF1108" t="s">
        <v>1165</v>
      </c>
      <c r="AI1108" t="s">
        <v>1165</v>
      </c>
      <c r="AJ1108" s="15" t="s">
        <v>1148</v>
      </c>
      <c r="AK1108" s="15">
        <v>55</v>
      </c>
      <c r="AP1108" s="15">
        <v>28</v>
      </c>
      <c r="AQ1108" s="14" t="s">
        <v>1336</v>
      </c>
      <c r="AR1108" s="15" t="s">
        <v>1335</v>
      </c>
      <c r="AS1108" t="s">
        <v>3000</v>
      </c>
    </row>
    <row r="1109" spans="1:45" x14ac:dyDescent="0.2">
      <c r="A1109" t="s">
        <v>1326</v>
      </c>
      <c r="B1109" s="15" t="s">
        <v>1146</v>
      </c>
      <c r="C1109" s="15" t="s">
        <v>1149</v>
      </c>
      <c r="D1109" t="s">
        <v>1342</v>
      </c>
      <c r="E1109" t="s">
        <v>1343</v>
      </c>
      <c r="G1109" s="15" t="s">
        <v>1165</v>
      </c>
      <c r="H1109" s="14" t="s">
        <v>1165</v>
      </c>
      <c r="I1109" s="18" t="s">
        <v>1328</v>
      </c>
      <c r="J1109" s="18" t="s">
        <v>1337</v>
      </c>
      <c r="K1109" s="18" t="s">
        <v>1338</v>
      </c>
      <c r="L1109">
        <v>2000</v>
      </c>
      <c r="M1109" t="s">
        <v>1327</v>
      </c>
      <c r="O1109">
        <v>2005</v>
      </c>
      <c r="P1109">
        <v>2005</v>
      </c>
      <c r="Q1109" t="s">
        <v>1329</v>
      </c>
      <c r="R1109">
        <v>10</v>
      </c>
      <c r="T1109" t="s">
        <v>1330</v>
      </c>
      <c r="U1109" t="s">
        <v>1246</v>
      </c>
      <c r="V1109" s="9" t="s">
        <v>1332</v>
      </c>
      <c r="W1109">
        <v>35</v>
      </c>
      <c r="X1109" s="9" t="s">
        <v>1334</v>
      </c>
      <c r="Z1109">
        <v>12</v>
      </c>
      <c r="AD1109" t="s">
        <v>1165</v>
      </c>
      <c r="AF1109" t="s">
        <v>1165</v>
      </c>
      <c r="AI1109" t="s">
        <v>1165</v>
      </c>
      <c r="AJ1109" s="15" t="s">
        <v>1148</v>
      </c>
      <c r="AK1109" s="4">
        <v>31.471</v>
      </c>
      <c r="AP1109" s="15">
        <v>28</v>
      </c>
      <c r="AQ1109" s="14" t="s">
        <v>1336</v>
      </c>
      <c r="AR1109" s="15" t="s">
        <v>1335</v>
      </c>
      <c r="AS1109" t="s">
        <v>3000</v>
      </c>
    </row>
    <row r="1110" spans="1:45" x14ac:dyDescent="0.2">
      <c r="A1110" t="s">
        <v>1326</v>
      </c>
      <c r="B1110" s="15" t="s">
        <v>1146</v>
      </c>
      <c r="C1110" s="15" t="s">
        <v>1149</v>
      </c>
      <c r="D1110" t="s">
        <v>1342</v>
      </c>
      <c r="E1110" t="s">
        <v>1343</v>
      </c>
      <c r="G1110" s="15" t="s">
        <v>1165</v>
      </c>
      <c r="H1110" s="14" t="s">
        <v>1165</v>
      </c>
      <c r="I1110" s="18" t="s">
        <v>1328</v>
      </c>
      <c r="J1110" s="18" t="s">
        <v>1337</v>
      </c>
      <c r="K1110" s="18" t="s">
        <v>1338</v>
      </c>
      <c r="L1110">
        <v>2000</v>
      </c>
      <c r="M1110" t="s">
        <v>1327</v>
      </c>
      <c r="O1110">
        <v>2005</v>
      </c>
      <c r="P1110">
        <v>2005</v>
      </c>
      <c r="Q1110" t="s">
        <v>1329</v>
      </c>
      <c r="R1110">
        <v>10</v>
      </c>
      <c r="T1110" t="s">
        <v>1330</v>
      </c>
      <c r="U1110" t="s">
        <v>1246</v>
      </c>
      <c r="V1110" s="9" t="s">
        <v>1332</v>
      </c>
      <c r="W1110">
        <v>35</v>
      </c>
      <c r="X1110" s="9" t="s">
        <v>1333</v>
      </c>
      <c r="Z1110">
        <v>0</v>
      </c>
      <c r="AD1110" t="s">
        <v>1165</v>
      </c>
      <c r="AF1110" t="s">
        <v>1165</v>
      </c>
      <c r="AI1110" t="s">
        <v>1165</v>
      </c>
      <c r="AJ1110" s="15" t="s">
        <v>1148</v>
      </c>
      <c r="AK1110" s="15">
        <v>0</v>
      </c>
      <c r="AP1110" s="15">
        <v>28</v>
      </c>
      <c r="AQ1110" s="14" t="s">
        <v>1336</v>
      </c>
      <c r="AR1110" s="15" t="s">
        <v>1335</v>
      </c>
      <c r="AS1110" t="s">
        <v>3000</v>
      </c>
    </row>
    <row r="1111" spans="1:45" x14ac:dyDescent="0.2">
      <c r="A1111" t="s">
        <v>1326</v>
      </c>
      <c r="B1111" s="15" t="s">
        <v>1146</v>
      </c>
      <c r="C1111" s="15" t="s">
        <v>1149</v>
      </c>
      <c r="D1111" t="s">
        <v>1342</v>
      </c>
      <c r="E1111" t="s">
        <v>1343</v>
      </c>
      <c r="G1111" s="15" t="s">
        <v>1165</v>
      </c>
      <c r="H1111" s="14" t="s">
        <v>1165</v>
      </c>
      <c r="I1111" s="18" t="s">
        <v>1328</v>
      </c>
      <c r="J1111" s="18" t="s">
        <v>1337</v>
      </c>
      <c r="K1111" s="18" t="s">
        <v>1338</v>
      </c>
      <c r="L1111">
        <v>2000</v>
      </c>
      <c r="M1111" t="s">
        <v>1327</v>
      </c>
      <c r="O1111">
        <v>2005</v>
      </c>
      <c r="P1111">
        <v>2005</v>
      </c>
      <c r="Q1111" t="s">
        <v>1329</v>
      </c>
      <c r="R1111">
        <v>10</v>
      </c>
      <c r="T1111" t="s">
        <v>1330</v>
      </c>
      <c r="U1111" t="s">
        <v>1246</v>
      </c>
      <c r="V1111" s="9" t="s">
        <v>1332</v>
      </c>
      <c r="W1111">
        <v>35</v>
      </c>
      <c r="X1111" s="9" t="s">
        <v>1264</v>
      </c>
      <c r="Z1111">
        <v>0</v>
      </c>
      <c r="AD1111" t="s">
        <v>1165</v>
      </c>
      <c r="AF1111" t="s">
        <v>1165</v>
      </c>
      <c r="AI1111" t="s">
        <v>1165</v>
      </c>
      <c r="AJ1111" s="15" t="s">
        <v>1148</v>
      </c>
      <c r="AK1111" s="15">
        <v>0</v>
      </c>
      <c r="AP1111" s="15">
        <v>28</v>
      </c>
      <c r="AQ1111" s="14" t="s">
        <v>1336</v>
      </c>
      <c r="AR1111" s="15" t="s">
        <v>1335</v>
      </c>
      <c r="AS1111" t="s">
        <v>3000</v>
      </c>
    </row>
    <row r="1112" spans="1:45" x14ac:dyDescent="0.2">
      <c r="A1112" t="s">
        <v>1326</v>
      </c>
      <c r="B1112" s="15" t="s">
        <v>1146</v>
      </c>
      <c r="C1112" s="15" t="s">
        <v>1149</v>
      </c>
      <c r="D1112" t="s">
        <v>1342</v>
      </c>
      <c r="E1112" t="s">
        <v>1343</v>
      </c>
      <c r="G1112" s="15" t="s">
        <v>1165</v>
      </c>
      <c r="H1112" s="14" t="s">
        <v>1165</v>
      </c>
      <c r="I1112" s="18" t="s">
        <v>1328</v>
      </c>
      <c r="J1112" s="18" t="s">
        <v>1337</v>
      </c>
      <c r="K1112" s="18" t="s">
        <v>1338</v>
      </c>
      <c r="L1112">
        <v>2000</v>
      </c>
      <c r="M1112" t="s">
        <v>1327</v>
      </c>
      <c r="O1112">
        <v>2005</v>
      </c>
      <c r="P1112">
        <v>2005</v>
      </c>
      <c r="Q1112" t="s">
        <v>1329</v>
      </c>
      <c r="R1112">
        <v>10</v>
      </c>
      <c r="T1112" t="s">
        <v>1330</v>
      </c>
      <c r="U1112" t="s">
        <v>1246</v>
      </c>
      <c r="V1112" s="9" t="s">
        <v>1332</v>
      </c>
      <c r="W1112">
        <v>35</v>
      </c>
      <c r="X1112" s="9" t="s">
        <v>1261</v>
      </c>
      <c r="Z1112">
        <v>0</v>
      </c>
      <c r="AD1112" t="s">
        <v>1165</v>
      </c>
      <c r="AF1112" t="s">
        <v>1165</v>
      </c>
      <c r="AI1112" t="s">
        <v>1165</v>
      </c>
      <c r="AJ1112" s="15" t="s">
        <v>1148</v>
      </c>
      <c r="AK1112" s="15">
        <v>0</v>
      </c>
      <c r="AP1112" s="15">
        <v>28</v>
      </c>
      <c r="AQ1112" s="14" t="s">
        <v>1336</v>
      </c>
      <c r="AR1112" s="15" t="s">
        <v>1335</v>
      </c>
      <c r="AS1112" t="s">
        <v>3000</v>
      </c>
    </row>
    <row r="1113" spans="1:45" x14ac:dyDescent="0.2">
      <c r="A1113" t="s">
        <v>1326</v>
      </c>
      <c r="B1113" s="15" t="s">
        <v>1146</v>
      </c>
      <c r="C1113" s="15" t="s">
        <v>1149</v>
      </c>
      <c r="D1113" t="s">
        <v>1342</v>
      </c>
      <c r="E1113" t="s">
        <v>1343</v>
      </c>
      <c r="G1113" s="15" t="s">
        <v>1165</v>
      </c>
      <c r="H1113" s="14" t="s">
        <v>1165</v>
      </c>
      <c r="I1113" s="18" t="s">
        <v>1328</v>
      </c>
      <c r="J1113" s="18" t="s">
        <v>1337</v>
      </c>
      <c r="K1113" s="18" t="s">
        <v>1338</v>
      </c>
      <c r="L1113">
        <v>2000</v>
      </c>
      <c r="M1113" t="s">
        <v>1327</v>
      </c>
      <c r="O1113">
        <v>2005</v>
      </c>
      <c r="P1113">
        <v>2005</v>
      </c>
      <c r="Q1113" t="s">
        <v>1329</v>
      </c>
      <c r="R1113">
        <v>10</v>
      </c>
      <c r="T1113" t="s">
        <v>1330</v>
      </c>
      <c r="U1113" t="s">
        <v>1246</v>
      </c>
      <c r="V1113" s="9" t="s">
        <v>1332</v>
      </c>
      <c r="W1113">
        <v>35</v>
      </c>
      <c r="X1113" s="9" t="s">
        <v>1334</v>
      </c>
      <c r="Z1113">
        <v>0</v>
      </c>
      <c r="AD1113" t="s">
        <v>1165</v>
      </c>
      <c r="AF1113" t="s">
        <v>1165</v>
      </c>
      <c r="AI1113" t="s">
        <v>1165</v>
      </c>
      <c r="AJ1113" s="15" t="s">
        <v>1148</v>
      </c>
      <c r="AK1113" s="15">
        <v>0</v>
      </c>
      <c r="AP1113" s="15">
        <v>28</v>
      </c>
      <c r="AQ1113" s="14" t="s">
        <v>1336</v>
      </c>
      <c r="AR1113" s="15" t="s">
        <v>1335</v>
      </c>
      <c r="AS1113" t="s">
        <v>3000</v>
      </c>
    </row>
    <row r="1114" spans="1:45" x14ac:dyDescent="0.2">
      <c r="A1114" t="s">
        <v>1326</v>
      </c>
      <c r="B1114" s="15" t="s">
        <v>1146</v>
      </c>
      <c r="C1114" s="15" t="s">
        <v>1149</v>
      </c>
      <c r="D1114" t="s">
        <v>1342</v>
      </c>
      <c r="E1114" t="s">
        <v>1343</v>
      </c>
      <c r="G1114" s="15" t="s">
        <v>1165</v>
      </c>
      <c r="H1114" s="14" t="s">
        <v>1165</v>
      </c>
      <c r="I1114" s="18" t="s">
        <v>1328</v>
      </c>
      <c r="J1114" s="18" t="s">
        <v>1337</v>
      </c>
      <c r="K1114" s="18" t="s">
        <v>1338</v>
      </c>
      <c r="L1114">
        <v>2000</v>
      </c>
      <c r="M1114" t="s">
        <v>1327</v>
      </c>
      <c r="O1114">
        <v>2005</v>
      </c>
      <c r="P1114">
        <v>2005</v>
      </c>
      <c r="Q1114" t="s">
        <v>1329</v>
      </c>
      <c r="R1114">
        <v>10</v>
      </c>
      <c r="T1114" t="s">
        <v>1330</v>
      </c>
      <c r="U1114" t="s">
        <v>1246</v>
      </c>
      <c r="V1114" s="9" t="s">
        <v>1332</v>
      </c>
      <c r="W1114">
        <v>70</v>
      </c>
      <c r="X1114" s="9" t="s">
        <v>1333</v>
      </c>
      <c r="Z1114">
        <v>12</v>
      </c>
      <c r="AD1114" t="s">
        <v>1165</v>
      </c>
      <c r="AF1114" t="s">
        <v>1165</v>
      </c>
      <c r="AI1114" t="s">
        <v>1165</v>
      </c>
      <c r="AJ1114" s="15" t="s">
        <v>1148</v>
      </c>
      <c r="AK1114" s="15">
        <v>40.293999999999997</v>
      </c>
      <c r="AP1114" s="15">
        <v>28</v>
      </c>
      <c r="AQ1114" s="14" t="s">
        <v>1336</v>
      </c>
      <c r="AR1114" s="15" t="s">
        <v>1335</v>
      </c>
      <c r="AS1114" t="s">
        <v>3000</v>
      </c>
    </row>
    <row r="1115" spans="1:45" x14ac:dyDescent="0.2">
      <c r="A1115" t="s">
        <v>1326</v>
      </c>
      <c r="B1115" s="15" t="s">
        <v>1146</v>
      </c>
      <c r="C1115" s="15" t="s">
        <v>1149</v>
      </c>
      <c r="D1115" t="s">
        <v>1342</v>
      </c>
      <c r="E1115" t="s">
        <v>1343</v>
      </c>
      <c r="G1115" s="15" t="s">
        <v>1165</v>
      </c>
      <c r="H1115" s="14" t="s">
        <v>1165</v>
      </c>
      <c r="I1115" s="18" t="s">
        <v>1328</v>
      </c>
      <c r="J1115" s="18" t="s">
        <v>1337</v>
      </c>
      <c r="K1115" s="18" t="s">
        <v>1338</v>
      </c>
      <c r="L1115">
        <v>2000</v>
      </c>
      <c r="M1115" t="s">
        <v>1327</v>
      </c>
      <c r="O1115">
        <v>2005</v>
      </c>
      <c r="P1115">
        <v>2005</v>
      </c>
      <c r="Q1115" t="s">
        <v>1329</v>
      </c>
      <c r="R1115">
        <v>10</v>
      </c>
      <c r="T1115" t="s">
        <v>1330</v>
      </c>
      <c r="U1115" t="s">
        <v>1246</v>
      </c>
      <c r="V1115" s="9" t="s">
        <v>1332</v>
      </c>
      <c r="W1115">
        <v>70</v>
      </c>
      <c r="X1115" s="9" t="s">
        <v>1264</v>
      </c>
      <c r="Z1115">
        <v>12</v>
      </c>
      <c r="AD1115" t="s">
        <v>1165</v>
      </c>
      <c r="AF1115" t="s">
        <v>1165</v>
      </c>
      <c r="AI1115" t="s">
        <v>1165</v>
      </c>
      <c r="AJ1115" s="15" t="s">
        <v>1148</v>
      </c>
      <c r="AK1115" s="15">
        <v>62.058999999999997</v>
      </c>
      <c r="AP1115" s="15">
        <v>28</v>
      </c>
      <c r="AQ1115" s="14" t="s">
        <v>1336</v>
      </c>
      <c r="AR1115" s="15" t="s">
        <v>1335</v>
      </c>
      <c r="AS1115" t="s">
        <v>3000</v>
      </c>
    </row>
    <row r="1116" spans="1:45" x14ac:dyDescent="0.2">
      <c r="A1116" t="s">
        <v>1326</v>
      </c>
      <c r="B1116" s="15" t="s">
        <v>1146</v>
      </c>
      <c r="C1116" s="15" t="s">
        <v>1149</v>
      </c>
      <c r="D1116" t="s">
        <v>1342</v>
      </c>
      <c r="E1116" t="s">
        <v>1343</v>
      </c>
      <c r="G1116" s="15" t="s">
        <v>1165</v>
      </c>
      <c r="H1116" s="14" t="s">
        <v>1165</v>
      </c>
      <c r="I1116" s="18" t="s">
        <v>1328</v>
      </c>
      <c r="J1116" s="18" t="s">
        <v>1337</v>
      </c>
      <c r="K1116" s="18" t="s">
        <v>1338</v>
      </c>
      <c r="L1116">
        <v>2000</v>
      </c>
      <c r="M1116" t="s">
        <v>1327</v>
      </c>
      <c r="O1116">
        <v>2005</v>
      </c>
      <c r="P1116">
        <v>2005</v>
      </c>
      <c r="Q1116" t="s">
        <v>1329</v>
      </c>
      <c r="R1116">
        <v>10</v>
      </c>
      <c r="T1116" t="s">
        <v>1330</v>
      </c>
      <c r="U1116" t="s">
        <v>1246</v>
      </c>
      <c r="V1116" s="9" t="s">
        <v>1332</v>
      </c>
      <c r="W1116">
        <v>70</v>
      </c>
      <c r="X1116" s="9" t="s">
        <v>1261</v>
      </c>
      <c r="Z1116">
        <v>12</v>
      </c>
      <c r="AD1116" t="s">
        <v>1165</v>
      </c>
      <c r="AF1116" t="s">
        <v>1165</v>
      </c>
      <c r="AI1116" t="s">
        <v>1165</v>
      </c>
      <c r="AJ1116" s="15" t="s">
        <v>1148</v>
      </c>
      <c r="AK1116" s="15">
        <v>57.353000000000002</v>
      </c>
      <c r="AP1116" s="15">
        <v>28</v>
      </c>
      <c r="AQ1116" s="14" t="s">
        <v>1336</v>
      </c>
      <c r="AR1116" s="15" t="s">
        <v>1335</v>
      </c>
      <c r="AS1116" t="s">
        <v>3000</v>
      </c>
    </row>
    <row r="1117" spans="1:45" x14ac:dyDescent="0.2">
      <c r="A1117" t="s">
        <v>1326</v>
      </c>
      <c r="B1117" s="15" t="s">
        <v>1146</v>
      </c>
      <c r="C1117" s="15" t="s">
        <v>1149</v>
      </c>
      <c r="D1117" t="s">
        <v>1342</v>
      </c>
      <c r="E1117" t="s">
        <v>1343</v>
      </c>
      <c r="G1117" s="15" t="s">
        <v>1165</v>
      </c>
      <c r="H1117" s="14" t="s">
        <v>1165</v>
      </c>
      <c r="I1117" s="18" t="s">
        <v>1328</v>
      </c>
      <c r="J1117" s="18" t="s">
        <v>1337</v>
      </c>
      <c r="K1117" s="18" t="s">
        <v>1338</v>
      </c>
      <c r="L1117">
        <v>2000</v>
      </c>
      <c r="M1117" t="s">
        <v>1327</v>
      </c>
      <c r="O1117">
        <v>2005</v>
      </c>
      <c r="P1117">
        <v>2005</v>
      </c>
      <c r="Q1117" t="s">
        <v>1329</v>
      </c>
      <c r="R1117">
        <v>10</v>
      </c>
      <c r="T1117" t="s">
        <v>1330</v>
      </c>
      <c r="U1117" t="s">
        <v>1246</v>
      </c>
      <c r="V1117" s="9" t="s">
        <v>1332</v>
      </c>
      <c r="W1117">
        <v>70</v>
      </c>
      <c r="X1117" s="9" t="s">
        <v>1334</v>
      </c>
      <c r="Z1117">
        <v>12</v>
      </c>
      <c r="AD1117" t="s">
        <v>1165</v>
      </c>
      <c r="AF1117" t="s">
        <v>1165</v>
      </c>
      <c r="AI1117" t="s">
        <v>1165</v>
      </c>
      <c r="AJ1117" s="15" t="s">
        <v>1148</v>
      </c>
      <c r="AK1117" s="4">
        <v>59.411999999999999</v>
      </c>
      <c r="AP1117" s="15">
        <v>28</v>
      </c>
      <c r="AQ1117" s="14" t="s">
        <v>1336</v>
      </c>
      <c r="AR1117" s="15" t="s">
        <v>1335</v>
      </c>
      <c r="AS1117" t="s">
        <v>3000</v>
      </c>
    </row>
    <row r="1118" spans="1:45" x14ac:dyDescent="0.2">
      <c r="A1118" t="s">
        <v>1326</v>
      </c>
      <c r="B1118" s="15" t="s">
        <v>1146</v>
      </c>
      <c r="C1118" s="15" t="s">
        <v>1149</v>
      </c>
      <c r="D1118" t="s">
        <v>1342</v>
      </c>
      <c r="E1118" t="s">
        <v>1343</v>
      </c>
      <c r="G1118" s="15" t="s">
        <v>1165</v>
      </c>
      <c r="H1118" s="14" t="s">
        <v>1165</v>
      </c>
      <c r="I1118" s="18" t="s">
        <v>1328</v>
      </c>
      <c r="J1118" s="18" t="s">
        <v>1337</v>
      </c>
      <c r="K1118" s="18" t="s">
        <v>1338</v>
      </c>
      <c r="L1118">
        <v>2000</v>
      </c>
      <c r="M1118" t="s">
        <v>1327</v>
      </c>
      <c r="O1118">
        <v>2005</v>
      </c>
      <c r="P1118">
        <v>2005</v>
      </c>
      <c r="Q1118" t="s">
        <v>1329</v>
      </c>
      <c r="R1118">
        <v>10</v>
      </c>
      <c r="T1118" t="s">
        <v>1330</v>
      </c>
      <c r="U1118" t="s">
        <v>1246</v>
      </c>
      <c r="V1118" s="9" t="s">
        <v>1332</v>
      </c>
      <c r="W1118">
        <v>70</v>
      </c>
      <c r="X1118" s="9" t="s">
        <v>1333</v>
      </c>
      <c r="Z1118">
        <v>0</v>
      </c>
      <c r="AD1118" t="s">
        <v>1165</v>
      </c>
      <c r="AF1118" t="s">
        <v>1165</v>
      </c>
      <c r="AI1118" t="s">
        <v>1165</v>
      </c>
      <c r="AJ1118" s="15" t="s">
        <v>1148</v>
      </c>
      <c r="AK1118" s="15">
        <v>0</v>
      </c>
      <c r="AP1118" s="15">
        <v>28</v>
      </c>
      <c r="AQ1118" s="14" t="s">
        <v>1336</v>
      </c>
      <c r="AR1118" s="15" t="s">
        <v>1335</v>
      </c>
      <c r="AS1118" t="s">
        <v>3000</v>
      </c>
    </row>
    <row r="1119" spans="1:45" x14ac:dyDescent="0.2">
      <c r="A1119" t="s">
        <v>1326</v>
      </c>
      <c r="B1119" s="15" t="s">
        <v>1146</v>
      </c>
      <c r="C1119" s="15" t="s">
        <v>1149</v>
      </c>
      <c r="D1119" t="s">
        <v>1342</v>
      </c>
      <c r="E1119" t="s">
        <v>1343</v>
      </c>
      <c r="G1119" s="15" t="s">
        <v>1165</v>
      </c>
      <c r="H1119" s="14" t="s">
        <v>1165</v>
      </c>
      <c r="I1119" s="18" t="s">
        <v>1328</v>
      </c>
      <c r="J1119" s="18" t="s">
        <v>1337</v>
      </c>
      <c r="K1119" s="18" t="s">
        <v>1338</v>
      </c>
      <c r="L1119">
        <v>2000</v>
      </c>
      <c r="M1119" t="s">
        <v>1327</v>
      </c>
      <c r="O1119">
        <v>2005</v>
      </c>
      <c r="P1119">
        <v>2005</v>
      </c>
      <c r="Q1119" t="s">
        <v>1329</v>
      </c>
      <c r="R1119">
        <v>10</v>
      </c>
      <c r="T1119" t="s">
        <v>1330</v>
      </c>
      <c r="U1119" t="s">
        <v>1246</v>
      </c>
      <c r="V1119" s="9" t="s">
        <v>1332</v>
      </c>
      <c r="W1119">
        <v>70</v>
      </c>
      <c r="X1119" s="9" t="s">
        <v>1264</v>
      </c>
      <c r="Z1119">
        <v>0</v>
      </c>
      <c r="AD1119" t="s">
        <v>1165</v>
      </c>
      <c r="AF1119" t="s">
        <v>1165</v>
      </c>
      <c r="AI1119" t="s">
        <v>1165</v>
      </c>
      <c r="AJ1119" s="15" t="s">
        <v>1148</v>
      </c>
      <c r="AK1119" s="15">
        <v>0</v>
      </c>
      <c r="AP1119" s="15">
        <v>28</v>
      </c>
      <c r="AQ1119" s="14" t="s">
        <v>1336</v>
      </c>
      <c r="AR1119" s="15" t="s">
        <v>1335</v>
      </c>
      <c r="AS1119" t="s">
        <v>3000</v>
      </c>
    </row>
    <row r="1120" spans="1:45" x14ac:dyDescent="0.2">
      <c r="A1120" t="s">
        <v>1326</v>
      </c>
      <c r="B1120" s="15" t="s">
        <v>1146</v>
      </c>
      <c r="C1120" s="15" t="s">
        <v>1149</v>
      </c>
      <c r="D1120" t="s">
        <v>1342</v>
      </c>
      <c r="E1120" t="s">
        <v>1343</v>
      </c>
      <c r="G1120" s="15" t="s">
        <v>1165</v>
      </c>
      <c r="H1120" s="14" t="s">
        <v>1165</v>
      </c>
      <c r="I1120" s="18" t="s">
        <v>1328</v>
      </c>
      <c r="J1120" s="18" t="s">
        <v>1337</v>
      </c>
      <c r="K1120" s="18" t="s">
        <v>1338</v>
      </c>
      <c r="L1120">
        <v>2000</v>
      </c>
      <c r="M1120" t="s">
        <v>1327</v>
      </c>
      <c r="O1120">
        <v>2005</v>
      </c>
      <c r="P1120">
        <v>2005</v>
      </c>
      <c r="Q1120" t="s">
        <v>1329</v>
      </c>
      <c r="R1120">
        <v>10</v>
      </c>
      <c r="T1120" t="s">
        <v>1330</v>
      </c>
      <c r="U1120" t="s">
        <v>1246</v>
      </c>
      <c r="V1120" s="9" t="s">
        <v>1332</v>
      </c>
      <c r="W1120">
        <v>70</v>
      </c>
      <c r="X1120" s="9" t="s">
        <v>1261</v>
      </c>
      <c r="Z1120">
        <v>0</v>
      </c>
      <c r="AD1120" t="s">
        <v>1165</v>
      </c>
      <c r="AF1120" t="s">
        <v>1165</v>
      </c>
      <c r="AI1120" t="s">
        <v>1165</v>
      </c>
      <c r="AJ1120" s="15" t="s">
        <v>1148</v>
      </c>
      <c r="AK1120" s="15">
        <v>0</v>
      </c>
      <c r="AP1120" s="15">
        <v>28</v>
      </c>
      <c r="AQ1120" s="14" t="s">
        <v>1336</v>
      </c>
      <c r="AR1120" s="15" t="s">
        <v>1335</v>
      </c>
      <c r="AS1120" t="s">
        <v>3000</v>
      </c>
    </row>
    <row r="1121" spans="1:45" x14ac:dyDescent="0.2">
      <c r="A1121" t="s">
        <v>1326</v>
      </c>
      <c r="B1121" s="15" t="s">
        <v>1146</v>
      </c>
      <c r="C1121" s="15" t="s">
        <v>1149</v>
      </c>
      <c r="D1121" t="s">
        <v>1342</v>
      </c>
      <c r="E1121" t="s">
        <v>1343</v>
      </c>
      <c r="G1121" s="15" t="s">
        <v>1165</v>
      </c>
      <c r="H1121" s="14" t="s">
        <v>1165</v>
      </c>
      <c r="I1121" s="18" t="s">
        <v>1328</v>
      </c>
      <c r="J1121" s="18" t="s">
        <v>1337</v>
      </c>
      <c r="K1121" s="18" t="s">
        <v>1338</v>
      </c>
      <c r="L1121">
        <v>2000</v>
      </c>
      <c r="M1121" t="s">
        <v>1327</v>
      </c>
      <c r="O1121">
        <v>2005</v>
      </c>
      <c r="P1121">
        <v>2005</v>
      </c>
      <c r="Q1121" t="s">
        <v>1329</v>
      </c>
      <c r="R1121">
        <v>10</v>
      </c>
      <c r="T1121" t="s">
        <v>1330</v>
      </c>
      <c r="U1121" t="s">
        <v>1246</v>
      </c>
      <c r="V1121" s="9" t="s">
        <v>1332</v>
      </c>
      <c r="W1121">
        <v>70</v>
      </c>
      <c r="X1121" s="9" t="s">
        <v>1334</v>
      </c>
      <c r="Z1121">
        <v>0</v>
      </c>
      <c r="AD1121" t="s">
        <v>1165</v>
      </c>
      <c r="AF1121" t="s">
        <v>1165</v>
      </c>
      <c r="AI1121" t="s">
        <v>1165</v>
      </c>
      <c r="AJ1121" s="15" t="s">
        <v>1148</v>
      </c>
      <c r="AK1121" s="15">
        <v>0</v>
      </c>
      <c r="AP1121" s="15">
        <v>28</v>
      </c>
      <c r="AQ1121" s="14" t="s">
        <v>1336</v>
      </c>
      <c r="AR1121" s="15" t="s">
        <v>1335</v>
      </c>
      <c r="AS1121" t="s">
        <v>3000</v>
      </c>
    </row>
    <row r="1122" spans="1:45" x14ac:dyDescent="0.2">
      <c r="A1122" t="s">
        <v>1326</v>
      </c>
      <c r="B1122" s="15" t="s">
        <v>1146</v>
      </c>
      <c r="C1122" s="15" t="s">
        <v>1149</v>
      </c>
      <c r="D1122" t="s">
        <v>1342</v>
      </c>
      <c r="E1122" t="s">
        <v>1343</v>
      </c>
      <c r="G1122" s="15" t="s">
        <v>1165</v>
      </c>
      <c r="H1122" s="14" t="s">
        <v>1165</v>
      </c>
      <c r="I1122" s="18" t="s">
        <v>1328</v>
      </c>
      <c r="J1122" s="18" t="s">
        <v>1337</v>
      </c>
      <c r="K1122" s="18" t="s">
        <v>1338</v>
      </c>
      <c r="L1122">
        <v>2000</v>
      </c>
      <c r="M1122" t="s">
        <v>1327</v>
      </c>
      <c r="O1122">
        <v>2005</v>
      </c>
      <c r="P1122">
        <v>2005</v>
      </c>
      <c r="Q1122" t="s">
        <v>1329</v>
      </c>
      <c r="R1122">
        <v>10</v>
      </c>
      <c r="T1122" t="s">
        <v>1330</v>
      </c>
      <c r="U1122" t="s">
        <v>1246</v>
      </c>
      <c r="V1122" s="9" t="s">
        <v>1332</v>
      </c>
      <c r="W1122">
        <v>140</v>
      </c>
      <c r="X1122" s="9" t="s">
        <v>1333</v>
      </c>
      <c r="Z1122">
        <v>12</v>
      </c>
      <c r="AD1122" t="s">
        <v>1165</v>
      </c>
      <c r="AF1122" t="s">
        <v>1165</v>
      </c>
      <c r="AI1122" t="s">
        <v>1165</v>
      </c>
      <c r="AJ1122" s="15" t="s">
        <v>1148</v>
      </c>
      <c r="AK1122" s="15">
        <v>62.058999999999997</v>
      </c>
      <c r="AP1122" s="15">
        <v>28</v>
      </c>
      <c r="AQ1122" s="14" t="s">
        <v>1336</v>
      </c>
      <c r="AR1122" s="15" t="s">
        <v>1335</v>
      </c>
      <c r="AS1122" t="s">
        <v>3000</v>
      </c>
    </row>
    <row r="1123" spans="1:45" x14ac:dyDescent="0.2">
      <c r="A1123" t="s">
        <v>1326</v>
      </c>
      <c r="B1123" s="15" t="s">
        <v>1146</v>
      </c>
      <c r="C1123" s="15" t="s">
        <v>1149</v>
      </c>
      <c r="D1123" t="s">
        <v>1342</v>
      </c>
      <c r="E1123" t="s">
        <v>1343</v>
      </c>
      <c r="G1123" s="15" t="s">
        <v>1165</v>
      </c>
      <c r="H1123" s="14" t="s">
        <v>1165</v>
      </c>
      <c r="I1123" s="18" t="s">
        <v>1328</v>
      </c>
      <c r="J1123" s="18" t="s">
        <v>1337</v>
      </c>
      <c r="K1123" s="18" t="s">
        <v>1338</v>
      </c>
      <c r="L1123">
        <v>2000</v>
      </c>
      <c r="M1123" t="s">
        <v>1327</v>
      </c>
      <c r="O1123">
        <v>2005</v>
      </c>
      <c r="P1123">
        <v>2005</v>
      </c>
      <c r="Q1123" t="s">
        <v>1329</v>
      </c>
      <c r="R1123">
        <v>10</v>
      </c>
      <c r="T1123" t="s">
        <v>1330</v>
      </c>
      <c r="U1123" t="s">
        <v>1246</v>
      </c>
      <c r="V1123" s="9" t="s">
        <v>1332</v>
      </c>
      <c r="W1123">
        <v>140</v>
      </c>
      <c r="X1123" s="9" t="s">
        <v>1264</v>
      </c>
      <c r="Z1123">
        <v>12</v>
      </c>
      <c r="AD1123" t="s">
        <v>1165</v>
      </c>
      <c r="AF1123" t="s">
        <v>1165</v>
      </c>
      <c r="AI1123" t="s">
        <v>1165</v>
      </c>
      <c r="AJ1123" s="15" t="s">
        <v>1148</v>
      </c>
      <c r="AK1123" s="15">
        <v>83.234999999999999</v>
      </c>
      <c r="AP1123" s="15">
        <v>28</v>
      </c>
      <c r="AQ1123" s="14" t="s">
        <v>1336</v>
      </c>
      <c r="AR1123" s="15" t="s">
        <v>1335</v>
      </c>
      <c r="AS1123" t="s">
        <v>3000</v>
      </c>
    </row>
    <row r="1124" spans="1:45" x14ac:dyDescent="0.2">
      <c r="A1124" t="s">
        <v>1326</v>
      </c>
      <c r="B1124" s="15" t="s">
        <v>1146</v>
      </c>
      <c r="C1124" s="15" t="s">
        <v>1149</v>
      </c>
      <c r="D1124" t="s">
        <v>1342</v>
      </c>
      <c r="E1124" t="s">
        <v>1343</v>
      </c>
      <c r="G1124" s="15" t="s">
        <v>1165</v>
      </c>
      <c r="H1124" s="14" t="s">
        <v>1165</v>
      </c>
      <c r="I1124" s="18" t="s">
        <v>1328</v>
      </c>
      <c r="J1124" s="18" t="s">
        <v>1337</v>
      </c>
      <c r="K1124" s="18" t="s">
        <v>1338</v>
      </c>
      <c r="L1124">
        <v>2000</v>
      </c>
      <c r="M1124" t="s">
        <v>1327</v>
      </c>
      <c r="O1124">
        <v>2005</v>
      </c>
      <c r="P1124">
        <v>2005</v>
      </c>
      <c r="Q1124" t="s">
        <v>1329</v>
      </c>
      <c r="R1124">
        <v>10</v>
      </c>
      <c r="T1124" t="s">
        <v>1330</v>
      </c>
      <c r="U1124" t="s">
        <v>1246</v>
      </c>
      <c r="V1124" s="9" t="s">
        <v>1332</v>
      </c>
      <c r="W1124">
        <v>140</v>
      </c>
      <c r="X1124" s="9" t="s">
        <v>1261</v>
      </c>
      <c r="Z1124">
        <v>12</v>
      </c>
      <c r="AD1124" t="s">
        <v>1165</v>
      </c>
      <c r="AF1124" t="s">
        <v>1165</v>
      </c>
      <c r="AI1124" t="s">
        <v>1165</v>
      </c>
      <c r="AJ1124" s="15" t="s">
        <v>1148</v>
      </c>
      <c r="AK1124" s="15">
        <v>69.706000000000003</v>
      </c>
      <c r="AP1124" s="15">
        <v>28</v>
      </c>
      <c r="AQ1124" s="14" t="s">
        <v>1336</v>
      </c>
      <c r="AR1124" s="15" t="s">
        <v>1335</v>
      </c>
      <c r="AS1124" t="s">
        <v>3000</v>
      </c>
    </row>
    <row r="1125" spans="1:45" x14ac:dyDescent="0.2">
      <c r="A1125" t="s">
        <v>1326</v>
      </c>
      <c r="B1125" s="15" t="s">
        <v>1146</v>
      </c>
      <c r="C1125" s="15" t="s">
        <v>1149</v>
      </c>
      <c r="D1125" t="s">
        <v>1342</v>
      </c>
      <c r="E1125" t="s">
        <v>1343</v>
      </c>
      <c r="G1125" s="15" t="s">
        <v>1165</v>
      </c>
      <c r="H1125" s="14" t="s">
        <v>1165</v>
      </c>
      <c r="I1125" s="18" t="s">
        <v>1328</v>
      </c>
      <c r="J1125" s="18" t="s">
        <v>1337</v>
      </c>
      <c r="K1125" s="18" t="s">
        <v>1338</v>
      </c>
      <c r="L1125">
        <v>2000</v>
      </c>
      <c r="M1125" t="s">
        <v>1327</v>
      </c>
      <c r="O1125">
        <v>2005</v>
      </c>
      <c r="P1125">
        <v>2005</v>
      </c>
      <c r="Q1125" t="s">
        <v>1329</v>
      </c>
      <c r="R1125">
        <v>10</v>
      </c>
      <c r="T1125" t="s">
        <v>1330</v>
      </c>
      <c r="U1125" t="s">
        <v>1246</v>
      </c>
      <c r="V1125" s="9" t="s">
        <v>1332</v>
      </c>
      <c r="W1125">
        <v>140</v>
      </c>
      <c r="X1125" s="9" t="s">
        <v>1334</v>
      </c>
      <c r="Z1125">
        <v>12</v>
      </c>
      <c r="AD1125" t="s">
        <v>1165</v>
      </c>
      <c r="AF1125" t="s">
        <v>1165</v>
      </c>
      <c r="AI1125" t="s">
        <v>1165</v>
      </c>
      <c r="AJ1125" s="15" t="s">
        <v>1148</v>
      </c>
      <c r="AK1125" s="4">
        <v>74.412000000000006</v>
      </c>
      <c r="AP1125" s="15">
        <v>28</v>
      </c>
      <c r="AQ1125" s="14" t="s">
        <v>1336</v>
      </c>
      <c r="AR1125" s="15" t="s">
        <v>1335</v>
      </c>
      <c r="AS1125" t="s">
        <v>3000</v>
      </c>
    </row>
    <row r="1126" spans="1:45" x14ac:dyDescent="0.2">
      <c r="A1126" t="s">
        <v>1326</v>
      </c>
      <c r="B1126" s="15" t="s">
        <v>1146</v>
      </c>
      <c r="C1126" s="15" t="s">
        <v>1149</v>
      </c>
      <c r="D1126" t="s">
        <v>1342</v>
      </c>
      <c r="E1126" t="s">
        <v>1343</v>
      </c>
      <c r="G1126" s="15" t="s">
        <v>1165</v>
      </c>
      <c r="H1126" s="14" t="s">
        <v>1165</v>
      </c>
      <c r="I1126" s="18" t="s">
        <v>1328</v>
      </c>
      <c r="J1126" s="18" t="s">
        <v>1337</v>
      </c>
      <c r="K1126" s="18" t="s">
        <v>1338</v>
      </c>
      <c r="L1126">
        <v>2000</v>
      </c>
      <c r="M1126" t="s">
        <v>1327</v>
      </c>
      <c r="O1126">
        <v>2005</v>
      </c>
      <c r="P1126">
        <v>2005</v>
      </c>
      <c r="Q1126" t="s">
        <v>1329</v>
      </c>
      <c r="R1126">
        <v>10</v>
      </c>
      <c r="T1126" t="s">
        <v>1330</v>
      </c>
      <c r="U1126" t="s">
        <v>1246</v>
      </c>
      <c r="V1126" s="9" t="s">
        <v>1332</v>
      </c>
      <c r="W1126">
        <v>140</v>
      </c>
      <c r="X1126" s="9" t="s">
        <v>1333</v>
      </c>
      <c r="Z1126">
        <v>0</v>
      </c>
      <c r="AD1126" t="s">
        <v>1165</v>
      </c>
      <c r="AF1126" t="s">
        <v>1165</v>
      </c>
      <c r="AI1126" t="s">
        <v>1165</v>
      </c>
      <c r="AJ1126" s="15" t="s">
        <v>1148</v>
      </c>
      <c r="AK1126" s="15">
        <v>0</v>
      </c>
      <c r="AP1126" s="15">
        <v>28</v>
      </c>
      <c r="AQ1126" s="14" t="s">
        <v>1336</v>
      </c>
      <c r="AR1126" s="15" t="s">
        <v>1335</v>
      </c>
      <c r="AS1126" t="s">
        <v>3000</v>
      </c>
    </row>
    <row r="1127" spans="1:45" x14ac:dyDescent="0.2">
      <c r="A1127" t="s">
        <v>1326</v>
      </c>
      <c r="B1127" s="15" t="s">
        <v>1146</v>
      </c>
      <c r="C1127" s="15" t="s">
        <v>1149</v>
      </c>
      <c r="D1127" t="s">
        <v>1342</v>
      </c>
      <c r="E1127" t="s">
        <v>1343</v>
      </c>
      <c r="G1127" s="15" t="s">
        <v>1165</v>
      </c>
      <c r="H1127" s="14" t="s">
        <v>1165</v>
      </c>
      <c r="I1127" s="18" t="s">
        <v>1328</v>
      </c>
      <c r="J1127" s="18" t="s">
        <v>1337</v>
      </c>
      <c r="K1127" s="18" t="s">
        <v>1338</v>
      </c>
      <c r="L1127">
        <v>2000</v>
      </c>
      <c r="M1127" t="s">
        <v>1327</v>
      </c>
      <c r="O1127">
        <v>2005</v>
      </c>
      <c r="P1127">
        <v>2005</v>
      </c>
      <c r="Q1127" t="s">
        <v>1329</v>
      </c>
      <c r="R1127">
        <v>10</v>
      </c>
      <c r="T1127" t="s">
        <v>1330</v>
      </c>
      <c r="U1127" t="s">
        <v>1246</v>
      </c>
      <c r="V1127" s="9" t="s">
        <v>1332</v>
      </c>
      <c r="W1127">
        <v>140</v>
      </c>
      <c r="X1127" s="9" t="s">
        <v>1264</v>
      </c>
      <c r="Z1127">
        <v>0</v>
      </c>
      <c r="AD1127" t="s">
        <v>1165</v>
      </c>
      <c r="AF1127" t="s">
        <v>1165</v>
      </c>
      <c r="AI1127" t="s">
        <v>1165</v>
      </c>
      <c r="AJ1127" s="15" t="s">
        <v>1148</v>
      </c>
      <c r="AK1127" s="15">
        <v>0</v>
      </c>
      <c r="AP1127" s="15">
        <v>28</v>
      </c>
      <c r="AQ1127" s="14" t="s">
        <v>1336</v>
      </c>
      <c r="AR1127" s="15" t="s">
        <v>1335</v>
      </c>
      <c r="AS1127" t="s">
        <v>3000</v>
      </c>
    </row>
    <row r="1128" spans="1:45" x14ac:dyDescent="0.2">
      <c r="A1128" t="s">
        <v>1326</v>
      </c>
      <c r="B1128" s="15" t="s">
        <v>1146</v>
      </c>
      <c r="C1128" s="15" t="s">
        <v>1149</v>
      </c>
      <c r="D1128" t="s">
        <v>1342</v>
      </c>
      <c r="E1128" t="s">
        <v>1343</v>
      </c>
      <c r="G1128" s="15" t="s">
        <v>1165</v>
      </c>
      <c r="H1128" s="14" t="s">
        <v>1165</v>
      </c>
      <c r="I1128" s="18" t="s">
        <v>1328</v>
      </c>
      <c r="J1128" s="18" t="s">
        <v>1337</v>
      </c>
      <c r="K1128" s="18" t="s">
        <v>1338</v>
      </c>
      <c r="L1128">
        <v>2000</v>
      </c>
      <c r="M1128" t="s">
        <v>1327</v>
      </c>
      <c r="O1128">
        <v>2005</v>
      </c>
      <c r="P1128">
        <v>2005</v>
      </c>
      <c r="Q1128" t="s">
        <v>1329</v>
      </c>
      <c r="R1128">
        <v>10</v>
      </c>
      <c r="T1128" t="s">
        <v>1330</v>
      </c>
      <c r="U1128" t="s">
        <v>1246</v>
      </c>
      <c r="V1128" s="9" t="s">
        <v>1332</v>
      </c>
      <c r="W1128">
        <v>140</v>
      </c>
      <c r="X1128" s="9" t="s">
        <v>1261</v>
      </c>
      <c r="Z1128">
        <v>0</v>
      </c>
      <c r="AD1128" t="s">
        <v>1165</v>
      </c>
      <c r="AF1128" t="s">
        <v>1165</v>
      </c>
      <c r="AI1128" t="s">
        <v>1165</v>
      </c>
      <c r="AJ1128" s="15" t="s">
        <v>1148</v>
      </c>
      <c r="AK1128" s="15">
        <v>0</v>
      </c>
      <c r="AP1128" s="15">
        <v>28</v>
      </c>
      <c r="AQ1128" s="14" t="s">
        <v>1336</v>
      </c>
      <c r="AR1128" s="15" t="s">
        <v>1335</v>
      </c>
      <c r="AS1128" t="s">
        <v>3000</v>
      </c>
    </row>
    <row r="1129" spans="1:45" x14ac:dyDescent="0.2">
      <c r="A1129" t="s">
        <v>1326</v>
      </c>
      <c r="B1129" s="15" t="s">
        <v>1146</v>
      </c>
      <c r="C1129" s="15" t="s">
        <v>1149</v>
      </c>
      <c r="D1129" t="s">
        <v>1342</v>
      </c>
      <c r="E1129" t="s">
        <v>1343</v>
      </c>
      <c r="G1129" s="15" t="s">
        <v>1165</v>
      </c>
      <c r="H1129" s="14" t="s">
        <v>1165</v>
      </c>
      <c r="I1129" s="18" t="s">
        <v>1328</v>
      </c>
      <c r="J1129" s="18" t="s">
        <v>1337</v>
      </c>
      <c r="K1129" s="18" t="s">
        <v>1338</v>
      </c>
      <c r="L1129">
        <v>2000</v>
      </c>
      <c r="M1129" t="s">
        <v>1327</v>
      </c>
      <c r="O1129">
        <v>2005</v>
      </c>
      <c r="P1129">
        <v>2005</v>
      </c>
      <c r="Q1129" t="s">
        <v>1329</v>
      </c>
      <c r="R1129">
        <v>10</v>
      </c>
      <c r="T1129" t="s">
        <v>1330</v>
      </c>
      <c r="U1129" t="s">
        <v>1246</v>
      </c>
      <c r="V1129" s="9" t="s">
        <v>1332</v>
      </c>
      <c r="W1129">
        <v>140</v>
      </c>
      <c r="X1129" s="9" t="s">
        <v>1334</v>
      </c>
      <c r="Z1129">
        <v>0</v>
      </c>
      <c r="AD1129" t="s">
        <v>1165</v>
      </c>
      <c r="AF1129" t="s">
        <v>1165</v>
      </c>
      <c r="AI1129" t="s">
        <v>1165</v>
      </c>
      <c r="AJ1129" s="15" t="s">
        <v>1148</v>
      </c>
      <c r="AK1129" s="15">
        <v>0</v>
      </c>
      <c r="AP1129" s="15">
        <v>28</v>
      </c>
      <c r="AQ1129" s="14" t="s">
        <v>1336</v>
      </c>
      <c r="AR1129" s="15" t="s">
        <v>1335</v>
      </c>
      <c r="AS1129" t="s">
        <v>3000</v>
      </c>
    </row>
    <row r="1130" spans="1:45" x14ac:dyDescent="0.2">
      <c r="A1130" t="s">
        <v>1326</v>
      </c>
      <c r="B1130" s="15" t="s">
        <v>1146</v>
      </c>
      <c r="C1130" s="15" t="s">
        <v>1149</v>
      </c>
      <c r="D1130" t="s">
        <v>1342</v>
      </c>
      <c r="E1130" t="s">
        <v>1343</v>
      </c>
      <c r="G1130" s="15" t="s">
        <v>1165</v>
      </c>
      <c r="H1130" s="14" t="s">
        <v>1165</v>
      </c>
      <c r="I1130" s="18" t="s">
        <v>1328</v>
      </c>
      <c r="J1130" s="18" t="s">
        <v>1337</v>
      </c>
      <c r="K1130" s="18" t="s">
        <v>1338</v>
      </c>
      <c r="L1130">
        <v>2000</v>
      </c>
      <c r="M1130" t="s">
        <v>1327</v>
      </c>
      <c r="O1130">
        <v>2005</v>
      </c>
      <c r="P1130">
        <v>2005</v>
      </c>
      <c r="Q1130" t="s">
        <v>1329</v>
      </c>
      <c r="R1130">
        <v>10</v>
      </c>
      <c r="T1130" t="s">
        <v>1330</v>
      </c>
      <c r="U1130" t="s">
        <v>1246</v>
      </c>
      <c r="V1130" s="9" t="s">
        <v>1332</v>
      </c>
      <c r="W1130">
        <v>210</v>
      </c>
      <c r="X1130" s="9" t="s">
        <v>1333</v>
      </c>
      <c r="Z1130">
        <v>12</v>
      </c>
      <c r="AD1130" t="s">
        <v>1165</v>
      </c>
      <c r="AF1130" t="s">
        <v>1165</v>
      </c>
      <c r="AI1130" t="s">
        <v>1165</v>
      </c>
      <c r="AJ1130" s="15" t="s">
        <v>1148</v>
      </c>
      <c r="AK1130" s="15">
        <v>68.528999999999996</v>
      </c>
      <c r="AP1130" s="15">
        <v>28</v>
      </c>
      <c r="AQ1130" s="14" t="s">
        <v>1336</v>
      </c>
      <c r="AR1130" s="15" t="s">
        <v>1335</v>
      </c>
      <c r="AS1130" t="s">
        <v>3000</v>
      </c>
    </row>
    <row r="1131" spans="1:45" x14ac:dyDescent="0.2">
      <c r="A1131" t="s">
        <v>1326</v>
      </c>
      <c r="B1131" s="15" t="s">
        <v>1146</v>
      </c>
      <c r="C1131" s="15" t="s">
        <v>1149</v>
      </c>
      <c r="D1131" t="s">
        <v>1342</v>
      </c>
      <c r="E1131" t="s">
        <v>1343</v>
      </c>
      <c r="G1131" s="15" t="s">
        <v>1165</v>
      </c>
      <c r="H1131" s="14" t="s">
        <v>1165</v>
      </c>
      <c r="I1131" s="18" t="s">
        <v>1328</v>
      </c>
      <c r="J1131" s="18" t="s">
        <v>1337</v>
      </c>
      <c r="K1131" s="18" t="s">
        <v>1338</v>
      </c>
      <c r="L1131">
        <v>2000</v>
      </c>
      <c r="M1131" t="s">
        <v>1327</v>
      </c>
      <c r="O1131">
        <v>2005</v>
      </c>
      <c r="P1131">
        <v>2005</v>
      </c>
      <c r="Q1131" t="s">
        <v>1329</v>
      </c>
      <c r="R1131">
        <v>10</v>
      </c>
      <c r="T1131" t="s">
        <v>1330</v>
      </c>
      <c r="U1131" t="s">
        <v>1246</v>
      </c>
      <c r="V1131" s="9" t="s">
        <v>1332</v>
      </c>
      <c r="W1131">
        <v>210</v>
      </c>
      <c r="X1131" s="9" t="s">
        <v>1264</v>
      </c>
      <c r="Z1131">
        <v>12</v>
      </c>
      <c r="AD1131" t="s">
        <v>1165</v>
      </c>
      <c r="AF1131" t="s">
        <v>1165</v>
      </c>
      <c r="AI1131" t="s">
        <v>1165</v>
      </c>
      <c r="AJ1131" s="15" t="s">
        <v>1148</v>
      </c>
      <c r="AK1131" s="15">
        <v>83.823999999999998</v>
      </c>
      <c r="AP1131" s="15">
        <v>28</v>
      </c>
      <c r="AQ1131" s="14" t="s">
        <v>1336</v>
      </c>
      <c r="AR1131" s="15" t="s">
        <v>1335</v>
      </c>
      <c r="AS1131" t="s">
        <v>3000</v>
      </c>
    </row>
    <row r="1132" spans="1:45" x14ac:dyDescent="0.2">
      <c r="A1132" t="s">
        <v>1326</v>
      </c>
      <c r="B1132" s="15" t="s">
        <v>1146</v>
      </c>
      <c r="C1132" s="15" t="s">
        <v>1149</v>
      </c>
      <c r="D1132" t="s">
        <v>1342</v>
      </c>
      <c r="E1132" t="s">
        <v>1343</v>
      </c>
      <c r="G1132" s="15" t="s">
        <v>1165</v>
      </c>
      <c r="H1132" s="14" t="s">
        <v>1165</v>
      </c>
      <c r="I1132" s="18" t="s">
        <v>1328</v>
      </c>
      <c r="J1132" s="18" t="s">
        <v>1337</v>
      </c>
      <c r="K1132" s="18" t="s">
        <v>1338</v>
      </c>
      <c r="L1132">
        <v>2000</v>
      </c>
      <c r="M1132" t="s">
        <v>1327</v>
      </c>
      <c r="O1132">
        <v>2005</v>
      </c>
      <c r="P1132">
        <v>2005</v>
      </c>
      <c r="Q1132" t="s">
        <v>1329</v>
      </c>
      <c r="R1132">
        <v>10</v>
      </c>
      <c r="T1132" t="s">
        <v>1330</v>
      </c>
      <c r="U1132" t="s">
        <v>1246</v>
      </c>
      <c r="V1132" s="9" t="s">
        <v>1332</v>
      </c>
      <c r="W1132">
        <v>210</v>
      </c>
      <c r="X1132" s="9" t="s">
        <v>1261</v>
      </c>
      <c r="Z1132">
        <v>12</v>
      </c>
      <c r="AD1132" t="s">
        <v>1165</v>
      </c>
      <c r="AF1132" t="s">
        <v>1165</v>
      </c>
      <c r="AI1132" t="s">
        <v>1165</v>
      </c>
      <c r="AJ1132" s="15" t="s">
        <v>1148</v>
      </c>
      <c r="AK1132" s="15">
        <v>75</v>
      </c>
      <c r="AP1132" s="15">
        <v>28</v>
      </c>
      <c r="AQ1132" s="14" t="s">
        <v>1336</v>
      </c>
      <c r="AR1132" s="15" t="s">
        <v>1335</v>
      </c>
      <c r="AS1132" t="s">
        <v>3000</v>
      </c>
    </row>
    <row r="1133" spans="1:45" x14ac:dyDescent="0.2">
      <c r="A1133" t="s">
        <v>1326</v>
      </c>
      <c r="B1133" s="15" t="s">
        <v>1146</v>
      </c>
      <c r="C1133" s="15" t="s">
        <v>1149</v>
      </c>
      <c r="D1133" t="s">
        <v>1342</v>
      </c>
      <c r="E1133" t="s">
        <v>1343</v>
      </c>
      <c r="G1133" s="15" t="s">
        <v>1165</v>
      </c>
      <c r="H1133" s="14" t="s">
        <v>1165</v>
      </c>
      <c r="I1133" s="18" t="s">
        <v>1328</v>
      </c>
      <c r="J1133" s="18" t="s">
        <v>1337</v>
      </c>
      <c r="K1133" s="18" t="s">
        <v>1338</v>
      </c>
      <c r="L1133">
        <v>2000</v>
      </c>
      <c r="M1133" t="s">
        <v>1327</v>
      </c>
      <c r="O1133">
        <v>2005</v>
      </c>
      <c r="P1133">
        <v>2005</v>
      </c>
      <c r="Q1133" t="s">
        <v>1329</v>
      </c>
      <c r="R1133">
        <v>10</v>
      </c>
      <c r="T1133" t="s">
        <v>1330</v>
      </c>
      <c r="U1133" t="s">
        <v>1246</v>
      </c>
      <c r="V1133" s="9" t="s">
        <v>1332</v>
      </c>
      <c r="W1133">
        <v>210</v>
      </c>
      <c r="X1133" s="9" t="s">
        <v>1334</v>
      </c>
      <c r="Z1133">
        <v>12</v>
      </c>
      <c r="AD1133" t="s">
        <v>1165</v>
      </c>
      <c r="AF1133" t="s">
        <v>1165</v>
      </c>
      <c r="AI1133" t="s">
        <v>1165</v>
      </c>
      <c r="AJ1133" s="15" t="s">
        <v>1148</v>
      </c>
      <c r="AK1133" s="4">
        <v>56.765000000000001</v>
      </c>
      <c r="AP1133" s="15">
        <v>28</v>
      </c>
      <c r="AQ1133" s="14" t="s">
        <v>1336</v>
      </c>
      <c r="AR1133" s="15" t="s">
        <v>1335</v>
      </c>
      <c r="AS1133" t="s">
        <v>3000</v>
      </c>
    </row>
    <row r="1134" spans="1:45" x14ac:dyDescent="0.2">
      <c r="A1134" t="s">
        <v>1326</v>
      </c>
      <c r="B1134" s="15" t="s">
        <v>1146</v>
      </c>
      <c r="C1134" s="15" t="s">
        <v>1149</v>
      </c>
      <c r="D1134" t="s">
        <v>1342</v>
      </c>
      <c r="E1134" t="s">
        <v>1343</v>
      </c>
      <c r="G1134" s="15" t="s">
        <v>1165</v>
      </c>
      <c r="H1134" s="14" t="s">
        <v>1165</v>
      </c>
      <c r="I1134" s="18" t="s">
        <v>1328</v>
      </c>
      <c r="J1134" s="18" t="s">
        <v>1337</v>
      </c>
      <c r="K1134" s="18" t="s">
        <v>1338</v>
      </c>
      <c r="L1134">
        <v>2000</v>
      </c>
      <c r="M1134" t="s">
        <v>1327</v>
      </c>
      <c r="O1134">
        <v>2005</v>
      </c>
      <c r="P1134">
        <v>2005</v>
      </c>
      <c r="Q1134" t="s">
        <v>1329</v>
      </c>
      <c r="R1134">
        <v>10</v>
      </c>
      <c r="T1134" t="s">
        <v>1330</v>
      </c>
      <c r="U1134" t="s">
        <v>1246</v>
      </c>
      <c r="V1134" s="9" t="s">
        <v>1332</v>
      </c>
      <c r="W1134">
        <v>210</v>
      </c>
      <c r="X1134" s="9" t="s">
        <v>1333</v>
      </c>
      <c r="Z1134">
        <v>0</v>
      </c>
      <c r="AD1134" t="s">
        <v>1165</v>
      </c>
      <c r="AF1134" t="s">
        <v>1165</v>
      </c>
      <c r="AI1134" t="s">
        <v>1165</v>
      </c>
      <c r="AJ1134" s="15" t="s">
        <v>1148</v>
      </c>
      <c r="AK1134" s="15">
        <v>0</v>
      </c>
      <c r="AP1134" s="15">
        <v>28</v>
      </c>
      <c r="AQ1134" s="14" t="s">
        <v>1336</v>
      </c>
      <c r="AR1134" s="15" t="s">
        <v>1335</v>
      </c>
      <c r="AS1134" t="s">
        <v>3000</v>
      </c>
    </row>
    <row r="1135" spans="1:45" x14ac:dyDescent="0.2">
      <c r="A1135" t="s">
        <v>1326</v>
      </c>
      <c r="B1135" s="15" t="s">
        <v>1146</v>
      </c>
      <c r="C1135" s="15" t="s">
        <v>1149</v>
      </c>
      <c r="D1135" t="s">
        <v>1342</v>
      </c>
      <c r="E1135" t="s">
        <v>1343</v>
      </c>
      <c r="G1135" s="15" t="s">
        <v>1165</v>
      </c>
      <c r="H1135" s="14" t="s">
        <v>1165</v>
      </c>
      <c r="I1135" s="18" t="s">
        <v>1328</v>
      </c>
      <c r="J1135" s="18" t="s">
        <v>1337</v>
      </c>
      <c r="K1135" s="18" t="s">
        <v>1338</v>
      </c>
      <c r="L1135">
        <v>2000</v>
      </c>
      <c r="M1135" t="s">
        <v>1327</v>
      </c>
      <c r="O1135">
        <v>2005</v>
      </c>
      <c r="P1135">
        <v>2005</v>
      </c>
      <c r="Q1135" t="s">
        <v>1329</v>
      </c>
      <c r="R1135">
        <v>10</v>
      </c>
      <c r="T1135" t="s">
        <v>1330</v>
      </c>
      <c r="U1135" t="s">
        <v>1246</v>
      </c>
      <c r="V1135" s="9" t="s">
        <v>1332</v>
      </c>
      <c r="W1135">
        <v>210</v>
      </c>
      <c r="X1135" s="9" t="s">
        <v>1264</v>
      </c>
      <c r="Z1135">
        <v>0</v>
      </c>
      <c r="AD1135" t="s">
        <v>1165</v>
      </c>
      <c r="AF1135" t="s">
        <v>1165</v>
      </c>
      <c r="AI1135" t="s">
        <v>1165</v>
      </c>
      <c r="AJ1135" s="15" t="s">
        <v>1148</v>
      </c>
      <c r="AK1135" s="15">
        <v>0</v>
      </c>
      <c r="AP1135" s="15">
        <v>28</v>
      </c>
      <c r="AQ1135" s="14" t="s">
        <v>1336</v>
      </c>
      <c r="AR1135" s="15" t="s">
        <v>1335</v>
      </c>
      <c r="AS1135" t="s">
        <v>3000</v>
      </c>
    </row>
    <row r="1136" spans="1:45" x14ac:dyDescent="0.2">
      <c r="A1136" t="s">
        <v>1326</v>
      </c>
      <c r="B1136" s="15" t="s">
        <v>1146</v>
      </c>
      <c r="C1136" s="15" t="s">
        <v>1149</v>
      </c>
      <c r="D1136" t="s">
        <v>1342</v>
      </c>
      <c r="E1136" t="s">
        <v>1343</v>
      </c>
      <c r="G1136" s="15" t="s">
        <v>1165</v>
      </c>
      <c r="H1136" s="14" t="s">
        <v>1165</v>
      </c>
      <c r="I1136" s="18" t="s">
        <v>1328</v>
      </c>
      <c r="J1136" s="18" t="s">
        <v>1337</v>
      </c>
      <c r="K1136" s="18" t="s">
        <v>1338</v>
      </c>
      <c r="L1136">
        <v>2000</v>
      </c>
      <c r="M1136" t="s">
        <v>1327</v>
      </c>
      <c r="O1136">
        <v>2005</v>
      </c>
      <c r="P1136">
        <v>2005</v>
      </c>
      <c r="Q1136" t="s">
        <v>1329</v>
      </c>
      <c r="R1136">
        <v>10</v>
      </c>
      <c r="T1136" t="s">
        <v>1330</v>
      </c>
      <c r="U1136" t="s">
        <v>1246</v>
      </c>
      <c r="V1136" s="9" t="s">
        <v>1332</v>
      </c>
      <c r="W1136">
        <v>210</v>
      </c>
      <c r="X1136" s="9" t="s">
        <v>1261</v>
      </c>
      <c r="Z1136">
        <v>0</v>
      </c>
      <c r="AD1136" t="s">
        <v>1165</v>
      </c>
      <c r="AF1136" t="s">
        <v>1165</v>
      </c>
      <c r="AI1136" t="s">
        <v>1165</v>
      </c>
      <c r="AJ1136" s="15" t="s">
        <v>1148</v>
      </c>
      <c r="AK1136" s="15">
        <v>0</v>
      </c>
      <c r="AP1136" s="15">
        <v>28</v>
      </c>
      <c r="AQ1136" s="14" t="s">
        <v>1336</v>
      </c>
      <c r="AR1136" s="15" t="s">
        <v>1335</v>
      </c>
      <c r="AS1136" t="s">
        <v>3000</v>
      </c>
    </row>
    <row r="1137" spans="1:45" x14ac:dyDescent="0.2">
      <c r="A1137" t="s">
        <v>1326</v>
      </c>
      <c r="B1137" s="15" t="s">
        <v>1146</v>
      </c>
      <c r="C1137" s="15" t="s">
        <v>1149</v>
      </c>
      <c r="D1137" t="s">
        <v>1342</v>
      </c>
      <c r="E1137" t="s">
        <v>1343</v>
      </c>
      <c r="G1137" s="15" t="s">
        <v>1165</v>
      </c>
      <c r="H1137" s="14" t="s">
        <v>1165</v>
      </c>
      <c r="I1137" s="18" t="s">
        <v>1328</v>
      </c>
      <c r="J1137" s="18" t="s">
        <v>1337</v>
      </c>
      <c r="K1137" s="18" t="s">
        <v>1338</v>
      </c>
      <c r="L1137">
        <v>2000</v>
      </c>
      <c r="M1137" t="s">
        <v>1327</v>
      </c>
      <c r="O1137">
        <v>2005</v>
      </c>
      <c r="P1137">
        <v>2005</v>
      </c>
      <c r="Q1137" t="s">
        <v>1329</v>
      </c>
      <c r="R1137">
        <v>10</v>
      </c>
      <c r="T1137" t="s">
        <v>1330</v>
      </c>
      <c r="U1137" t="s">
        <v>1246</v>
      </c>
      <c r="V1137" s="9" t="s">
        <v>1332</v>
      </c>
      <c r="W1137">
        <v>210</v>
      </c>
      <c r="X1137" s="9" t="s">
        <v>1334</v>
      </c>
      <c r="Z1137">
        <v>0</v>
      </c>
      <c r="AD1137" t="s">
        <v>1165</v>
      </c>
      <c r="AF1137" t="s">
        <v>1165</v>
      </c>
      <c r="AI1137" t="s">
        <v>1165</v>
      </c>
      <c r="AJ1137" s="15" t="s">
        <v>1148</v>
      </c>
      <c r="AK1137" s="15">
        <v>0</v>
      </c>
      <c r="AP1137" s="15">
        <v>28</v>
      </c>
      <c r="AQ1137" s="14" t="s">
        <v>1336</v>
      </c>
      <c r="AR1137" s="15" t="s">
        <v>1335</v>
      </c>
      <c r="AS1137" t="s">
        <v>3000</v>
      </c>
    </row>
    <row r="1138" spans="1:45" x14ac:dyDescent="0.2">
      <c r="A1138" t="s">
        <v>1326</v>
      </c>
      <c r="B1138" s="15" t="s">
        <v>1146</v>
      </c>
      <c r="C1138" s="15" t="s">
        <v>1149</v>
      </c>
      <c r="D1138" t="s">
        <v>1342</v>
      </c>
      <c r="E1138" t="s">
        <v>1343</v>
      </c>
      <c r="G1138" s="15" t="s">
        <v>1165</v>
      </c>
      <c r="H1138" s="14" t="s">
        <v>1165</v>
      </c>
      <c r="I1138" s="18" t="s">
        <v>1328</v>
      </c>
      <c r="J1138" s="18" t="s">
        <v>1337</v>
      </c>
      <c r="K1138" s="18" t="s">
        <v>1338</v>
      </c>
      <c r="L1138">
        <v>2000</v>
      </c>
      <c r="M1138" t="s">
        <v>1327</v>
      </c>
      <c r="O1138">
        <v>2005</v>
      </c>
      <c r="P1138">
        <v>2005</v>
      </c>
      <c r="Q1138" t="s">
        <v>1329</v>
      </c>
      <c r="R1138">
        <v>10</v>
      </c>
      <c r="T1138" t="s">
        <v>1330</v>
      </c>
      <c r="U1138" t="s">
        <v>1340</v>
      </c>
      <c r="V1138" s="9" t="s">
        <v>1339</v>
      </c>
      <c r="W1138">
        <v>0</v>
      </c>
      <c r="X1138" s="9" t="s">
        <v>1333</v>
      </c>
      <c r="Z1138">
        <v>12</v>
      </c>
      <c r="AD1138" t="s">
        <v>1165</v>
      </c>
      <c r="AF1138" t="s">
        <v>1165</v>
      </c>
      <c r="AI1138" t="s">
        <v>1165</v>
      </c>
      <c r="AJ1138" s="15" t="s">
        <v>1148</v>
      </c>
      <c r="AK1138" s="15">
        <v>3.2349999999999999</v>
      </c>
      <c r="AP1138" s="15">
        <v>28</v>
      </c>
      <c r="AQ1138" s="14" t="s">
        <v>1336</v>
      </c>
      <c r="AR1138" s="15" t="s">
        <v>1335</v>
      </c>
      <c r="AS1138" t="s">
        <v>3001</v>
      </c>
    </row>
    <row r="1139" spans="1:45" x14ac:dyDescent="0.2">
      <c r="A1139" t="s">
        <v>1326</v>
      </c>
      <c r="B1139" s="15" t="s">
        <v>1146</v>
      </c>
      <c r="C1139" s="15" t="s">
        <v>1149</v>
      </c>
      <c r="D1139" t="s">
        <v>1342</v>
      </c>
      <c r="E1139" t="s">
        <v>1343</v>
      </c>
      <c r="G1139" s="15" t="s">
        <v>1165</v>
      </c>
      <c r="H1139" s="14" t="s">
        <v>1165</v>
      </c>
      <c r="I1139" s="18" t="s">
        <v>1328</v>
      </c>
      <c r="J1139" s="18" t="s">
        <v>1337</v>
      </c>
      <c r="K1139" s="18" t="s">
        <v>1338</v>
      </c>
      <c r="L1139">
        <v>2000</v>
      </c>
      <c r="M1139" t="s">
        <v>1327</v>
      </c>
      <c r="O1139">
        <v>2005</v>
      </c>
      <c r="P1139">
        <v>2005</v>
      </c>
      <c r="Q1139" t="s">
        <v>1329</v>
      </c>
      <c r="R1139">
        <v>10</v>
      </c>
      <c r="T1139" t="s">
        <v>1330</v>
      </c>
      <c r="U1139" t="s">
        <v>1340</v>
      </c>
      <c r="V1139" s="9" t="s">
        <v>1339</v>
      </c>
      <c r="W1139">
        <v>0</v>
      </c>
      <c r="X1139" s="9" t="s">
        <v>1264</v>
      </c>
      <c r="Z1139">
        <v>12</v>
      </c>
      <c r="AD1139" t="s">
        <v>1165</v>
      </c>
      <c r="AF1139" t="s">
        <v>1165</v>
      </c>
      <c r="AI1139" t="s">
        <v>1165</v>
      </c>
      <c r="AJ1139" s="15" t="s">
        <v>1148</v>
      </c>
      <c r="AK1139" s="15">
        <v>22.059000000000001</v>
      </c>
      <c r="AP1139" s="15">
        <v>28</v>
      </c>
      <c r="AQ1139" s="14" t="s">
        <v>1336</v>
      </c>
      <c r="AR1139" s="15" t="s">
        <v>1335</v>
      </c>
      <c r="AS1139" t="s">
        <v>3001</v>
      </c>
    </row>
    <row r="1140" spans="1:45" x14ac:dyDescent="0.2">
      <c r="A1140" t="s">
        <v>1326</v>
      </c>
      <c r="B1140" s="15" t="s">
        <v>1146</v>
      </c>
      <c r="C1140" s="15" t="s">
        <v>1149</v>
      </c>
      <c r="D1140" t="s">
        <v>1342</v>
      </c>
      <c r="E1140" t="s">
        <v>1343</v>
      </c>
      <c r="G1140" s="15" t="s">
        <v>1165</v>
      </c>
      <c r="H1140" s="14" t="s">
        <v>1165</v>
      </c>
      <c r="I1140" s="18" t="s">
        <v>1328</v>
      </c>
      <c r="J1140" s="18" t="s">
        <v>1337</v>
      </c>
      <c r="K1140" s="18" t="s">
        <v>1338</v>
      </c>
      <c r="L1140">
        <v>2000</v>
      </c>
      <c r="M1140" t="s">
        <v>1327</v>
      </c>
      <c r="O1140">
        <v>2005</v>
      </c>
      <c r="P1140">
        <v>2005</v>
      </c>
      <c r="Q1140" t="s">
        <v>1329</v>
      </c>
      <c r="R1140">
        <v>10</v>
      </c>
      <c r="T1140" t="s">
        <v>1330</v>
      </c>
      <c r="U1140" t="s">
        <v>1340</v>
      </c>
      <c r="V1140" s="9" t="s">
        <v>1339</v>
      </c>
      <c r="W1140">
        <v>0</v>
      </c>
      <c r="X1140" s="9" t="s">
        <v>1261</v>
      </c>
      <c r="Z1140">
        <v>12</v>
      </c>
      <c r="AD1140" t="s">
        <v>1165</v>
      </c>
      <c r="AF1140" t="s">
        <v>1165</v>
      </c>
      <c r="AI1140" t="s">
        <v>1165</v>
      </c>
      <c r="AJ1140" s="15" t="s">
        <v>1148</v>
      </c>
      <c r="AK1140" s="15">
        <v>32.058999999999997</v>
      </c>
      <c r="AP1140" s="15">
        <v>28</v>
      </c>
      <c r="AQ1140" s="14" t="s">
        <v>1336</v>
      </c>
      <c r="AR1140" s="15" t="s">
        <v>1335</v>
      </c>
      <c r="AS1140" t="s">
        <v>3001</v>
      </c>
    </row>
    <row r="1141" spans="1:45" x14ac:dyDescent="0.2">
      <c r="A1141" t="s">
        <v>1326</v>
      </c>
      <c r="B1141" s="15" t="s">
        <v>1146</v>
      </c>
      <c r="C1141" s="15" t="s">
        <v>1149</v>
      </c>
      <c r="D1141" t="s">
        <v>1342</v>
      </c>
      <c r="E1141" t="s">
        <v>1343</v>
      </c>
      <c r="G1141" s="15" t="s">
        <v>1165</v>
      </c>
      <c r="H1141" s="14" t="s">
        <v>1165</v>
      </c>
      <c r="I1141" s="18" t="s">
        <v>1328</v>
      </c>
      <c r="J1141" s="18" t="s">
        <v>1337</v>
      </c>
      <c r="K1141" s="18" t="s">
        <v>1338</v>
      </c>
      <c r="L1141">
        <v>2000</v>
      </c>
      <c r="M1141" t="s">
        <v>1327</v>
      </c>
      <c r="O1141">
        <v>2005</v>
      </c>
      <c r="P1141">
        <v>2005</v>
      </c>
      <c r="Q1141" t="s">
        <v>1329</v>
      </c>
      <c r="R1141">
        <v>10</v>
      </c>
      <c r="T1141" t="s">
        <v>1330</v>
      </c>
      <c r="U1141" t="s">
        <v>1340</v>
      </c>
      <c r="V1141" s="9" t="s">
        <v>1339</v>
      </c>
      <c r="W1141">
        <v>0</v>
      </c>
      <c r="X1141" s="9" t="s">
        <v>1334</v>
      </c>
      <c r="Z1141">
        <v>12</v>
      </c>
      <c r="AD1141" t="s">
        <v>1165</v>
      </c>
      <c r="AF1141" t="s">
        <v>1165</v>
      </c>
      <c r="AI1141" t="s">
        <v>1165</v>
      </c>
      <c r="AJ1141" s="15" t="s">
        <v>1148</v>
      </c>
      <c r="AK1141" s="15">
        <v>43.823999999999998</v>
      </c>
      <c r="AP1141" s="15">
        <v>28</v>
      </c>
      <c r="AQ1141" s="14" t="s">
        <v>1336</v>
      </c>
      <c r="AR1141" s="15" t="s">
        <v>1335</v>
      </c>
      <c r="AS1141" t="s">
        <v>3001</v>
      </c>
    </row>
    <row r="1142" spans="1:45" x14ac:dyDescent="0.2">
      <c r="A1142" t="s">
        <v>1326</v>
      </c>
      <c r="B1142" s="15" t="s">
        <v>1146</v>
      </c>
      <c r="C1142" s="15" t="s">
        <v>1149</v>
      </c>
      <c r="D1142" t="s">
        <v>1342</v>
      </c>
      <c r="E1142" t="s">
        <v>1343</v>
      </c>
      <c r="G1142" s="15" t="s">
        <v>1165</v>
      </c>
      <c r="H1142" s="14" t="s">
        <v>1165</v>
      </c>
      <c r="I1142" s="18" t="s">
        <v>1328</v>
      </c>
      <c r="J1142" s="18" t="s">
        <v>1337</v>
      </c>
      <c r="K1142" s="18" t="s">
        <v>1338</v>
      </c>
      <c r="L1142">
        <v>2000</v>
      </c>
      <c r="M1142" t="s">
        <v>1327</v>
      </c>
      <c r="O1142">
        <v>2005</v>
      </c>
      <c r="P1142">
        <v>2005</v>
      </c>
      <c r="Q1142" t="s">
        <v>1329</v>
      </c>
      <c r="R1142">
        <v>10</v>
      </c>
      <c r="T1142" t="s">
        <v>1330</v>
      </c>
      <c r="U1142" t="s">
        <v>1340</v>
      </c>
      <c r="V1142" s="9" t="s">
        <v>1339</v>
      </c>
      <c r="W1142">
        <v>0</v>
      </c>
      <c r="X1142" s="9" t="s">
        <v>1333</v>
      </c>
      <c r="Z1142">
        <v>0</v>
      </c>
      <c r="AD1142" t="s">
        <v>1165</v>
      </c>
      <c r="AF1142" t="s">
        <v>1165</v>
      </c>
      <c r="AI1142" t="s">
        <v>1165</v>
      </c>
      <c r="AJ1142" s="15" t="s">
        <v>1148</v>
      </c>
      <c r="AK1142" s="15">
        <v>0</v>
      </c>
      <c r="AP1142" s="15">
        <v>28</v>
      </c>
      <c r="AQ1142" s="14" t="s">
        <v>1336</v>
      </c>
      <c r="AR1142" s="15" t="s">
        <v>1335</v>
      </c>
      <c r="AS1142" t="s">
        <v>3001</v>
      </c>
    </row>
    <row r="1143" spans="1:45" x14ac:dyDescent="0.2">
      <c r="A1143" t="s">
        <v>1326</v>
      </c>
      <c r="B1143" s="15" t="s">
        <v>1146</v>
      </c>
      <c r="C1143" s="15" t="s">
        <v>1149</v>
      </c>
      <c r="D1143" t="s">
        <v>1342</v>
      </c>
      <c r="E1143" t="s">
        <v>1343</v>
      </c>
      <c r="G1143" s="15" t="s">
        <v>1165</v>
      </c>
      <c r="H1143" s="14" t="s">
        <v>1165</v>
      </c>
      <c r="I1143" s="18" t="s">
        <v>1328</v>
      </c>
      <c r="J1143" s="18" t="s">
        <v>1337</v>
      </c>
      <c r="K1143" s="18" t="s">
        <v>1338</v>
      </c>
      <c r="L1143">
        <v>2000</v>
      </c>
      <c r="M1143" t="s">
        <v>1327</v>
      </c>
      <c r="O1143">
        <v>2005</v>
      </c>
      <c r="P1143">
        <v>2005</v>
      </c>
      <c r="Q1143" t="s">
        <v>1329</v>
      </c>
      <c r="R1143">
        <v>10</v>
      </c>
      <c r="T1143" t="s">
        <v>1330</v>
      </c>
      <c r="U1143" t="s">
        <v>1340</v>
      </c>
      <c r="V1143" s="9" t="s">
        <v>1339</v>
      </c>
      <c r="W1143">
        <v>0</v>
      </c>
      <c r="X1143" s="9" t="s">
        <v>1264</v>
      </c>
      <c r="Z1143">
        <v>0</v>
      </c>
      <c r="AD1143" t="s">
        <v>1165</v>
      </c>
      <c r="AF1143" t="s">
        <v>1165</v>
      </c>
      <c r="AI1143" t="s">
        <v>1165</v>
      </c>
      <c r="AJ1143" s="15" t="s">
        <v>1148</v>
      </c>
      <c r="AK1143" s="15">
        <v>0</v>
      </c>
      <c r="AP1143" s="15">
        <v>28</v>
      </c>
      <c r="AQ1143" s="14" t="s">
        <v>1336</v>
      </c>
      <c r="AR1143" s="15" t="s">
        <v>1335</v>
      </c>
      <c r="AS1143" t="s">
        <v>3001</v>
      </c>
    </row>
    <row r="1144" spans="1:45" x14ac:dyDescent="0.2">
      <c r="A1144" t="s">
        <v>1326</v>
      </c>
      <c r="B1144" s="15" t="s">
        <v>1146</v>
      </c>
      <c r="C1144" s="15" t="s">
        <v>1149</v>
      </c>
      <c r="D1144" t="s">
        <v>1342</v>
      </c>
      <c r="E1144" t="s">
        <v>1343</v>
      </c>
      <c r="G1144" s="15" t="s">
        <v>1165</v>
      </c>
      <c r="H1144" s="14" t="s">
        <v>1165</v>
      </c>
      <c r="I1144" s="18" t="s">
        <v>1328</v>
      </c>
      <c r="J1144" s="18" t="s">
        <v>1337</v>
      </c>
      <c r="K1144" s="18" t="s">
        <v>1338</v>
      </c>
      <c r="L1144">
        <v>2000</v>
      </c>
      <c r="M1144" t="s">
        <v>1327</v>
      </c>
      <c r="O1144">
        <v>2005</v>
      </c>
      <c r="P1144">
        <v>2005</v>
      </c>
      <c r="Q1144" t="s">
        <v>1329</v>
      </c>
      <c r="R1144">
        <v>10</v>
      </c>
      <c r="T1144" t="s">
        <v>1330</v>
      </c>
      <c r="U1144" t="s">
        <v>1340</v>
      </c>
      <c r="V1144" s="9" t="s">
        <v>1339</v>
      </c>
      <c r="W1144">
        <v>0</v>
      </c>
      <c r="X1144" s="9" t="s">
        <v>1261</v>
      </c>
      <c r="Z1144">
        <v>0</v>
      </c>
      <c r="AD1144" t="s">
        <v>1165</v>
      </c>
      <c r="AF1144" t="s">
        <v>1165</v>
      </c>
      <c r="AI1144" t="s">
        <v>1165</v>
      </c>
      <c r="AJ1144" s="15" t="s">
        <v>1148</v>
      </c>
      <c r="AK1144" s="15">
        <v>0</v>
      </c>
      <c r="AP1144" s="15">
        <v>28</v>
      </c>
      <c r="AQ1144" s="14" t="s">
        <v>1336</v>
      </c>
      <c r="AR1144" s="15" t="s">
        <v>1335</v>
      </c>
      <c r="AS1144" t="s">
        <v>3001</v>
      </c>
    </row>
    <row r="1145" spans="1:45" x14ac:dyDescent="0.2">
      <c r="A1145" t="s">
        <v>1326</v>
      </c>
      <c r="B1145" s="15" t="s">
        <v>1146</v>
      </c>
      <c r="C1145" s="15" t="s">
        <v>1149</v>
      </c>
      <c r="D1145" t="s">
        <v>1342</v>
      </c>
      <c r="E1145" t="s">
        <v>1343</v>
      </c>
      <c r="G1145" s="15" t="s">
        <v>1165</v>
      </c>
      <c r="H1145" s="14" t="s">
        <v>1165</v>
      </c>
      <c r="I1145" s="18" t="s">
        <v>1328</v>
      </c>
      <c r="J1145" s="18" t="s">
        <v>1337</v>
      </c>
      <c r="K1145" s="18" t="s">
        <v>1338</v>
      </c>
      <c r="L1145">
        <v>2000</v>
      </c>
      <c r="M1145" t="s">
        <v>1327</v>
      </c>
      <c r="O1145">
        <v>2005</v>
      </c>
      <c r="P1145">
        <v>2005</v>
      </c>
      <c r="Q1145" t="s">
        <v>1329</v>
      </c>
      <c r="R1145">
        <v>10</v>
      </c>
      <c r="T1145" t="s">
        <v>1330</v>
      </c>
      <c r="U1145" t="s">
        <v>1340</v>
      </c>
      <c r="V1145" s="9" t="s">
        <v>1339</v>
      </c>
      <c r="W1145">
        <v>0</v>
      </c>
      <c r="X1145" s="9" t="s">
        <v>1334</v>
      </c>
      <c r="Z1145">
        <v>0</v>
      </c>
      <c r="AD1145" t="s">
        <v>1165</v>
      </c>
      <c r="AF1145" t="s">
        <v>1165</v>
      </c>
      <c r="AI1145" t="s">
        <v>1165</v>
      </c>
      <c r="AJ1145" s="15" t="s">
        <v>1148</v>
      </c>
      <c r="AK1145" s="15">
        <v>0</v>
      </c>
      <c r="AP1145" s="15">
        <v>28</v>
      </c>
      <c r="AQ1145" s="14" t="s">
        <v>1336</v>
      </c>
      <c r="AR1145" s="15" t="s">
        <v>1335</v>
      </c>
      <c r="AS1145" t="s">
        <v>3001</v>
      </c>
    </row>
    <row r="1146" spans="1:45" x14ac:dyDescent="0.2">
      <c r="A1146" t="s">
        <v>1326</v>
      </c>
      <c r="B1146" s="15" t="s">
        <v>1146</v>
      </c>
      <c r="C1146" s="15" t="s">
        <v>1149</v>
      </c>
      <c r="D1146" t="s">
        <v>1342</v>
      </c>
      <c r="E1146" t="s">
        <v>1343</v>
      </c>
      <c r="G1146" s="15" t="s">
        <v>1165</v>
      </c>
      <c r="H1146" s="14" t="s">
        <v>1165</v>
      </c>
      <c r="I1146" s="18" t="s">
        <v>1328</v>
      </c>
      <c r="J1146" s="18" t="s">
        <v>1337</v>
      </c>
      <c r="K1146" s="18" t="s">
        <v>1338</v>
      </c>
      <c r="L1146">
        <v>2000</v>
      </c>
      <c r="M1146" t="s">
        <v>1327</v>
      </c>
      <c r="O1146">
        <v>2005</v>
      </c>
      <c r="P1146">
        <v>2005</v>
      </c>
      <c r="Q1146" t="s">
        <v>1329</v>
      </c>
      <c r="R1146">
        <v>10</v>
      </c>
      <c r="T1146" t="s">
        <v>1330</v>
      </c>
      <c r="U1146" t="s">
        <v>1340</v>
      </c>
      <c r="V1146" s="9" t="s">
        <v>1339</v>
      </c>
      <c r="W1146">
        <v>17.5</v>
      </c>
      <c r="X1146" s="9" t="s">
        <v>1333</v>
      </c>
      <c r="Z1146">
        <v>12</v>
      </c>
      <c r="AD1146" t="s">
        <v>1165</v>
      </c>
      <c r="AF1146" t="s">
        <v>1165</v>
      </c>
      <c r="AI1146" t="s">
        <v>1165</v>
      </c>
      <c r="AJ1146" s="15" t="s">
        <v>1148</v>
      </c>
      <c r="AK1146" s="15">
        <v>67.941000000000003</v>
      </c>
      <c r="AP1146" s="15">
        <v>28</v>
      </c>
      <c r="AQ1146" s="14" t="s">
        <v>1336</v>
      </c>
      <c r="AR1146" s="15" t="s">
        <v>1335</v>
      </c>
      <c r="AS1146" t="s">
        <v>3001</v>
      </c>
    </row>
    <row r="1147" spans="1:45" x14ac:dyDescent="0.2">
      <c r="A1147" t="s">
        <v>1326</v>
      </c>
      <c r="B1147" s="15" t="s">
        <v>1146</v>
      </c>
      <c r="C1147" s="15" t="s">
        <v>1149</v>
      </c>
      <c r="D1147" t="s">
        <v>1342</v>
      </c>
      <c r="E1147" t="s">
        <v>1343</v>
      </c>
      <c r="G1147" s="15" t="s">
        <v>1165</v>
      </c>
      <c r="H1147" s="14" t="s">
        <v>1165</v>
      </c>
      <c r="I1147" s="18" t="s">
        <v>1328</v>
      </c>
      <c r="J1147" s="18" t="s">
        <v>1337</v>
      </c>
      <c r="K1147" s="18" t="s">
        <v>1338</v>
      </c>
      <c r="L1147">
        <v>2000</v>
      </c>
      <c r="M1147" t="s">
        <v>1327</v>
      </c>
      <c r="O1147">
        <v>2005</v>
      </c>
      <c r="P1147">
        <v>2005</v>
      </c>
      <c r="Q1147" t="s">
        <v>1329</v>
      </c>
      <c r="R1147">
        <v>10</v>
      </c>
      <c r="T1147" t="s">
        <v>1330</v>
      </c>
      <c r="U1147" t="s">
        <v>1340</v>
      </c>
      <c r="V1147" s="9" t="s">
        <v>1339</v>
      </c>
      <c r="W1147">
        <v>17.5</v>
      </c>
      <c r="X1147" s="9" t="s">
        <v>1264</v>
      </c>
      <c r="Z1147">
        <v>12</v>
      </c>
      <c r="AD1147" t="s">
        <v>1165</v>
      </c>
      <c r="AF1147" t="s">
        <v>1165</v>
      </c>
      <c r="AI1147" t="s">
        <v>1165</v>
      </c>
      <c r="AJ1147" s="15" t="s">
        <v>1148</v>
      </c>
      <c r="AK1147" s="15">
        <v>79.117999999999995</v>
      </c>
      <c r="AP1147" s="15">
        <v>28</v>
      </c>
      <c r="AQ1147" s="14" t="s">
        <v>1336</v>
      </c>
      <c r="AR1147" s="15" t="s">
        <v>1335</v>
      </c>
      <c r="AS1147" t="s">
        <v>3001</v>
      </c>
    </row>
    <row r="1148" spans="1:45" x14ac:dyDescent="0.2">
      <c r="A1148" t="s">
        <v>1326</v>
      </c>
      <c r="B1148" s="15" t="s">
        <v>1146</v>
      </c>
      <c r="C1148" s="15" t="s">
        <v>1149</v>
      </c>
      <c r="D1148" t="s">
        <v>1342</v>
      </c>
      <c r="E1148" t="s">
        <v>1343</v>
      </c>
      <c r="G1148" s="15" t="s">
        <v>1165</v>
      </c>
      <c r="H1148" s="14" t="s">
        <v>1165</v>
      </c>
      <c r="I1148" s="18" t="s">
        <v>1328</v>
      </c>
      <c r="J1148" s="18" t="s">
        <v>1337</v>
      </c>
      <c r="K1148" s="18" t="s">
        <v>1338</v>
      </c>
      <c r="L1148">
        <v>2000</v>
      </c>
      <c r="M1148" t="s">
        <v>1327</v>
      </c>
      <c r="O1148">
        <v>2005</v>
      </c>
      <c r="P1148">
        <v>2005</v>
      </c>
      <c r="Q1148" t="s">
        <v>1329</v>
      </c>
      <c r="R1148">
        <v>10</v>
      </c>
      <c r="T1148" t="s">
        <v>1330</v>
      </c>
      <c r="U1148" t="s">
        <v>1340</v>
      </c>
      <c r="V1148" s="9" t="s">
        <v>1339</v>
      </c>
      <c r="W1148">
        <v>17.5</v>
      </c>
      <c r="X1148" s="9" t="s">
        <v>1261</v>
      </c>
      <c r="Z1148">
        <v>12</v>
      </c>
      <c r="AD1148" t="s">
        <v>1165</v>
      </c>
      <c r="AF1148" t="s">
        <v>1165</v>
      </c>
      <c r="AI1148" t="s">
        <v>1165</v>
      </c>
      <c r="AJ1148" s="15" t="s">
        <v>1148</v>
      </c>
      <c r="AK1148" s="15">
        <v>89.706000000000003</v>
      </c>
      <c r="AP1148" s="15">
        <v>28</v>
      </c>
      <c r="AQ1148" s="14" t="s">
        <v>1336</v>
      </c>
      <c r="AR1148" s="15" t="s">
        <v>1335</v>
      </c>
      <c r="AS1148" t="s">
        <v>3001</v>
      </c>
    </row>
    <row r="1149" spans="1:45" x14ac:dyDescent="0.2">
      <c r="A1149" t="s">
        <v>1326</v>
      </c>
      <c r="B1149" s="15" t="s">
        <v>1146</v>
      </c>
      <c r="C1149" s="15" t="s">
        <v>1149</v>
      </c>
      <c r="D1149" t="s">
        <v>1342</v>
      </c>
      <c r="E1149" t="s">
        <v>1343</v>
      </c>
      <c r="G1149" s="15" t="s">
        <v>1165</v>
      </c>
      <c r="H1149" s="14" t="s">
        <v>1165</v>
      </c>
      <c r="I1149" s="18" t="s">
        <v>1328</v>
      </c>
      <c r="J1149" s="18" t="s">
        <v>1337</v>
      </c>
      <c r="K1149" s="18" t="s">
        <v>1338</v>
      </c>
      <c r="L1149">
        <v>2000</v>
      </c>
      <c r="M1149" t="s">
        <v>1327</v>
      </c>
      <c r="O1149">
        <v>2005</v>
      </c>
      <c r="P1149">
        <v>2005</v>
      </c>
      <c r="Q1149" t="s">
        <v>1329</v>
      </c>
      <c r="R1149">
        <v>10</v>
      </c>
      <c r="T1149" t="s">
        <v>1330</v>
      </c>
      <c r="U1149" t="s">
        <v>1340</v>
      </c>
      <c r="V1149" s="9" t="s">
        <v>1339</v>
      </c>
      <c r="W1149">
        <v>17.5</v>
      </c>
      <c r="X1149" s="9" t="s">
        <v>1334</v>
      </c>
      <c r="Z1149">
        <v>12</v>
      </c>
      <c r="AD1149" t="s">
        <v>1165</v>
      </c>
      <c r="AF1149" t="s">
        <v>1165</v>
      </c>
      <c r="AI1149" t="s">
        <v>1165</v>
      </c>
      <c r="AJ1149" s="15" t="s">
        <v>1148</v>
      </c>
      <c r="AK1149" s="4">
        <v>65</v>
      </c>
      <c r="AP1149" s="15">
        <v>28</v>
      </c>
      <c r="AQ1149" s="14" t="s">
        <v>1336</v>
      </c>
      <c r="AR1149" s="15" t="s">
        <v>1335</v>
      </c>
      <c r="AS1149" t="s">
        <v>3001</v>
      </c>
    </row>
    <row r="1150" spans="1:45" x14ac:dyDescent="0.2">
      <c r="A1150" t="s">
        <v>1326</v>
      </c>
      <c r="B1150" s="15" t="s">
        <v>1146</v>
      </c>
      <c r="C1150" s="15" t="s">
        <v>1149</v>
      </c>
      <c r="D1150" t="s">
        <v>1342</v>
      </c>
      <c r="E1150" t="s">
        <v>1343</v>
      </c>
      <c r="G1150" s="15" t="s">
        <v>1165</v>
      </c>
      <c r="H1150" s="14" t="s">
        <v>1165</v>
      </c>
      <c r="I1150" s="18" t="s">
        <v>1328</v>
      </c>
      <c r="J1150" s="18" t="s">
        <v>1337</v>
      </c>
      <c r="K1150" s="18" t="s">
        <v>1338</v>
      </c>
      <c r="L1150">
        <v>2000</v>
      </c>
      <c r="M1150" t="s">
        <v>1327</v>
      </c>
      <c r="O1150">
        <v>2005</v>
      </c>
      <c r="P1150">
        <v>2005</v>
      </c>
      <c r="Q1150" t="s">
        <v>1329</v>
      </c>
      <c r="R1150">
        <v>10</v>
      </c>
      <c r="T1150" t="s">
        <v>1330</v>
      </c>
      <c r="U1150" t="s">
        <v>1340</v>
      </c>
      <c r="V1150" s="9" t="s">
        <v>1339</v>
      </c>
      <c r="W1150">
        <v>17.5</v>
      </c>
      <c r="X1150" s="9" t="s">
        <v>1333</v>
      </c>
      <c r="Z1150">
        <v>0</v>
      </c>
      <c r="AD1150" t="s">
        <v>1165</v>
      </c>
      <c r="AF1150" t="s">
        <v>1165</v>
      </c>
      <c r="AI1150" t="s">
        <v>1165</v>
      </c>
      <c r="AJ1150" s="15" t="s">
        <v>1148</v>
      </c>
      <c r="AK1150" s="15">
        <v>0</v>
      </c>
      <c r="AP1150" s="15">
        <v>28</v>
      </c>
      <c r="AQ1150" s="14" t="s">
        <v>1336</v>
      </c>
      <c r="AR1150" s="15" t="s">
        <v>1335</v>
      </c>
      <c r="AS1150" t="s">
        <v>3001</v>
      </c>
    </row>
    <row r="1151" spans="1:45" x14ac:dyDescent="0.2">
      <c r="A1151" t="s">
        <v>1326</v>
      </c>
      <c r="B1151" s="15" t="s">
        <v>1146</v>
      </c>
      <c r="C1151" s="15" t="s">
        <v>1149</v>
      </c>
      <c r="D1151" t="s">
        <v>1342</v>
      </c>
      <c r="E1151" t="s">
        <v>1343</v>
      </c>
      <c r="G1151" s="15" t="s">
        <v>1165</v>
      </c>
      <c r="H1151" s="14" t="s">
        <v>1165</v>
      </c>
      <c r="I1151" s="18" t="s">
        <v>1328</v>
      </c>
      <c r="J1151" s="18" t="s">
        <v>1337</v>
      </c>
      <c r="K1151" s="18" t="s">
        <v>1338</v>
      </c>
      <c r="L1151">
        <v>2000</v>
      </c>
      <c r="M1151" t="s">
        <v>1327</v>
      </c>
      <c r="O1151">
        <v>2005</v>
      </c>
      <c r="P1151">
        <v>2005</v>
      </c>
      <c r="Q1151" t="s">
        <v>1329</v>
      </c>
      <c r="R1151">
        <v>10</v>
      </c>
      <c r="T1151" t="s">
        <v>1330</v>
      </c>
      <c r="U1151" t="s">
        <v>1340</v>
      </c>
      <c r="V1151" s="9" t="s">
        <v>1339</v>
      </c>
      <c r="W1151">
        <v>17.5</v>
      </c>
      <c r="X1151" s="9" t="s">
        <v>1264</v>
      </c>
      <c r="Z1151">
        <v>0</v>
      </c>
      <c r="AD1151" t="s">
        <v>1165</v>
      </c>
      <c r="AF1151" t="s">
        <v>1165</v>
      </c>
      <c r="AI1151" t="s">
        <v>1165</v>
      </c>
      <c r="AJ1151" s="15" t="s">
        <v>1148</v>
      </c>
      <c r="AK1151" s="15">
        <v>0</v>
      </c>
      <c r="AP1151" s="15">
        <v>28</v>
      </c>
      <c r="AQ1151" s="14" t="s">
        <v>1336</v>
      </c>
      <c r="AR1151" s="15" t="s">
        <v>1335</v>
      </c>
      <c r="AS1151" t="s">
        <v>3001</v>
      </c>
    </row>
    <row r="1152" spans="1:45" x14ac:dyDescent="0.2">
      <c r="A1152" t="s">
        <v>1326</v>
      </c>
      <c r="B1152" s="15" t="s">
        <v>1146</v>
      </c>
      <c r="C1152" s="15" t="s">
        <v>1149</v>
      </c>
      <c r="D1152" t="s">
        <v>1342</v>
      </c>
      <c r="E1152" t="s">
        <v>1343</v>
      </c>
      <c r="G1152" s="15" t="s">
        <v>1165</v>
      </c>
      <c r="H1152" s="14" t="s">
        <v>1165</v>
      </c>
      <c r="I1152" s="18" t="s">
        <v>1328</v>
      </c>
      <c r="J1152" s="18" t="s">
        <v>1337</v>
      </c>
      <c r="K1152" s="18" t="s">
        <v>1338</v>
      </c>
      <c r="L1152">
        <v>2000</v>
      </c>
      <c r="M1152" t="s">
        <v>1327</v>
      </c>
      <c r="O1152">
        <v>2005</v>
      </c>
      <c r="P1152">
        <v>2005</v>
      </c>
      <c r="Q1152" t="s">
        <v>1329</v>
      </c>
      <c r="R1152">
        <v>10</v>
      </c>
      <c r="T1152" t="s">
        <v>1330</v>
      </c>
      <c r="U1152" t="s">
        <v>1340</v>
      </c>
      <c r="V1152" s="9" t="s">
        <v>1339</v>
      </c>
      <c r="W1152">
        <v>17.5</v>
      </c>
      <c r="X1152" s="9" t="s">
        <v>1261</v>
      </c>
      <c r="Z1152">
        <v>0</v>
      </c>
      <c r="AD1152" t="s">
        <v>1165</v>
      </c>
      <c r="AF1152" t="s">
        <v>1165</v>
      </c>
      <c r="AI1152" t="s">
        <v>1165</v>
      </c>
      <c r="AJ1152" s="15" t="s">
        <v>1148</v>
      </c>
      <c r="AK1152" s="15">
        <v>0</v>
      </c>
      <c r="AP1152" s="15">
        <v>28</v>
      </c>
      <c r="AQ1152" s="14" t="s">
        <v>1336</v>
      </c>
      <c r="AR1152" s="15" t="s">
        <v>1335</v>
      </c>
      <c r="AS1152" t="s">
        <v>3001</v>
      </c>
    </row>
    <row r="1153" spans="1:45" x14ac:dyDescent="0.2">
      <c r="A1153" t="s">
        <v>1326</v>
      </c>
      <c r="B1153" s="15" t="s">
        <v>1146</v>
      </c>
      <c r="C1153" s="15" t="s">
        <v>1149</v>
      </c>
      <c r="D1153" t="s">
        <v>1342</v>
      </c>
      <c r="E1153" t="s">
        <v>1343</v>
      </c>
      <c r="G1153" s="15" t="s">
        <v>1165</v>
      </c>
      <c r="H1153" s="14" t="s">
        <v>1165</v>
      </c>
      <c r="I1153" s="18" t="s">
        <v>1328</v>
      </c>
      <c r="J1153" s="18" t="s">
        <v>1337</v>
      </c>
      <c r="K1153" s="18" t="s">
        <v>1338</v>
      </c>
      <c r="L1153">
        <v>2000</v>
      </c>
      <c r="M1153" t="s">
        <v>1327</v>
      </c>
      <c r="O1153">
        <v>2005</v>
      </c>
      <c r="P1153">
        <v>2005</v>
      </c>
      <c r="Q1153" t="s">
        <v>1329</v>
      </c>
      <c r="R1153">
        <v>10</v>
      </c>
      <c r="T1153" t="s">
        <v>1330</v>
      </c>
      <c r="U1153" t="s">
        <v>1340</v>
      </c>
      <c r="V1153" s="9" t="s">
        <v>1339</v>
      </c>
      <c r="W1153">
        <v>17.5</v>
      </c>
      <c r="X1153" s="9" t="s">
        <v>1334</v>
      </c>
      <c r="Z1153">
        <v>0</v>
      </c>
      <c r="AD1153" t="s">
        <v>1165</v>
      </c>
      <c r="AF1153" t="s">
        <v>1165</v>
      </c>
      <c r="AI1153" t="s">
        <v>1165</v>
      </c>
      <c r="AJ1153" s="15" t="s">
        <v>1148</v>
      </c>
      <c r="AK1153" s="15">
        <v>0</v>
      </c>
      <c r="AP1153" s="15">
        <v>28</v>
      </c>
      <c r="AQ1153" s="14" t="s">
        <v>1336</v>
      </c>
      <c r="AR1153" s="15" t="s">
        <v>1335</v>
      </c>
      <c r="AS1153" t="s">
        <v>3001</v>
      </c>
    </row>
    <row r="1154" spans="1:45" x14ac:dyDescent="0.2">
      <c r="A1154" t="s">
        <v>1326</v>
      </c>
      <c r="B1154" s="15" t="s">
        <v>1146</v>
      </c>
      <c r="C1154" s="15" t="s">
        <v>1149</v>
      </c>
      <c r="D1154" t="s">
        <v>1342</v>
      </c>
      <c r="E1154" t="s">
        <v>1343</v>
      </c>
      <c r="G1154" s="15" t="s">
        <v>1165</v>
      </c>
      <c r="H1154" s="14" t="s">
        <v>1165</v>
      </c>
      <c r="I1154" s="18" t="s">
        <v>1328</v>
      </c>
      <c r="J1154" s="18" t="s">
        <v>1337</v>
      </c>
      <c r="K1154" s="18" t="s">
        <v>1338</v>
      </c>
      <c r="L1154">
        <v>2000</v>
      </c>
      <c r="M1154" t="s">
        <v>1327</v>
      </c>
      <c r="O1154">
        <v>2005</v>
      </c>
      <c r="P1154">
        <v>2005</v>
      </c>
      <c r="Q1154" t="s">
        <v>1329</v>
      </c>
      <c r="R1154">
        <v>10</v>
      </c>
      <c r="T1154" t="s">
        <v>1330</v>
      </c>
      <c r="U1154" t="s">
        <v>1340</v>
      </c>
      <c r="V1154" s="9" t="s">
        <v>1339</v>
      </c>
      <c r="W1154">
        <v>35</v>
      </c>
      <c r="X1154" s="9" t="s">
        <v>1333</v>
      </c>
      <c r="Z1154">
        <v>12</v>
      </c>
      <c r="AD1154" t="s">
        <v>1165</v>
      </c>
      <c r="AF1154" t="s">
        <v>1165</v>
      </c>
      <c r="AI1154" t="s">
        <v>1165</v>
      </c>
      <c r="AJ1154" s="15" t="s">
        <v>1148</v>
      </c>
      <c r="AK1154" s="15">
        <v>68.528999999999996</v>
      </c>
      <c r="AP1154" s="15">
        <v>28</v>
      </c>
      <c r="AQ1154" s="14" t="s">
        <v>1336</v>
      </c>
      <c r="AR1154" s="15" t="s">
        <v>1335</v>
      </c>
      <c r="AS1154" t="s">
        <v>3001</v>
      </c>
    </row>
    <row r="1155" spans="1:45" x14ac:dyDescent="0.2">
      <c r="A1155" t="s">
        <v>1326</v>
      </c>
      <c r="B1155" s="15" t="s">
        <v>1146</v>
      </c>
      <c r="C1155" s="15" t="s">
        <v>1149</v>
      </c>
      <c r="D1155" t="s">
        <v>1342</v>
      </c>
      <c r="E1155" t="s">
        <v>1343</v>
      </c>
      <c r="G1155" s="15" t="s">
        <v>1165</v>
      </c>
      <c r="H1155" s="14" t="s">
        <v>1165</v>
      </c>
      <c r="I1155" s="18" t="s">
        <v>1328</v>
      </c>
      <c r="J1155" s="18" t="s">
        <v>1337</v>
      </c>
      <c r="K1155" s="18" t="s">
        <v>1338</v>
      </c>
      <c r="L1155">
        <v>2000</v>
      </c>
      <c r="M1155" t="s">
        <v>1327</v>
      </c>
      <c r="O1155">
        <v>2005</v>
      </c>
      <c r="P1155">
        <v>2005</v>
      </c>
      <c r="Q1155" t="s">
        <v>1329</v>
      </c>
      <c r="R1155">
        <v>10</v>
      </c>
      <c r="T1155" t="s">
        <v>1330</v>
      </c>
      <c r="U1155" t="s">
        <v>1340</v>
      </c>
      <c r="V1155" s="9" t="s">
        <v>1339</v>
      </c>
      <c r="W1155">
        <v>35</v>
      </c>
      <c r="X1155" s="9" t="s">
        <v>1264</v>
      </c>
      <c r="Z1155">
        <v>12</v>
      </c>
      <c r="AD1155" t="s">
        <v>1165</v>
      </c>
      <c r="AF1155" t="s">
        <v>1165</v>
      </c>
      <c r="AI1155" t="s">
        <v>1165</v>
      </c>
      <c r="AJ1155" s="15" t="s">
        <v>1148</v>
      </c>
      <c r="AK1155" s="15">
        <v>87.941000000000003</v>
      </c>
      <c r="AP1155" s="15">
        <v>28</v>
      </c>
      <c r="AQ1155" s="14" t="s">
        <v>1336</v>
      </c>
      <c r="AR1155" s="15" t="s">
        <v>1335</v>
      </c>
      <c r="AS1155" t="s">
        <v>3001</v>
      </c>
    </row>
    <row r="1156" spans="1:45" x14ac:dyDescent="0.2">
      <c r="A1156" t="s">
        <v>1326</v>
      </c>
      <c r="B1156" s="15" t="s">
        <v>1146</v>
      </c>
      <c r="C1156" s="15" t="s">
        <v>1149</v>
      </c>
      <c r="D1156" t="s">
        <v>1342</v>
      </c>
      <c r="E1156" t="s">
        <v>1343</v>
      </c>
      <c r="G1156" s="15" t="s">
        <v>1165</v>
      </c>
      <c r="H1156" s="14" t="s">
        <v>1165</v>
      </c>
      <c r="I1156" s="18" t="s">
        <v>1328</v>
      </c>
      <c r="J1156" s="18" t="s">
        <v>1337</v>
      </c>
      <c r="K1156" s="18" t="s">
        <v>1338</v>
      </c>
      <c r="L1156">
        <v>2000</v>
      </c>
      <c r="M1156" t="s">
        <v>1327</v>
      </c>
      <c r="O1156">
        <v>2005</v>
      </c>
      <c r="P1156">
        <v>2005</v>
      </c>
      <c r="Q1156" t="s">
        <v>1329</v>
      </c>
      <c r="R1156">
        <v>10</v>
      </c>
      <c r="T1156" t="s">
        <v>1330</v>
      </c>
      <c r="U1156" t="s">
        <v>1340</v>
      </c>
      <c r="V1156" s="9" t="s">
        <v>1339</v>
      </c>
      <c r="W1156">
        <v>35</v>
      </c>
      <c r="X1156" s="9" t="s">
        <v>1261</v>
      </c>
      <c r="Z1156">
        <v>12</v>
      </c>
      <c r="AD1156" t="s">
        <v>1165</v>
      </c>
      <c r="AF1156" t="s">
        <v>1165</v>
      </c>
      <c r="AI1156" t="s">
        <v>1165</v>
      </c>
      <c r="AJ1156" s="15" t="s">
        <v>1148</v>
      </c>
      <c r="AK1156" s="15">
        <v>91.471000000000004</v>
      </c>
      <c r="AP1156" s="15">
        <v>28</v>
      </c>
      <c r="AQ1156" s="14" t="s">
        <v>1336</v>
      </c>
      <c r="AR1156" s="15" t="s">
        <v>1335</v>
      </c>
      <c r="AS1156" t="s">
        <v>3001</v>
      </c>
    </row>
    <row r="1157" spans="1:45" x14ac:dyDescent="0.2">
      <c r="A1157" t="s">
        <v>1326</v>
      </c>
      <c r="B1157" s="15" t="s">
        <v>1146</v>
      </c>
      <c r="C1157" s="15" t="s">
        <v>1149</v>
      </c>
      <c r="D1157" t="s">
        <v>1342</v>
      </c>
      <c r="E1157" t="s">
        <v>1343</v>
      </c>
      <c r="G1157" s="15" t="s">
        <v>1165</v>
      </c>
      <c r="H1157" s="14" t="s">
        <v>1165</v>
      </c>
      <c r="I1157" s="18" t="s">
        <v>1328</v>
      </c>
      <c r="J1157" s="18" t="s">
        <v>1337</v>
      </c>
      <c r="K1157" s="18" t="s">
        <v>1338</v>
      </c>
      <c r="L1157">
        <v>2000</v>
      </c>
      <c r="M1157" t="s">
        <v>1327</v>
      </c>
      <c r="O1157">
        <v>2005</v>
      </c>
      <c r="P1157">
        <v>2005</v>
      </c>
      <c r="Q1157" t="s">
        <v>1329</v>
      </c>
      <c r="R1157">
        <v>10</v>
      </c>
      <c r="T1157" t="s">
        <v>1330</v>
      </c>
      <c r="U1157" t="s">
        <v>1340</v>
      </c>
      <c r="V1157" s="9" t="s">
        <v>1339</v>
      </c>
      <c r="W1157">
        <v>35</v>
      </c>
      <c r="X1157" s="9" t="s">
        <v>1334</v>
      </c>
      <c r="Z1157">
        <v>12</v>
      </c>
      <c r="AD1157" t="s">
        <v>1165</v>
      </c>
      <c r="AF1157" t="s">
        <v>1165</v>
      </c>
      <c r="AI1157" t="s">
        <v>1165</v>
      </c>
      <c r="AJ1157" s="15" t="s">
        <v>1148</v>
      </c>
      <c r="AK1157" s="4">
        <v>67.352999999999994</v>
      </c>
      <c r="AP1157" s="15">
        <v>28</v>
      </c>
      <c r="AQ1157" s="14" t="s">
        <v>1336</v>
      </c>
      <c r="AR1157" s="15" t="s">
        <v>1335</v>
      </c>
      <c r="AS1157" t="s">
        <v>3001</v>
      </c>
    </row>
    <row r="1158" spans="1:45" x14ac:dyDescent="0.2">
      <c r="A1158" t="s">
        <v>1326</v>
      </c>
      <c r="B1158" s="15" t="s">
        <v>1146</v>
      </c>
      <c r="C1158" s="15" t="s">
        <v>1149</v>
      </c>
      <c r="D1158" t="s">
        <v>1342</v>
      </c>
      <c r="E1158" t="s">
        <v>1343</v>
      </c>
      <c r="G1158" s="15" t="s">
        <v>1165</v>
      </c>
      <c r="H1158" s="14" t="s">
        <v>1165</v>
      </c>
      <c r="I1158" s="18" t="s">
        <v>1328</v>
      </c>
      <c r="J1158" s="18" t="s">
        <v>1337</v>
      </c>
      <c r="K1158" s="18" t="s">
        <v>1338</v>
      </c>
      <c r="L1158">
        <v>2000</v>
      </c>
      <c r="M1158" t="s">
        <v>1327</v>
      </c>
      <c r="O1158">
        <v>2005</v>
      </c>
      <c r="P1158">
        <v>2005</v>
      </c>
      <c r="Q1158" t="s">
        <v>1329</v>
      </c>
      <c r="R1158">
        <v>10</v>
      </c>
      <c r="T1158" t="s">
        <v>1330</v>
      </c>
      <c r="U1158" t="s">
        <v>1340</v>
      </c>
      <c r="V1158" s="9" t="s">
        <v>1339</v>
      </c>
      <c r="W1158">
        <v>35</v>
      </c>
      <c r="X1158" s="9" t="s">
        <v>1333</v>
      </c>
      <c r="Z1158">
        <v>0</v>
      </c>
      <c r="AD1158" t="s">
        <v>1165</v>
      </c>
      <c r="AF1158" t="s">
        <v>1165</v>
      </c>
      <c r="AI1158" t="s">
        <v>1165</v>
      </c>
      <c r="AJ1158" s="15" t="s">
        <v>1148</v>
      </c>
      <c r="AK1158" s="15">
        <v>0</v>
      </c>
      <c r="AP1158" s="15">
        <v>28</v>
      </c>
      <c r="AQ1158" s="14" t="s">
        <v>1336</v>
      </c>
      <c r="AR1158" s="15" t="s">
        <v>1335</v>
      </c>
      <c r="AS1158" t="s">
        <v>3001</v>
      </c>
    </row>
    <row r="1159" spans="1:45" x14ac:dyDescent="0.2">
      <c r="A1159" t="s">
        <v>1326</v>
      </c>
      <c r="B1159" s="15" t="s">
        <v>1146</v>
      </c>
      <c r="C1159" s="15" t="s">
        <v>1149</v>
      </c>
      <c r="D1159" t="s">
        <v>1342</v>
      </c>
      <c r="E1159" t="s">
        <v>1343</v>
      </c>
      <c r="G1159" s="15" t="s">
        <v>1165</v>
      </c>
      <c r="H1159" s="14" t="s">
        <v>1165</v>
      </c>
      <c r="I1159" s="18" t="s">
        <v>1328</v>
      </c>
      <c r="J1159" s="18" t="s">
        <v>1337</v>
      </c>
      <c r="K1159" s="18" t="s">
        <v>1338</v>
      </c>
      <c r="L1159">
        <v>2000</v>
      </c>
      <c r="M1159" t="s">
        <v>1327</v>
      </c>
      <c r="O1159">
        <v>2005</v>
      </c>
      <c r="P1159">
        <v>2005</v>
      </c>
      <c r="Q1159" t="s">
        <v>1329</v>
      </c>
      <c r="R1159">
        <v>10</v>
      </c>
      <c r="T1159" t="s">
        <v>1330</v>
      </c>
      <c r="U1159" t="s">
        <v>1340</v>
      </c>
      <c r="V1159" s="9" t="s">
        <v>1339</v>
      </c>
      <c r="W1159">
        <v>35</v>
      </c>
      <c r="X1159" s="9" t="s">
        <v>1264</v>
      </c>
      <c r="Z1159">
        <v>0</v>
      </c>
      <c r="AD1159" t="s">
        <v>1165</v>
      </c>
      <c r="AF1159" t="s">
        <v>1165</v>
      </c>
      <c r="AI1159" t="s">
        <v>1165</v>
      </c>
      <c r="AJ1159" s="15" t="s">
        <v>1148</v>
      </c>
      <c r="AK1159" s="15">
        <v>0</v>
      </c>
      <c r="AP1159" s="15">
        <v>28</v>
      </c>
      <c r="AQ1159" s="14" t="s">
        <v>1336</v>
      </c>
      <c r="AR1159" s="15" t="s">
        <v>1335</v>
      </c>
      <c r="AS1159" t="s">
        <v>3001</v>
      </c>
    </row>
    <row r="1160" spans="1:45" x14ac:dyDescent="0.2">
      <c r="A1160" t="s">
        <v>1326</v>
      </c>
      <c r="B1160" s="15" t="s">
        <v>1146</v>
      </c>
      <c r="C1160" s="15" t="s">
        <v>1149</v>
      </c>
      <c r="D1160" t="s">
        <v>1342</v>
      </c>
      <c r="E1160" t="s">
        <v>1343</v>
      </c>
      <c r="G1160" s="15" t="s">
        <v>1165</v>
      </c>
      <c r="H1160" s="14" t="s">
        <v>1165</v>
      </c>
      <c r="I1160" s="18" t="s">
        <v>1328</v>
      </c>
      <c r="J1160" s="18" t="s">
        <v>1337</v>
      </c>
      <c r="K1160" s="18" t="s">
        <v>1338</v>
      </c>
      <c r="L1160">
        <v>2000</v>
      </c>
      <c r="M1160" t="s">
        <v>1327</v>
      </c>
      <c r="O1160">
        <v>2005</v>
      </c>
      <c r="P1160">
        <v>2005</v>
      </c>
      <c r="Q1160" t="s">
        <v>1329</v>
      </c>
      <c r="R1160">
        <v>10</v>
      </c>
      <c r="T1160" t="s">
        <v>1330</v>
      </c>
      <c r="U1160" t="s">
        <v>1340</v>
      </c>
      <c r="V1160" s="9" t="s">
        <v>1339</v>
      </c>
      <c r="W1160">
        <v>35</v>
      </c>
      <c r="X1160" s="9" t="s">
        <v>1261</v>
      </c>
      <c r="Z1160">
        <v>0</v>
      </c>
      <c r="AD1160" t="s">
        <v>1165</v>
      </c>
      <c r="AF1160" t="s">
        <v>1165</v>
      </c>
      <c r="AI1160" t="s">
        <v>1165</v>
      </c>
      <c r="AJ1160" s="15" t="s">
        <v>1148</v>
      </c>
      <c r="AK1160" s="15">
        <v>0</v>
      </c>
      <c r="AP1160" s="15">
        <v>28</v>
      </c>
      <c r="AQ1160" s="14" t="s">
        <v>1336</v>
      </c>
      <c r="AR1160" s="15" t="s">
        <v>1335</v>
      </c>
      <c r="AS1160" t="s">
        <v>3001</v>
      </c>
    </row>
    <row r="1161" spans="1:45" x14ac:dyDescent="0.2">
      <c r="A1161" t="s">
        <v>1326</v>
      </c>
      <c r="B1161" s="15" t="s">
        <v>1146</v>
      </c>
      <c r="C1161" s="15" t="s">
        <v>1149</v>
      </c>
      <c r="D1161" t="s">
        <v>1342</v>
      </c>
      <c r="E1161" t="s">
        <v>1343</v>
      </c>
      <c r="G1161" s="15" t="s">
        <v>1165</v>
      </c>
      <c r="H1161" s="14" t="s">
        <v>1165</v>
      </c>
      <c r="I1161" s="18" t="s">
        <v>1328</v>
      </c>
      <c r="J1161" s="18" t="s">
        <v>1337</v>
      </c>
      <c r="K1161" s="18" t="s">
        <v>1338</v>
      </c>
      <c r="L1161">
        <v>2000</v>
      </c>
      <c r="M1161" t="s">
        <v>1327</v>
      </c>
      <c r="O1161">
        <v>2005</v>
      </c>
      <c r="P1161">
        <v>2005</v>
      </c>
      <c r="Q1161" t="s">
        <v>1329</v>
      </c>
      <c r="R1161">
        <v>10</v>
      </c>
      <c r="T1161" t="s">
        <v>1330</v>
      </c>
      <c r="U1161" t="s">
        <v>1340</v>
      </c>
      <c r="V1161" s="9" t="s">
        <v>1339</v>
      </c>
      <c r="W1161">
        <v>35</v>
      </c>
      <c r="X1161" s="9" t="s">
        <v>1334</v>
      </c>
      <c r="Z1161">
        <v>0</v>
      </c>
      <c r="AD1161" t="s">
        <v>1165</v>
      </c>
      <c r="AF1161" t="s">
        <v>1165</v>
      </c>
      <c r="AI1161" t="s">
        <v>1165</v>
      </c>
      <c r="AJ1161" s="15" t="s">
        <v>1148</v>
      </c>
      <c r="AK1161" s="15">
        <v>0</v>
      </c>
      <c r="AP1161" s="15">
        <v>28</v>
      </c>
      <c r="AQ1161" s="14" t="s">
        <v>1336</v>
      </c>
      <c r="AR1161" s="15" t="s">
        <v>1335</v>
      </c>
      <c r="AS1161" t="s">
        <v>3001</v>
      </c>
    </row>
    <row r="1162" spans="1:45" x14ac:dyDescent="0.2">
      <c r="A1162" t="s">
        <v>1326</v>
      </c>
      <c r="B1162" s="15" t="s">
        <v>1146</v>
      </c>
      <c r="C1162" s="15" t="s">
        <v>1149</v>
      </c>
      <c r="D1162" t="s">
        <v>1342</v>
      </c>
      <c r="E1162" t="s">
        <v>1343</v>
      </c>
      <c r="G1162" s="15" t="s">
        <v>1165</v>
      </c>
      <c r="H1162" s="14" t="s">
        <v>1165</v>
      </c>
      <c r="I1162" s="18" t="s">
        <v>1328</v>
      </c>
      <c r="J1162" s="18" t="s">
        <v>1337</v>
      </c>
      <c r="K1162" s="18" t="s">
        <v>1338</v>
      </c>
      <c r="L1162">
        <v>2000</v>
      </c>
      <c r="M1162" t="s">
        <v>1327</v>
      </c>
      <c r="O1162">
        <v>2005</v>
      </c>
      <c r="P1162">
        <v>2005</v>
      </c>
      <c r="Q1162" t="s">
        <v>1329</v>
      </c>
      <c r="R1162">
        <v>10</v>
      </c>
      <c r="T1162" t="s">
        <v>1330</v>
      </c>
      <c r="U1162" t="s">
        <v>1340</v>
      </c>
      <c r="V1162" s="9" t="s">
        <v>1339</v>
      </c>
      <c r="W1162">
        <v>70</v>
      </c>
      <c r="X1162" s="9" t="s">
        <v>1333</v>
      </c>
      <c r="Z1162">
        <v>12</v>
      </c>
      <c r="AD1162" t="s">
        <v>1165</v>
      </c>
      <c r="AF1162" t="s">
        <v>1165</v>
      </c>
      <c r="AI1162" t="s">
        <v>1165</v>
      </c>
      <c r="AJ1162" s="15" t="s">
        <v>1148</v>
      </c>
      <c r="AK1162" s="15">
        <v>86.471000000000004</v>
      </c>
      <c r="AP1162" s="15">
        <v>28</v>
      </c>
      <c r="AQ1162" s="14" t="s">
        <v>1336</v>
      </c>
      <c r="AR1162" s="15" t="s">
        <v>1335</v>
      </c>
      <c r="AS1162" t="s">
        <v>3001</v>
      </c>
    </row>
    <row r="1163" spans="1:45" x14ac:dyDescent="0.2">
      <c r="A1163" t="s">
        <v>1326</v>
      </c>
      <c r="B1163" s="15" t="s">
        <v>1146</v>
      </c>
      <c r="C1163" s="15" t="s">
        <v>1149</v>
      </c>
      <c r="D1163" t="s">
        <v>1342</v>
      </c>
      <c r="E1163" t="s">
        <v>1343</v>
      </c>
      <c r="G1163" s="15" t="s">
        <v>1165</v>
      </c>
      <c r="H1163" s="14" t="s">
        <v>1165</v>
      </c>
      <c r="I1163" s="18" t="s">
        <v>1328</v>
      </c>
      <c r="J1163" s="18" t="s">
        <v>1337</v>
      </c>
      <c r="K1163" s="18" t="s">
        <v>1338</v>
      </c>
      <c r="L1163">
        <v>2000</v>
      </c>
      <c r="M1163" t="s">
        <v>1327</v>
      </c>
      <c r="O1163">
        <v>2005</v>
      </c>
      <c r="P1163">
        <v>2005</v>
      </c>
      <c r="Q1163" t="s">
        <v>1329</v>
      </c>
      <c r="R1163">
        <v>10</v>
      </c>
      <c r="T1163" t="s">
        <v>1330</v>
      </c>
      <c r="U1163" t="s">
        <v>1340</v>
      </c>
      <c r="V1163" s="9" t="s">
        <v>1339</v>
      </c>
      <c r="W1163">
        <v>70</v>
      </c>
      <c r="X1163" s="9" t="s">
        <v>1264</v>
      </c>
      <c r="Z1163">
        <v>12</v>
      </c>
      <c r="AD1163" t="s">
        <v>1165</v>
      </c>
      <c r="AF1163" t="s">
        <v>1165</v>
      </c>
      <c r="AI1163" t="s">
        <v>1165</v>
      </c>
      <c r="AJ1163" s="15" t="s">
        <v>1148</v>
      </c>
      <c r="AK1163" s="15">
        <v>99.117999999999995</v>
      </c>
      <c r="AP1163" s="15">
        <v>28</v>
      </c>
      <c r="AQ1163" s="14" t="s">
        <v>1336</v>
      </c>
      <c r="AR1163" s="15" t="s">
        <v>1335</v>
      </c>
      <c r="AS1163" t="s">
        <v>3001</v>
      </c>
    </row>
    <row r="1164" spans="1:45" x14ac:dyDescent="0.2">
      <c r="A1164" t="s">
        <v>1326</v>
      </c>
      <c r="B1164" s="15" t="s">
        <v>1146</v>
      </c>
      <c r="C1164" s="15" t="s">
        <v>1149</v>
      </c>
      <c r="D1164" t="s">
        <v>1342</v>
      </c>
      <c r="E1164" t="s">
        <v>1343</v>
      </c>
      <c r="G1164" s="15" t="s">
        <v>1165</v>
      </c>
      <c r="H1164" s="14" t="s">
        <v>1165</v>
      </c>
      <c r="I1164" s="18" t="s">
        <v>1328</v>
      </c>
      <c r="J1164" s="18" t="s">
        <v>1337</v>
      </c>
      <c r="K1164" s="18" t="s">
        <v>1338</v>
      </c>
      <c r="L1164">
        <v>2000</v>
      </c>
      <c r="M1164" t="s">
        <v>1327</v>
      </c>
      <c r="O1164">
        <v>2005</v>
      </c>
      <c r="P1164">
        <v>2005</v>
      </c>
      <c r="Q1164" t="s">
        <v>1329</v>
      </c>
      <c r="R1164">
        <v>10</v>
      </c>
      <c r="T1164" t="s">
        <v>1330</v>
      </c>
      <c r="U1164" t="s">
        <v>1340</v>
      </c>
      <c r="V1164" s="9" t="s">
        <v>1339</v>
      </c>
      <c r="W1164">
        <v>70</v>
      </c>
      <c r="X1164" s="9" t="s">
        <v>1261</v>
      </c>
      <c r="Z1164">
        <v>12</v>
      </c>
      <c r="AD1164" t="s">
        <v>1165</v>
      </c>
      <c r="AF1164" t="s">
        <v>1165</v>
      </c>
      <c r="AI1164" t="s">
        <v>1165</v>
      </c>
      <c r="AJ1164" s="15" t="s">
        <v>1148</v>
      </c>
      <c r="AK1164" s="15">
        <v>98.528999999999996</v>
      </c>
      <c r="AP1164" s="15">
        <v>28</v>
      </c>
      <c r="AQ1164" s="14" t="s">
        <v>1336</v>
      </c>
      <c r="AR1164" s="15" t="s">
        <v>1335</v>
      </c>
      <c r="AS1164" t="s">
        <v>3001</v>
      </c>
    </row>
    <row r="1165" spans="1:45" x14ac:dyDescent="0.2">
      <c r="A1165" t="s">
        <v>1326</v>
      </c>
      <c r="B1165" s="15" t="s">
        <v>1146</v>
      </c>
      <c r="C1165" s="15" t="s">
        <v>1149</v>
      </c>
      <c r="D1165" t="s">
        <v>1342</v>
      </c>
      <c r="E1165" t="s">
        <v>1343</v>
      </c>
      <c r="G1165" s="15" t="s">
        <v>1165</v>
      </c>
      <c r="H1165" s="14" t="s">
        <v>1165</v>
      </c>
      <c r="I1165" s="18" t="s">
        <v>1328</v>
      </c>
      <c r="J1165" s="18" t="s">
        <v>1337</v>
      </c>
      <c r="K1165" s="18" t="s">
        <v>1338</v>
      </c>
      <c r="L1165">
        <v>2000</v>
      </c>
      <c r="M1165" t="s">
        <v>1327</v>
      </c>
      <c r="O1165">
        <v>2005</v>
      </c>
      <c r="P1165">
        <v>2005</v>
      </c>
      <c r="Q1165" t="s">
        <v>1329</v>
      </c>
      <c r="R1165">
        <v>10</v>
      </c>
      <c r="T1165" t="s">
        <v>1330</v>
      </c>
      <c r="U1165" t="s">
        <v>1340</v>
      </c>
      <c r="V1165" s="9" t="s">
        <v>1339</v>
      </c>
      <c r="W1165">
        <v>70</v>
      </c>
      <c r="X1165" s="9" t="s">
        <v>1334</v>
      </c>
      <c r="Z1165">
        <v>12</v>
      </c>
      <c r="AD1165" t="s">
        <v>1165</v>
      </c>
      <c r="AF1165" t="s">
        <v>1165</v>
      </c>
      <c r="AI1165" t="s">
        <v>1165</v>
      </c>
      <c r="AJ1165" s="15" t="s">
        <v>1148</v>
      </c>
      <c r="AK1165" s="15">
        <v>93.234999999999999</v>
      </c>
      <c r="AP1165" s="15">
        <v>28</v>
      </c>
      <c r="AQ1165" s="14" t="s">
        <v>1336</v>
      </c>
      <c r="AR1165" s="15" t="s">
        <v>1335</v>
      </c>
      <c r="AS1165" t="s">
        <v>3001</v>
      </c>
    </row>
    <row r="1166" spans="1:45" x14ac:dyDescent="0.2">
      <c r="A1166" t="s">
        <v>1326</v>
      </c>
      <c r="B1166" s="15" t="s">
        <v>1146</v>
      </c>
      <c r="C1166" s="15" t="s">
        <v>1149</v>
      </c>
      <c r="D1166" t="s">
        <v>1342</v>
      </c>
      <c r="E1166" t="s">
        <v>1343</v>
      </c>
      <c r="G1166" s="15" t="s">
        <v>1165</v>
      </c>
      <c r="H1166" s="14" t="s">
        <v>1165</v>
      </c>
      <c r="I1166" s="18" t="s">
        <v>1328</v>
      </c>
      <c r="J1166" s="18" t="s">
        <v>1337</v>
      </c>
      <c r="K1166" s="18" t="s">
        <v>1338</v>
      </c>
      <c r="L1166">
        <v>2000</v>
      </c>
      <c r="M1166" t="s">
        <v>1327</v>
      </c>
      <c r="O1166">
        <v>2005</v>
      </c>
      <c r="P1166">
        <v>2005</v>
      </c>
      <c r="Q1166" t="s">
        <v>1329</v>
      </c>
      <c r="R1166">
        <v>10</v>
      </c>
      <c r="T1166" t="s">
        <v>1330</v>
      </c>
      <c r="U1166" t="s">
        <v>1340</v>
      </c>
      <c r="V1166" s="9" t="s">
        <v>1339</v>
      </c>
      <c r="W1166">
        <v>70</v>
      </c>
      <c r="X1166" s="9" t="s">
        <v>1333</v>
      </c>
      <c r="Z1166">
        <v>0</v>
      </c>
      <c r="AD1166" t="s">
        <v>1165</v>
      </c>
      <c r="AF1166" t="s">
        <v>1165</v>
      </c>
      <c r="AI1166" t="s">
        <v>1165</v>
      </c>
      <c r="AJ1166" s="15" t="s">
        <v>1148</v>
      </c>
      <c r="AK1166" s="15">
        <v>0</v>
      </c>
      <c r="AP1166" s="15">
        <v>28</v>
      </c>
      <c r="AQ1166" s="14" t="s">
        <v>1336</v>
      </c>
      <c r="AR1166" s="15" t="s">
        <v>1335</v>
      </c>
      <c r="AS1166" t="s">
        <v>3001</v>
      </c>
    </row>
    <row r="1167" spans="1:45" x14ac:dyDescent="0.2">
      <c r="A1167" t="s">
        <v>1326</v>
      </c>
      <c r="B1167" s="15" t="s">
        <v>1146</v>
      </c>
      <c r="C1167" s="15" t="s">
        <v>1149</v>
      </c>
      <c r="D1167" t="s">
        <v>1342</v>
      </c>
      <c r="E1167" t="s">
        <v>1343</v>
      </c>
      <c r="G1167" s="15" t="s">
        <v>1165</v>
      </c>
      <c r="H1167" s="14" t="s">
        <v>1165</v>
      </c>
      <c r="I1167" s="18" t="s">
        <v>1328</v>
      </c>
      <c r="J1167" s="18" t="s">
        <v>1337</v>
      </c>
      <c r="K1167" s="18" t="s">
        <v>1338</v>
      </c>
      <c r="L1167">
        <v>2000</v>
      </c>
      <c r="M1167" t="s">
        <v>1327</v>
      </c>
      <c r="O1167">
        <v>2005</v>
      </c>
      <c r="P1167">
        <v>2005</v>
      </c>
      <c r="Q1167" t="s">
        <v>1329</v>
      </c>
      <c r="R1167">
        <v>10</v>
      </c>
      <c r="T1167" t="s">
        <v>1330</v>
      </c>
      <c r="U1167" t="s">
        <v>1340</v>
      </c>
      <c r="V1167" s="9" t="s">
        <v>1339</v>
      </c>
      <c r="W1167">
        <v>70</v>
      </c>
      <c r="X1167" s="9" t="s">
        <v>1264</v>
      </c>
      <c r="Z1167">
        <v>0</v>
      </c>
      <c r="AD1167" t="s">
        <v>1165</v>
      </c>
      <c r="AF1167" t="s">
        <v>1165</v>
      </c>
      <c r="AI1167" t="s">
        <v>1165</v>
      </c>
      <c r="AJ1167" s="15" t="s">
        <v>1148</v>
      </c>
      <c r="AK1167" s="15">
        <v>0</v>
      </c>
      <c r="AP1167" s="15">
        <v>28</v>
      </c>
      <c r="AQ1167" s="14" t="s">
        <v>1336</v>
      </c>
      <c r="AR1167" s="15" t="s">
        <v>1335</v>
      </c>
      <c r="AS1167" t="s">
        <v>3001</v>
      </c>
    </row>
    <row r="1168" spans="1:45" x14ac:dyDescent="0.2">
      <c r="A1168" t="s">
        <v>1326</v>
      </c>
      <c r="B1168" s="15" t="s">
        <v>1146</v>
      </c>
      <c r="C1168" s="15" t="s">
        <v>1149</v>
      </c>
      <c r="D1168" t="s">
        <v>1342</v>
      </c>
      <c r="E1168" t="s">
        <v>1343</v>
      </c>
      <c r="G1168" s="15" t="s">
        <v>1165</v>
      </c>
      <c r="H1168" s="14" t="s">
        <v>1165</v>
      </c>
      <c r="I1168" s="18" t="s">
        <v>1328</v>
      </c>
      <c r="J1168" s="18" t="s">
        <v>1337</v>
      </c>
      <c r="K1168" s="18" t="s">
        <v>1338</v>
      </c>
      <c r="L1168">
        <v>2000</v>
      </c>
      <c r="M1168" t="s">
        <v>1327</v>
      </c>
      <c r="O1168">
        <v>2005</v>
      </c>
      <c r="P1168">
        <v>2005</v>
      </c>
      <c r="Q1168" t="s">
        <v>1329</v>
      </c>
      <c r="R1168">
        <v>10</v>
      </c>
      <c r="T1168" t="s">
        <v>1330</v>
      </c>
      <c r="U1168" t="s">
        <v>1340</v>
      </c>
      <c r="V1168" s="9" t="s">
        <v>1339</v>
      </c>
      <c r="W1168">
        <v>70</v>
      </c>
      <c r="X1168" s="9" t="s">
        <v>1261</v>
      </c>
      <c r="Z1168">
        <v>0</v>
      </c>
      <c r="AD1168" t="s">
        <v>1165</v>
      </c>
      <c r="AF1168" t="s">
        <v>1165</v>
      </c>
      <c r="AI1168" t="s">
        <v>1165</v>
      </c>
      <c r="AJ1168" s="15" t="s">
        <v>1148</v>
      </c>
      <c r="AK1168" s="15">
        <v>0</v>
      </c>
      <c r="AP1168" s="15">
        <v>28</v>
      </c>
      <c r="AQ1168" s="14" t="s">
        <v>1336</v>
      </c>
      <c r="AR1168" s="15" t="s">
        <v>1335</v>
      </c>
      <c r="AS1168" t="s">
        <v>3001</v>
      </c>
    </row>
    <row r="1169" spans="1:45" x14ac:dyDescent="0.2">
      <c r="A1169" t="s">
        <v>1326</v>
      </c>
      <c r="B1169" s="15" t="s">
        <v>1146</v>
      </c>
      <c r="C1169" s="15" t="s">
        <v>1149</v>
      </c>
      <c r="D1169" t="s">
        <v>1342</v>
      </c>
      <c r="E1169" t="s">
        <v>1343</v>
      </c>
      <c r="G1169" s="15" t="s">
        <v>1165</v>
      </c>
      <c r="H1169" s="14" t="s">
        <v>1165</v>
      </c>
      <c r="I1169" s="18" t="s">
        <v>1328</v>
      </c>
      <c r="J1169" s="18" t="s">
        <v>1337</v>
      </c>
      <c r="K1169" s="18" t="s">
        <v>1338</v>
      </c>
      <c r="L1169">
        <v>2000</v>
      </c>
      <c r="M1169" t="s">
        <v>1327</v>
      </c>
      <c r="O1169">
        <v>2005</v>
      </c>
      <c r="P1169">
        <v>2005</v>
      </c>
      <c r="Q1169" t="s">
        <v>1329</v>
      </c>
      <c r="R1169">
        <v>10</v>
      </c>
      <c r="T1169" t="s">
        <v>1330</v>
      </c>
      <c r="U1169" t="s">
        <v>1340</v>
      </c>
      <c r="V1169" s="9" t="s">
        <v>1339</v>
      </c>
      <c r="W1169">
        <v>70</v>
      </c>
      <c r="X1169" s="9" t="s">
        <v>1334</v>
      </c>
      <c r="Z1169">
        <v>0</v>
      </c>
      <c r="AD1169" t="s">
        <v>1165</v>
      </c>
      <c r="AF1169" t="s">
        <v>1165</v>
      </c>
      <c r="AI1169" t="s">
        <v>1165</v>
      </c>
      <c r="AJ1169" s="15" t="s">
        <v>1148</v>
      </c>
      <c r="AK1169" s="15">
        <v>0</v>
      </c>
      <c r="AP1169" s="15">
        <v>28</v>
      </c>
      <c r="AQ1169" s="14" t="s">
        <v>1336</v>
      </c>
      <c r="AR1169" s="15" t="s">
        <v>1335</v>
      </c>
      <c r="AS1169" t="s">
        <v>3001</v>
      </c>
    </row>
    <row r="1170" spans="1:45" x14ac:dyDescent="0.2">
      <c r="A1170" t="s">
        <v>1326</v>
      </c>
      <c r="B1170" s="15" t="s">
        <v>1146</v>
      </c>
      <c r="C1170" s="15" t="s">
        <v>1149</v>
      </c>
      <c r="D1170" t="s">
        <v>1342</v>
      </c>
      <c r="E1170" t="s">
        <v>1343</v>
      </c>
      <c r="G1170" s="15" t="s">
        <v>1165</v>
      </c>
      <c r="H1170" s="14" t="s">
        <v>1165</v>
      </c>
      <c r="I1170" s="18" t="s">
        <v>1328</v>
      </c>
      <c r="J1170" s="18" t="s">
        <v>1337</v>
      </c>
      <c r="K1170" s="18" t="s">
        <v>1338</v>
      </c>
      <c r="L1170">
        <v>2000</v>
      </c>
      <c r="M1170" t="s">
        <v>1327</v>
      </c>
      <c r="O1170">
        <v>2005</v>
      </c>
      <c r="P1170">
        <v>2005</v>
      </c>
      <c r="Q1170" t="s">
        <v>1329</v>
      </c>
      <c r="R1170">
        <v>10</v>
      </c>
      <c r="T1170" t="s">
        <v>1330</v>
      </c>
      <c r="U1170" t="s">
        <v>1340</v>
      </c>
      <c r="V1170" s="9" t="s">
        <v>1339</v>
      </c>
      <c r="W1170">
        <v>140</v>
      </c>
      <c r="X1170" s="9" t="s">
        <v>1333</v>
      </c>
      <c r="Z1170">
        <v>12</v>
      </c>
      <c r="AD1170" t="s">
        <v>1165</v>
      </c>
      <c r="AF1170" t="s">
        <v>1165</v>
      </c>
      <c r="AI1170" t="s">
        <v>1165</v>
      </c>
      <c r="AJ1170" s="15" t="s">
        <v>1148</v>
      </c>
      <c r="AK1170" s="15">
        <v>87.941000000000003</v>
      </c>
      <c r="AP1170" s="15">
        <v>28</v>
      </c>
      <c r="AQ1170" s="14" t="s">
        <v>1336</v>
      </c>
      <c r="AR1170" s="15" t="s">
        <v>1335</v>
      </c>
      <c r="AS1170" t="s">
        <v>3001</v>
      </c>
    </row>
    <row r="1171" spans="1:45" x14ac:dyDescent="0.2">
      <c r="A1171" t="s">
        <v>1326</v>
      </c>
      <c r="B1171" s="15" t="s">
        <v>1146</v>
      </c>
      <c r="C1171" s="15" t="s">
        <v>1149</v>
      </c>
      <c r="D1171" t="s">
        <v>1342</v>
      </c>
      <c r="E1171" t="s">
        <v>1343</v>
      </c>
      <c r="G1171" s="15" t="s">
        <v>1165</v>
      </c>
      <c r="H1171" s="14" t="s">
        <v>1165</v>
      </c>
      <c r="I1171" s="18" t="s">
        <v>1328</v>
      </c>
      <c r="J1171" s="18" t="s">
        <v>1337</v>
      </c>
      <c r="K1171" s="18" t="s">
        <v>1338</v>
      </c>
      <c r="L1171">
        <v>2000</v>
      </c>
      <c r="M1171" t="s">
        <v>1327</v>
      </c>
      <c r="O1171">
        <v>2005</v>
      </c>
      <c r="P1171">
        <v>2005</v>
      </c>
      <c r="Q1171" t="s">
        <v>1329</v>
      </c>
      <c r="R1171">
        <v>10</v>
      </c>
      <c r="T1171" t="s">
        <v>1330</v>
      </c>
      <c r="U1171" t="s">
        <v>1340</v>
      </c>
      <c r="V1171" s="9" t="s">
        <v>1339</v>
      </c>
      <c r="W1171">
        <v>140</v>
      </c>
      <c r="X1171" s="9" t="s">
        <v>1264</v>
      </c>
      <c r="Z1171">
        <v>12</v>
      </c>
      <c r="AD1171" t="s">
        <v>1165</v>
      </c>
      <c r="AF1171" t="s">
        <v>1165</v>
      </c>
      <c r="AI1171" t="s">
        <v>1165</v>
      </c>
      <c r="AJ1171" s="15" t="s">
        <v>1148</v>
      </c>
      <c r="AK1171" s="15">
        <v>100</v>
      </c>
      <c r="AP1171" s="15">
        <v>28</v>
      </c>
      <c r="AQ1171" s="14" t="s">
        <v>1336</v>
      </c>
      <c r="AR1171" s="15" t="s">
        <v>1335</v>
      </c>
      <c r="AS1171" t="s">
        <v>3001</v>
      </c>
    </row>
    <row r="1172" spans="1:45" x14ac:dyDescent="0.2">
      <c r="A1172" t="s">
        <v>1326</v>
      </c>
      <c r="B1172" s="15" t="s">
        <v>1146</v>
      </c>
      <c r="C1172" s="15" t="s">
        <v>1149</v>
      </c>
      <c r="D1172" t="s">
        <v>1342</v>
      </c>
      <c r="E1172" t="s">
        <v>1343</v>
      </c>
      <c r="G1172" s="15" t="s">
        <v>1165</v>
      </c>
      <c r="H1172" s="14" t="s">
        <v>1165</v>
      </c>
      <c r="I1172" s="18" t="s">
        <v>1328</v>
      </c>
      <c r="J1172" s="18" t="s">
        <v>1337</v>
      </c>
      <c r="K1172" s="18" t="s">
        <v>1338</v>
      </c>
      <c r="L1172">
        <v>2000</v>
      </c>
      <c r="M1172" t="s">
        <v>1327</v>
      </c>
      <c r="O1172">
        <v>2005</v>
      </c>
      <c r="P1172">
        <v>2005</v>
      </c>
      <c r="Q1172" t="s">
        <v>1329</v>
      </c>
      <c r="R1172">
        <v>10</v>
      </c>
      <c r="T1172" t="s">
        <v>1330</v>
      </c>
      <c r="U1172" t="s">
        <v>1340</v>
      </c>
      <c r="V1172" s="9" t="s">
        <v>1339</v>
      </c>
      <c r="W1172">
        <v>140</v>
      </c>
      <c r="X1172" s="9" t="s">
        <v>1261</v>
      </c>
      <c r="Z1172">
        <v>12</v>
      </c>
      <c r="AD1172" t="s">
        <v>1165</v>
      </c>
      <c r="AF1172" t="s">
        <v>1165</v>
      </c>
      <c r="AI1172" t="s">
        <v>1165</v>
      </c>
      <c r="AJ1172" s="15" t="s">
        <v>1148</v>
      </c>
      <c r="AK1172" s="15">
        <v>100</v>
      </c>
      <c r="AP1172" s="15">
        <v>28</v>
      </c>
      <c r="AQ1172" s="14" t="s">
        <v>1336</v>
      </c>
      <c r="AR1172" s="15" t="s">
        <v>1335</v>
      </c>
      <c r="AS1172" t="s">
        <v>3001</v>
      </c>
    </row>
    <row r="1173" spans="1:45" x14ac:dyDescent="0.2">
      <c r="A1173" t="s">
        <v>1326</v>
      </c>
      <c r="B1173" s="15" t="s">
        <v>1146</v>
      </c>
      <c r="C1173" s="15" t="s">
        <v>1149</v>
      </c>
      <c r="D1173" t="s">
        <v>1342</v>
      </c>
      <c r="E1173" t="s">
        <v>1343</v>
      </c>
      <c r="G1173" s="15" t="s">
        <v>1165</v>
      </c>
      <c r="H1173" s="14" t="s">
        <v>1165</v>
      </c>
      <c r="I1173" s="18" t="s">
        <v>1328</v>
      </c>
      <c r="J1173" s="18" t="s">
        <v>1337</v>
      </c>
      <c r="K1173" s="18" t="s">
        <v>1338</v>
      </c>
      <c r="L1173">
        <v>2000</v>
      </c>
      <c r="M1173" t="s">
        <v>1327</v>
      </c>
      <c r="O1173">
        <v>2005</v>
      </c>
      <c r="P1173">
        <v>2005</v>
      </c>
      <c r="Q1173" t="s">
        <v>1329</v>
      </c>
      <c r="R1173">
        <v>10</v>
      </c>
      <c r="T1173" t="s">
        <v>1330</v>
      </c>
      <c r="U1173" t="s">
        <v>1340</v>
      </c>
      <c r="V1173" s="9" t="s">
        <v>1339</v>
      </c>
      <c r="W1173">
        <v>140</v>
      </c>
      <c r="X1173" s="9" t="s">
        <v>1334</v>
      </c>
      <c r="Z1173">
        <v>12</v>
      </c>
      <c r="AD1173" t="s">
        <v>1165</v>
      </c>
      <c r="AF1173" t="s">
        <v>1165</v>
      </c>
      <c r="AI1173" t="s">
        <v>1165</v>
      </c>
      <c r="AJ1173" s="15" t="s">
        <v>1148</v>
      </c>
      <c r="AK1173" s="4">
        <v>94.412000000000006</v>
      </c>
      <c r="AP1173" s="15">
        <v>28</v>
      </c>
      <c r="AQ1173" s="14" t="s">
        <v>1336</v>
      </c>
      <c r="AR1173" s="15" t="s">
        <v>1335</v>
      </c>
      <c r="AS1173" t="s">
        <v>3001</v>
      </c>
    </row>
    <row r="1174" spans="1:45" x14ac:dyDescent="0.2">
      <c r="A1174" t="s">
        <v>1326</v>
      </c>
      <c r="B1174" s="15" t="s">
        <v>1146</v>
      </c>
      <c r="C1174" s="15" t="s">
        <v>1149</v>
      </c>
      <c r="D1174" t="s">
        <v>1342</v>
      </c>
      <c r="E1174" t="s">
        <v>1343</v>
      </c>
      <c r="G1174" s="15" t="s">
        <v>1165</v>
      </c>
      <c r="H1174" s="14" t="s">
        <v>1165</v>
      </c>
      <c r="I1174" s="18" t="s">
        <v>1328</v>
      </c>
      <c r="J1174" s="18" t="s">
        <v>1337</v>
      </c>
      <c r="K1174" s="18" t="s">
        <v>1338</v>
      </c>
      <c r="L1174">
        <v>2000</v>
      </c>
      <c r="M1174" t="s">
        <v>1327</v>
      </c>
      <c r="O1174">
        <v>2005</v>
      </c>
      <c r="P1174">
        <v>2005</v>
      </c>
      <c r="Q1174" t="s">
        <v>1329</v>
      </c>
      <c r="R1174">
        <v>10</v>
      </c>
      <c r="T1174" t="s">
        <v>1330</v>
      </c>
      <c r="U1174" t="s">
        <v>1340</v>
      </c>
      <c r="V1174" s="9" t="s">
        <v>1339</v>
      </c>
      <c r="W1174">
        <v>140</v>
      </c>
      <c r="X1174" s="9" t="s">
        <v>1333</v>
      </c>
      <c r="Z1174">
        <v>0</v>
      </c>
      <c r="AD1174" t="s">
        <v>1165</v>
      </c>
      <c r="AF1174" t="s">
        <v>1165</v>
      </c>
      <c r="AI1174" t="s">
        <v>1165</v>
      </c>
      <c r="AJ1174" s="15" t="s">
        <v>1148</v>
      </c>
      <c r="AK1174" s="15">
        <v>0</v>
      </c>
      <c r="AP1174" s="15">
        <v>28</v>
      </c>
      <c r="AQ1174" s="14" t="s">
        <v>1336</v>
      </c>
      <c r="AR1174" s="15" t="s">
        <v>1335</v>
      </c>
      <c r="AS1174" t="s">
        <v>3001</v>
      </c>
    </row>
    <row r="1175" spans="1:45" x14ac:dyDescent="0.2">
      <c r="A1175" t="s">
        <v>1326</v>
      </c>
      <c r="B1175" s="15" t="s">
        <v>1146</v>
      </c>
      <c r="C1175" s="15" t="s">
        <v>1149</v>
      </c>
      <c r="D1175" t="s">
        <v>1342</v>
      </c>
      <c r="E1175" t="s">
        <v>1343</v>
      </c>
      <c r="G1175" s="15" t="s">
        <v>1165</v>
      </c>
      <c r="H1175" s="14" t="s">
        <v>1165</v>
      </c>
      <c r="I1175" s="18" t="s">
        <v>1328</v>
      </c>
      <c r="J1175" s="18" t="s">
        <v>1337</v>
      </c>
      <c r="K1175" s="18" t="s">
        <v>1338</v>
      </c>
      <c r="L1175">
        <v>2000</v>
      </c>
      <c r="M1175" t="s">
        <v>1327</v>
      </c>
      <c r="O1175">
        <v>2005</v>
      </c>
      <c r="P1175">
        <v>2005</v>
      </c>
      <c r="Q1175" t="s">
        <v>1329</v>
      </c>
      <c r="R1175">
        <v>10</v>
      </c>
      <c r="T1175" t="s">
        <v>1330</v>
      </c>
      <c r="U1175" t="s">
        <v>1340</v>
      </c>
      <c r="V1175" s="9" t="s">
        <v>1339</v>
      </c>
      <c r="W1175">
        <v>140</v>
      </c>
      <c r="X1175" s="9" t="s">
        <v>1264</v>
      </c>
      <c r="Z1175">
        <v>0</v>
      </c>
      <c r="AD1175" t="s">
        <v>1165</v>
      </c>
      <c r="AF1175" t="s">
        <v>1165</v>
      </c>
      <c r="AI1175" t="s">
        <v>1165</v>
      </c>
      <c r="AJ1175" s="15" t="s">
        <v>1148</v>
      </c>
      <c r="AK1175" s="15">
        <v>0</v>
      </c>
      <c r="AP1175" s="15">
        <v>28</v>
      </c>
      <c r="AQ1175" s="14" t="s">
        <v>1336</v>
      </c>
      <c r="AR1175" s="15" t="s">
        <v>1335</v>
      </c>
      <c r="AS1175" t="s">
        <v>3001</v>
      </c>
    </row>
    <row r="1176" spans="1:45" x14ac:dyDescent="0.2">
      <c r="A1176" t="s">
        <v>1326</v>
      </c>
      <c r="B1176" s="15" t="s">
        <v>1146</v>
      </c>
      <c r="C1176" s="15" t="s">
        <v>1149</v>
      </c>
      <c r="D1176" t="s">
        <v>1342</v>
      </c>
      <c r="E1176" t="s">
        <v>1343</v>
      </c>
      <c r="G1176" s="15" t="s">
        <v>1165</v>
      </c>
      <c r="H1176" s="14" t="s">
        <v>1165</v>
      </c>
      <c r="I1176" s="18" t="s">
        <v>1328</v>
      </c>
      <c r="J1176" s="18" t="s">
        <v>1337</v>
      </c>
      <c r="K1176" s="18" t="s">
        <v>1338</v>
      </c>
      <c r="L1176">
        <v>2000</v>
      </c>
      <c r="M1176" t="s">
        <v>1327</v>
      </c>
      <c r="O1176">
        <v>2005</v>
      </c>
      <c r="P1176">
        <v>2005</v>
      </c>
      <c r="Q1176" t="s">
        <v>1329</v>
      </c>
      <c r="R1176">
        <v>10</v>
      </c>
      <c r="T1176" t="s">
        <v>1330</v>
      </c>
      <c r="U1176" t="s">
        <v>1340</v>
      </c>
      <c r="V1176" s="9" t="s">
        <v>1339</v>
      </c>
      <c r="W1176">
        <v>140</v>
      </c>
      <c r="X1176" s="9" t="s">
        <v>1261</v>
      </c>
      <c r="Z1176">
        <v>0</v>
      </c>
      <c r="AD1176" t="s">
        <v>1165</v>
      </c>
      <c r="AF1176" t="s">
        <v>1165</v>
      </c>
      <c r="AI1176" t="s">
        <v>1165</v>
      </c>
      <c r="AJ1176" s="15" t="s">
        <v>1148</v>
      </c>
      <c r="AK1176" s="15">
        <v>0</v>
      </c>
      <c r="AP1176" s="15">
        <v>28</v>
      </c>
      <c r="AQ1176" s="14" t="s">
        <v>1336</v>
      </c>
      <c r="AR1176" s="15" t="s">
        <v>1335</v>
      </c>
      <c r="AS1176" t="s">
        <v>3001</v>
      </c>
    </row>
    <row r="1177" spans="1:45" x14ac:dyDescent="0.2">
      <c r="A1177" t="s">
        <v>1326</v>
      </c>
      <c r="B1177" s="15" t="s">
        <v>1146</v>
      </c>
      <c r="C1177" s="15" t="s">
        <v>1149</v>
      </c>
      <c r="D1177" t="s">
        <v>1342</v>
      </c>
      <c r="E1177" t="s">
        <v>1343</v>
      </c>
      <c r="G1177" s="15" t="s">
        <v>1165</v>
      </c>
      <c r="H1177" s="14" t="s">
        <v>1165</v>
      </c>
      <c r="I1177" s="18" t="s">
        <v>1328</v>
      </c>
      <c r="J1177" s="18" t="s">
        <v>1337</v>
      </c>
      <c r="K1177" s="18" t="s">
        <v>1338</v>
      </c>
      <c r="L1177">
        <v>2000</v>
      </c>
      <c r="M1177" t="s">
        <v>1327</v>
      </c>
      <c r="O1177">
        <v>2005</v>
      </c>
      <c r="P1177">
        <v>2005</v>
      </c>
      <c r="Q1177" t="s">
        <v>1329</v>
      </c>
      <c r="R1177">
        <v>10</v>
      </c>
      <c r="T1177" t="s">
        <v>1330</v>
      </c>
      <c r="U1177" t="s">
        <v>1340</v>
      </c>
      <c r="V1177" s="9" t="s">
        <v>1339</v>
      </c>
      <c r="W1177">
        <v>140</v>
      </c>
      <c r="X1177" s="9" t="s">
        <v>1334</v>
      </c>
      <c r="Z1177">
        <v>0</v>
      </c>
      <c r="AD1177" t="s">
        <v>1165</v>
      </c>
      <c r="AF1177" t="s">
        <v>1165</v>
      </c>
      <c r="AI1177" t="s">
        <v>1165</v>
      </c>
      <c r="AJ1177" s="15" t="s">
        <v>1148</v>
      </c>
      <c r="AK1177" s="15">
        <v>0</v>
      </c>
      <c r="AP1177" s="15">
        <v>28</v>
      </c>
      <c r="AQ1177" s="14" t="s">
        <v>1336</v>
      </c>
      <c r="AR1177" s="15" t="s">
        <v>1335</v>
      </c>
      <c r="AS1177" t="s">
        <v>3001</v>
      </c>
    </row>
    <row r="1178" spans="1:45" x14ac:dyDescent="0.2">
      <c r="A1178" t="s">
        <v>1326</v>
      </c>
      <c r="B1178" s="15" t="s">
        <v>1146</v>
      </c>
      <c r="C1178" s="15" t="s">
        <v>1149</v>
      </c>
      <c r="D1178" t="s">
        <v>1342</v>
      </c>
      <c r="E1178" t="s">
        <v>1343</v>
      </c>
      <c r="G1178" s="15" t="s">
        <v>1165</v>
      </c>
      <c r="H1178" s="14" t="s">
        <v>1165</v>
      </c>
      <c r="I1178" s="18" t="s">
        <v>1328</v>
      </c>
      <c r="J1178" s="18" t="s">
        <v>1337</v>
      </c>
      <c r="K1178" s="18" t="s">
        <v>1338</v>
      </c>
      <c r="L1178">
        <v>2000</v>
      </c>
      <c r="M1178" t="s">
        <v>1327</v>
      </c>
      <c r="O1178">
        <v>2005</v>
      </c>
      <c r="P1178">
        <v>2005</v>
      </c>
      <c r="Q1178" t="s">
        <v>1329</v>
      </c>
      <c r="R1178">
        <v>10</v>
      </c>
      <c r="T1178" t="s">
        <v>1330</v>
      </c>
      <c r="U1178" t="s">
        <v>1340</v>
      </c>
      <c r="V1178" s="9" t="s">
        <v>1339</v>
      </c>
      <c r="W1178">
        <v>210</v>
      </c>
      <c r="X1178" s="9" t="s">
        <v>1333</v>
      </c>
      <c r="Z1178">
        <v>12</v>
      </c>
      <c r="AD1178" t="s">
        <v>1165</v>
      </c>
      <c r="AF1178" t="s">
        <v>1165</v>
      </c>
      <c r="AI1178" t="s">
        <v>1165</v>
      </c>
      <c r="AJ1178" s="15" t="s">
        <v>1148</v>
      </c>
      <c r="AK1178" s="15">
        <v>73.528999999999996</v>
      </c>
      <c r="AP1178" s="15">
        <v>28</v>
      </c>
      <c r="AQ1178" s="14" t="s">
        <v>1336</v>
      </c>
      <c r="AR1178" s="15" t="s">
        <v>1335</v>
      </c>
      <c r="AS1178" t="s">
        <v>3001</v>
      </c>
    </row>
    <row r="1179" spans="1:45" x14ac:dyDescent="0.2">
      <c r="A1179" t="s">
        <v>1326</v>
      </c>
      <c r="B1179" s="15" t="s">
        <v>1146</v>
      </c>
      <c r="C1179" s="15" t="s">
        <v>1149</v>
      </c>
      <c r="D1179" t="s">
        <v>1342</v>
      </c>
      <c r="E1179" t="s">
        <v>1343</v>
      </c>
      <c r="G1179" s="15" t="s">
        <v>1165</v>
      </c>
      <c r="H1179" s="14" t="s">
        <v>1165</v>
      </c>
      <c r="I1179" s="18" t="s">
        <v>1328</v>
      </c>
      <c r="J1179" s="18" t="s">
        <v>1337</v>
      </c>
      <c r="K1179" s="18" t="s">
        <v>1338</v>
      </c>
      <c r="L1179">
        <v>2000</v>
      </c>
      <c r="M1179" t="s">
        <v>1327</v>
      </c>
      <c r="O1179">
        <v>2005</v>
      </c>
      <c r="P1179">
        <v>2005</v>
      </c>
      <c r="Q1179" t="s">
        <v>1329</v>
      </c>
      <c r="R1179">
        <v>10</v>
      </c>
      <c r="T1179" t="s">
        <v>1330</v>
      </c>
      <c r="U1179" t="s">
        <v>1340</v>
      </c>
      <c r="V1179" s="9" t="s">
        <v>1339</v>
      </c>
      <c r="W1179">
        <v>210</v>
      </c>
      <c r="X1179" s="9" t="s">
        <v>1264</v>
      </c>
      <c r="Z1179">
        <v>12</v>
      </c>
      <c r="AD1179" t="s">
        <v>1165</v>
      </c>
      <c r="AF1179" t="s">
        <v>1165</v>
      </c>
      <c r="AI1179" t="s">
        <v>1165</v>
      </c>
      <c r="AJ1179" s="15" t="s">
        <v>1148</v>
      </c>
      <c r="AK1179" s="15">
        <v>100</v>
      </c>
      <c r="AP1179" s="15">
        <v>28</v>
      </c>
      <c r="AQ1179" s="14" t="s">
        <v>1336</v>
      </c>
      <c r="AR1179" s="15" t="s">
        <v>1335</v>
      </c>
      <c r="AS1179" t="s">
        <v>3001</v>
      </c>
    </row>
    <row r="1180" spans="1:45" x14ac:dyDescent="0.2">
      <c r="A1180" t="s">
        <v>1326</v>
      </c>
      <c r="B1180" s="15" t="s">
        <v>1146</v>
      </c>
      <c r="C1180" s="15" t="s">
        <v>1149</v>
      </c>
      <c r="D1180" t="s">
        <v>1342</v>
      </c>
      <c r="E1180" t="s">
        <v>1343</v>
      </c>
      <c r="G1180" s="15" t="s">
        <v>1165</v>
      </c>
      <c r="H1180" s="14" t="s">
        <v>1165</v>
      </c>
      <c r="I1180" s="18" t="s">
        <v>1328</v>
      </c>
      <c r="J1180" s="18" t="s">
        <v>1337</v>
      </c>
      <c r="K1180" s="18" t="s">
        <v>1338</v>
      </c>
      <c r="L1180">
        <v>2000</v>
      </c>
      <c r="M1180" t="s">
        <v>1327</v>
      </c>
      <c r="O1180">
        <v>2005</v>
      </c>
      <c r="P1180">
        <v>2005</v>
      </c>
      <c r="Q1180" t="s">
        <v>1329</v>
      </c>
      <c r="R1180">
        <v>10</v>
      </c>
      <c r="T1180" t="s">
        <v>1330</v>
      </c>
      <c r="U1180" t="s">
        <v>1340</v>
      </c>
      <c r="V1180" s="9" t="s">
        <v>1339</v>
      </c>
      <c r="W1180">
        <v>210</v>
      </c>
      <c r="X1180" s="9" t="s">
        <v>1261</v>
      </c>
      <c r="Z1180">
        <v>12</v>
      </c>
      <c r="AD1180" t="s">
        <v>1165</v>
      </c>
      <c r="AF1180" t="s">
        <v>1165</v>
      </c>
      <c r="AI1180" t="s">
        <v>1165</v>
      </c>
      <c r="AJ1180" s="15" t="s">
        <v>1148</v>
      </c>
      <c r="AK1180" s="15">
        <v>100</v>
      </c>
      <c r="AP1180" s="15">
        <v>28</v>
      </c>
      <c r="AQ1180" s="14" t="s">
        <v>1336</v>
      </c>
      <c r="AR1180" s="15" t="s">
        <v>1335</v>
      </c>
      <c r="AS1180" t="s">
        <v>3001</v>
      </c>
    </row>
    <row r="1181" spans="1:45" x14ac:dyDescent="0.2">
      <c r="A1181" t="s">
        <v>1326</v>
      </c>
      <c r="B1181" s="15" t="s">
        <v>1146</v>
      </c>
      <c r="C1181" s="15" t="s">
        <v>1149</v>
      </c>
      <c r="D1181" t="s">
        <v>1342</v>
      </c>
      <c r="E1181" t="s">
        <v>1343</v>
      </c>
      <c r="G1181" s="15" t="s">
        <v>1165</v>
      </c>
      <c r="H1181" s="14" t="s">
        <v>1165</v>
      </c>
      <c r="I1181" s="18" t="s">
        <v>1328</v>
      </c>
      <c r="J1181" s="18" t="s">
        <v>1337</v>
      </c>
      <c r="K1181" s="18" t="s">
        <v>1338</v>
      </c>
      <c r="L1181">
        <v>2000</v>
      </c>
      <c r="M1181" t="s">
        <v>1327</v>
      </c>
      <c r="O1181">
        <v>2005</v>
      </c>
      <c r="P1181">
        <v>2005</v>
      </c>
      <c r="Q1181" t="s">
        <v>1329</v>
      </c>
      <c r="R1181">
        <v>10</v>
      </c>
      <c r="T1181" t="s">
        <v>1330</v>
      </c>
      <c r="U1181" t="s">
        <v>1340</v>
      </c>
      <c r="V1181" s="9" t="s">
        <v>1339</v>
      </c>
      <c r="W1181">
        <v>210</v>
      </c>
      <c r="X1181" s="9" t="s">
        <v>1334</v>
      </c>
      <c r="Z1181">
        <v>12</v>
      </c>
      <c r="AD1181" t="s">
        <v>1165</v>
      </c>
      <c r="AF1181" t="s">
        <v>1165</v>
      </c>
      <c r="AI1181" t="s">
        <v>1165</v>
      </c>
      <c r="AJ1181" s="15" t="s">
        <v>1148</v>
      </c>
      <c r="AK1181" s="4">
        <v>95.587999999999994</v>
      </c>
      <c r="AP1181" s="15">
        <v>28</v>
      </c>
      <c r="AQ1181" s="14" t="s">
        <v>1336</v>
      </c>
      <c r="AR1181" s="15" t="s">
        <v>1335</v>
      </c>
      <c r="AS1181" t="s">
        <v>3001</v>
      </c>
    </row>
    <row r="1182" spans="1:45" x14ac:dyDescent="0.2">
      <c r="A1182" t="s">
        <v>1326</v>
      </c>
      <c r="B1182" s="15" t="s">
        <v>1146</v>
      </c>
      <c r="C1182" s="15" t="s">
        <v>1149</v>
      </c>
      <c r="D1182" t="s">
        <v>1342</v>
      </c>
      <c r="E1182" t="s">
        <v>1343</v>
      </c>
      <c r="G1182" s="15" t="s">
        <v>1165</v>
      </c>
      <c r="H1182" s="14" t="s">
        <v>1165</v>
      </c>
      <c r="I1182" s="18" t="s">
        <v>1328</v>
      </c>
      <c r="J1182" s="18" t="s">
        <v>1337</v>
      </c>
      <c r="K1182" s="18" t="s">
        <v>1338</v>
      </c>
      <c r="L1182">
        <v>2000</v>
      </c>
      <c r="M1182" t="s">
        <v>1327</v>
      </c>
      <c r="O1182">
        <v>2005</v>
      </c>
      <c r="P1182">
        <v>2005</v>
      </c>
      <c r="Q1182" t="s">
        <v>1329</v>
      </c>
      <c r="R1182">
        <v>10</v>
      </c>
      <c r="T1182" t="s">
        <v>1330</v>
      </c>
      <c r="U1182" t="s">
        <v>1340</v>
      </c>
      <c r="V1182" s="9" t="s">
        <v>1339</v>
      </c>
      <c r="W1182">
        <v>210</v>
      </c>
      <c r="X1182" s="9" t="s">
        <v>1333</v>
      </c>
      <c r="Z1182">
        <v>0</v>
      </c>
      <c r="AD1182" t="s">
        <v>1165</v>
      </c>
      <c r="AF1182" t="s">
        <v>1165</v>
      </c>
      <c r="AI1182" t="s">
        <v>1165</v>
      </c>
      <c r="AJ1182" s="15" t="s">
        <v>1148</v>
      </c>
      <c r="AK1182" s="15">
        <v>0</v>
      </c>
      <c r="AP1182" s="15">
        <v>28</v>
      </c>
      <c r="AQ1182" s="14" t="s">
        <v>1336</v>
      </c>
      <c r="AR1182" s="15" t="s">
        <v>1335</v>
      </c>
      <c r="AS1182" t="s">
        <v>3001</v>
      </c>
    </row>
    <row r="1183" spans="1:45" x14ac:dyDescent="0.2">
      <c r="A1183" t="s">
        <v>1326</v>
      </c>
      <c r="B1183" s="15" t="s">
        <v>1146</v>
      </c>
      <c r="C1183" s="15" t="s">
        <v>1149</v>
      </c>
      <c r="D1183" t="s">
        <v>1342</v>
      </c>
      <c r="E1183" t="s">
        <v>1343</v>
      </c>
      <c r="G1183" s="15" t="s">
        <v>1165</v>
      </c>
      <c r="H1183" s="14" t="s">
        <v>1165</v>
      </c>
      <c r="I1183" s="18" t="s">
        <v>1328</v>
      </c>
      <c r="J1183" s="18" t="s">
        <v>1337</v>
      </c>
      <c r="K1183" s="18" t="s">
        <v>1338</v>
      </c>
      <c r="L1183">
        <v>2000</v>
      </c>
      <c r="M1183" t="s">
        <v>1327</v>
      </c>
      <c r="O1183">
        <v>2005</v>
      </c>
      <c r="P1183">
        <v>2005</v>
      </c>
      <c r="Q1183" t="s">
        <v>1329</v>
      </c>
      <c r="R1183">
        <v>10</v>
      </c>
      <c r="T1183" t="s">
        <v>1330</v>
      </c>
      <c r="U1183" t="s">
        <v>1340</v>
      </c>
      <c r="V1183" s="9" t="s">
        <v>1339</v>
      </c>
      <c r="W1183">
        <v>210</v>
      </c>
      <c r="X1183" s="9" t="s">
        <v>1264</v>
      </c>
      <c r="Z1183">
        <v>0</v>
      </c>
      <c r="AD1183" t="s">
        <v>1165</v>
      </c>
      <c r="AF1183" t="s">
        <v>1165</v>
      </c>
      <c r="AI1183" t="s">
        <v>1165</v>
      </c>
      <c r="AJ1183" s="15" t="s">
        <v>1148</v>
      </c>
      <c r="AK1183" s="15">
        <v>0</v>
      </c>
      <c r="AP1183" s="15">
        <v>28</v>
      </c>
      <c r="AQ1183" s="14" t="s">
        <v>1336</v>
      </c>
      <c r="AR1183" s="15" t="s">
        <v>1335</v>
      </c>
      <c r="AS1183" t="s">
        <v>3001</v>
      </c>
    </row>
    <row r="1184" spans="1:45" x14ac:dyDescent="0.2">
      <c r="A1184" t="s">
        <v>1326</v>
      </c>
      <c r="B1184" s="15" t="s">
        <v>1146</v>
      </c>
      <c r="C1184" s="15" t="s">
        <v>1149</v>
      </c>
      <c r="D1184" t="s">
        <v>1342</v>
      </c>
      <c r="E1184" t="s">
        <v>1343</v>
      </c>
      <c r="G1184" s="15" t="s">
        <v>1165</v>
      </c>
      <c r="H1184" s="14" t="s">
        <v>1165</v>
      </c>
      <c r="I1184" s="18" t="s">
        <v>1328</v>
      </c>
      <c r="J1184" s="18" t="s">
        <v>1337</v>
      </c>
      <c r="K1184" s="18" t="s">
        <v>1338</v>
      </c>
      <c r="L1184">
        <v>2000</v>
      </c>
      <c r="M1184" t="s">
        <v>1327</v>
      </c>
      <c r="O1184">
        <v>2005</v>
      </c>
      <c r="P1184">
        <v>2005</v>
      </c>
      <c r="Q1184" t="s">
        <v>1329</v>
      </c>
      <c r="R1184">
        <v>10</v>
      </c>
      <c r="T1184" t="s">
        <v>1330</v>
      </c>
      <c r="U1184" t="s">
        <v>1340</v>
      </c>
      <c r="V1184" s="9" t="s">
        <v>1339</v>
      </c>
      <c r="W1184">
        <v>210</v>
      </c>
      <c r="X1184" s="9" t="s">
        <v>1261</v>
      </c>
      <c r="Z1184">
        <v>0</v>
      </c>
      <c r="AD1184" t="s">
        <v>1165</v>
      </c>
      <c r="AF1184" t="s">
        <v>1165</v>
      </c>
      <c r="AI1184" t="s">
        <v>1165</v>
      </c>
      <c r="AJ1184" s="15" t="s">
        <v>1148</v>
      </c>
      <c r="AK1184" s="15">
        <v>0</v>
      </c>
      <c r="AP1184" s="15">
        <v>28</v>
      </c>
      <c r="AQ1184" s="14" t="s">
        <v>1336</v>
      </c>
      <c r="AR1184" s="15" t="s">
        <v>1335</v>
      </c>
      <c r="AS1184" t="s">
        <v>3001</v>
      </c>
    </row>
    <row r="1185" spans="1:45" x14ac:dyDescent="0.2">
      <c r="A1185" t="s">
        <v>1326</v>
      </c>
      <c r="B1185" s="15" t="s">
        <v>1146</v>
      </c>
      <c r="C1185" s="15" t="s">
        <v>1149</v>
      </c>
      <c r="D1185" t="s">
        <v>1342</v>
      </c>
      <c r="E1185" t="s">
        <v>1343</v>
      </c>
      <c r="G1185" s="15" t="s">
        <v>1165</v>
      </c>
      <c r="H1185" s="14" t="s">
        <v>1165</v>
      </c>
      <c r="I1185" s="18" t="s">
        <v>1328</v>
      </c>
      <c r="J1185" s="18" t="s">
        <v>1337</v>
      </c>
      <c r="K1185" s="18" t="s">
        <v>1338</v>
      </c>
      <c r="L1185">
        <v>2000</v>
      </c>
      <c r="M1185" t="s">
        <v>1327</v>
      </c>
      <c r="O1185">
        <v>2005</v>
      </c>
      <c r="P1185">
        <v>2005</v>
      </c>
      <c r="Q1185" t="s">
        <v>1329</v>
      </c>
      <c r="R1185">
        <v>10</v>
      </c>
      <c r="T1185" t="s">
        <v>1330</v>
      </c>
      <c r="U1185" t="s">
        <v>1340</v>
      </c>
      <c r="V1185" s="9" t="s">
        <v>1339</v>
      </c>
      <c r="W1185">
        <v>210</v>
      </c>
      <c r="X1185" s="9" t="s">
        <v>1334</v>
      </c>
      <c r="Z1185">
        <v>0</v>
      </c>
      <c r="AD1185" t="s">
        <v>1165</v>
      </c>
      <c r="AF1185" t="s">
        <v>1165</v>
      </c>
      <c r="AI1185" t="s">
        <v>1165</v>
      </c>
      <c r="AJ1185" s="15" t="s">
        <v>1148</v>
      </c>
      <c r="AK1185" s="15">
        <v>0</v>
      </c>
      <c r="AP1185" s="15">
        <v>28</v>
      </c>
      <c r="AQ1185" s="14" t="s">
        <v>1336</v>
      </c>
      <c r="AR1185" s="15" t="s">
        <v>1335</v>
      </c>
      <c r="AS1185" t="s">
        <v>3001</v>
      </c>
    </row>
    <row r="1186" spans="1:45" s="14" customFormat="1" x14ac:dyDescent="0.2">
      <c r="A1186" s="14" t="s">
        <v>1326</v>
      </c>
      <c r="B1186" s="15" t="s">
        <v>1146</v>
      </c>
      <c r="C1186" s="15" t="s">
        <v>1149</v>
      </c>
      <c r="D1186" s="14" t="s">
        <v>1342</v>
      </c>
      <c r="E1186" s="14" t="s">
        <v>1343</v>
      </c>
      <c r="G1186" s="15" t="s">
        <v>1165</v>
      </c>
      <c r="H1186" s="14" t="s">
        <v>1165</v>
      </c>
      <c r="I1186" s="18" t="s">
        <v>1328</v>
      </c>
      <c r="J1186" s="18" t="s">
        <v>1337</v>
      </c>
      <c r="K1186" s="18" t="s">
        <v>1338</v>
      </c>
      <c r="L1186" s="14">
        <v>2000</v>
      </c>
      <c r="M1186" s="14" t="s">
        <v>1327</v>
      </c>
      <c r="O1186" s="14">
        <v>2005</v>
      </c>
      <c r="P1186" s="14">
        <v>2005</v>
      </c>
      <c r="Q1186" s="14" t="s">
        <v>1329</v>
      </c>
      <c r="R1186" s="14">
        <v>10</v>
      </c>
      <c r="T1186" s="14" t="s">
        <v>1330</v>
      </c>
      <c r="U1186" s="14" t="s">
        <v>1341</v>
      </c>
      <c r="V1186" s="12"/>
      <c r="W1186" s="14">
        <v>0</v>
      </c>
      <c r="X1186" s="12" t="s">
        <v>1333</v>
      </c>
      <c r="Y1186" s="14" t="s">
        <v>2994</v>
      </c>
      <c r="Z1186" s="14">
        <v>12</v>
      </c>
      <c r="AD1186" s="14" t="s">
        <v>1165</v>
      </c>
      <c r="AF1186" s="14" t="s">
        <v>1165</v>
      </c>
      <c r="AI1186" s="14" t="s">
        <v>1165</v>
      </c>
      <c r="AJ1186" s="15" t="s">
        <v>1148</v>
      </c>
      <c r="AK1186" s="15">
        <v>3.2349999999999999</v>
      </c>
      <c r="AP1186" s="15">
        <v>28</v>
      </c>
      <c r="AQ1186" s="14" t="s">
        <v>1336</v>
      </c>
      <c r="AR1186" s="15" t="s">
        <v>1335</v>
      </c>
      <c r="AS1186" s="14" t="s">
        <v>3002</v>
      </c>
    </row>
    <row r="1187" spans="1:45" s="14" customFormat="1" x14ac:dyDescent="0.2">
      <c r="A1187" s="14" t="s">
        <v>1326</v>
      </c>
      <c r="B1187" s="15" t="s">
        <v>1146</v>
      </c>
      <c r="C1187" s="15" t="s">
        <v>1149</v>
      </c>
      <c r="D1187" s="14" t="s">
        <v>1342</v>
      </c>
      <c r="E1187" s="14" t="s">
        <v>1343</v>
      </c>
      <c r="G1187" s="15" t="s">
        <v>1165</v>
      </c>
      <c r="H1187" s="14" t="s">
        <v>1165</v>
      </c>
      <c r="I1187" s="18" t="s">
        <v>1328</v>
      </c>
      <c r="J1187" s="18" t="s">
        <v>1337</v>
      </c>
      <c r="K1187" s="18" t="s">
        <v>1338</v>
      </c>
      <c r="L1187" s="14">
        <v>2000</v>
      </c>
      <c r="M1187" s="14" t="s">
        <v>1327</v>
      </c>
      <c r="O1187" s="14">
        <v>2005</v>
      </c>
      <c r="P1187" s="14">
        <v>2005</v>
      </c>
      <c r="Q1187" s="14" t="s">
        <v>1329</v>
      </c>
      <c r="R1187" s="14">
        <v>10</v>
      </c>
      <c r="T1187" s="14" t="s">
        <v>1330</v>
      </c>
      <c r="U1187" s="14" t="s">
        <v>1341</v>
      </c>
      <c r="V1187" s="12"/>
      <c r="W1187" s="14">
        <v>0</v>
      </c>
      <c r="X1187" s="12" t="s">
        <v>1264</v>
      </c>
      <c r="Y1187" s="14" t="s">
        <v>2994</v>
      </c>
      <c r="Z1187" s="14">
        <v>12</v>
      </c>
      <c r="AD1187" s="14" t="s">
        <v>1165</v>
      </c>
      <c r="AF1187" s="14" t="s">
        <v>1165</v>
      </c>
      <c r="AI1187" s="14" t="s">
        <v>1165</v>
      </c>
      <c r="AJ1187" s="15" t="s">
        <v>1148</v>
      </c>
      <c r="AK1187" s="15">
        <v>22.059000000000001</v>
      </c>
      <c r="AP1187" s="15">
        <v>28</v>
      </c>
      <c r="AQ1187" s="14" t="s">
        <v>1336</v>
      </c>
      <c r="AR1187" s="15" t="s">
        <v>1335</v>
      </c>
      <c r="AS1187" s="14" t="s">
        <v>3002</v>
      </c>
    </row>
    <row r="1188" spans="1:45" s="14" customFormat="1" x14ac:dyDescent="0.2">
      <c r="A1188" s="14" t="s">
        <v>1326</v>
      </c>
      <c r="B1188" s="15" t="s">
        <v>1146</v>
      </c>
      <c r="C1188" s="15" t="s">
        <v>1149</v>
      </c>
      <c r="D1188" s="14" t="s">
        <v>1342</v>
      </c>
      <c r="E1188" s="14" t="s">
        <v>1343</v>
      </c>
      <c r="G1188" s="15" t="s">
        <v>1165</v>
      </c>
      <c r="H1188" s="14" t="s">
        <v>1165</v>
      </c>
      <c r="I1188" s="18" t="s">
        <v>1328</v>
      </c>
      <c r="J1188" s="18" t="s">
        <v>1337</v>
      </c>
      <c r="K1188" s="18" t="s">
        <v>1338</v>
      </c>
      <c r="L1188" s="14">
        <v>2000</v>
      </c>
      <c r="M1188" s="14" t="s">
        <v>1327</v>
      </c>
      <c r="O1188" s="14">
        <v>2005</v>
      </c>
      <c r="P1188" s="14">
        <v>2005</v>
      </c>
      <c r="Q1188" s="14" t="s">
        <v>1329</v>
      </c>
      <c r="R1188" s="14">
        <v>10</v>
      </c>
      <c r="T1188" s="14" t="s">
        <v>1330</v>
      </c>
      <c r="U1188" s="14" t="s">
        <v>1341</v>
      </c>
      <c r="V1188" s="12"/>
      <c r="W1188" s="14">
        <v>0</v>
      </c>
      <c r="X1188" s="12" t="s">
        <v>1261</v>
      </c>
      <c r="Y1188" s="14" t="s">
        <v>2994</v>
      </c>
      <c r="Z1188" s="14">
        <v>12</v>
      </c>
      <c r="AD1188" s="14" t="s">
        <v>1165</v>
      </c>
      <c r="AF1188" s="14" t="s">
        <v>1165</v>
      </c>
      <c r="AI1188" s="14" t="s">
        <v>1165</v>
      </c>
      <c r="AJ1188" s="15" t="s">
        <v>1148</v>
      </c>
      <c r="AK1188" s="15">
        <v>32.646999999999998</v>
      </c>
      <c r="AP1188" s="15">
        <v>28</v>
      </c>
      <c r="AQ1188" s="14" t="s">
        <v>1336</v>
      </c>
      <c r="AR1188" s="15" t="s">
        <v>1335</v>
      </c>
      <c r="AS1188" s="14" t="s">
        <v>3002</v>
      </c>
    </row>
    <row r="1189" spans="1:45" s="14" customFormat="1" x14ac:dyDescent="0.2">
      <c r="A1189" s="14" t="s">
        <v>1326</v>
      </c>
      <c r="B1189" s="15" t="s">
        <v>1146</v>
      </c>
      <c r="C1189" s="15" t="s">
        <v>1149</v>
      </c>
      <c r="D1189" s="14" t="s">
        <v>1342</v>
      </c>
      <c r="E1189" s="14" t="s">
        <v>1343</v>
      </c>
      <c r="G1189" s="15" t="s">
        <v>1165</v>
      </c>
      <c r="H1189" s="14" t="s">
        <v>1165</v>
      </c>
      <c r="I1189" s="18" t="s">
        <v>1328</v>
      </c>
      <c r="J1189" s="18" t="s">
        <v>1337</v>
      </c>
      <c r="K1189" s="18" t="s">
        <v>1338</v>
      </c>
      <c r="L1189" s="14">
        <v>2000</v>
      </c>
      <c r="M1189" s="14" t="s">
        <v>1327</v>
      </c>
      <c r="O1189" s="14">
        <v>2005</v>
      </c>
      <c r="P1189" s="14">
        <v>2005</v>
      </c>
      <c r="Q1189" s="14" t="s">
        <v>1329</v>
      </c>
      <c r="R1189" s="14">
        <v>10</v>
      </c>
      <c r="T1189" s="14" t="s">
        <v>1330</v>
      </c>
      <c r="U1189" s="14" t="s">
        <v>1341</v>
      </c>
      <c r="V1189" s="12"/>
      <c r="W1189" s="14">
        <v>0</v>
      </c>
      <c r="X1189" s="12" t="s">
        <v>1334</v>
      </c>
      <c r="Y1189" s="14" t="s">
        <v>2994</v>
      </c>
      <c r="Z1189" s="14">
        <v>12</v>
      </c>
      <c r="AD1189" s="14" t="s">
        <v>1165</v>
      </c>
      <c r="AF1189" s="14" t="s">
        <v>1165</v>
      </c>
      <c r="AI1189" s="14" t="s">
        <v>1165</v>
      </c>
      <c r="AJ1189" s="15" t="s">
        <v>1148</v>
      </c>
      <c r="AK1189" s="15">
        <v>43.823999999999998</v>
      </c>
      <c r="AP1189" s="15">
        <v>28</v>
      </c>
      <c r="AQ1189" s="14" t="s">
        <v>1336</v>
      </c>
      <c r="AR1189" s="15" t="s">
        <v>1335</v>
      </c>
      <c r="AS1189" s="14" t="s">
        <v>3002</v>
      </c>
    </row>
    <row r="1190" spans="1:45" s="14" customFormat="1" x14ac:dyDescent="0.2">
      <c r="A1190" s="14" t="s">
        <v>1326</v>
      </c>
      <c r="B1190" s="15" t="s">
        <v>1146</v>
      </c>
      <c r="C1190" s="15" t="s">
        <v>1149</v>
      </c>
      <c r="D1190" s="14" t="s">
        <v>1342</v>
      </c>
      <c r="E1190" s="14" t="s">
        <v>1343</v>
      </c>
      <c r="G1190" s="15" t="s">
        <v>1165</v>
      </c>
      <c r="H1190" s="14" t="s">
        <v>1165</v>
      </c>
      <c r="I1190" s="18" t="s">
        <v>1328</v>
      </c>
      <c r="J1190" s="18" t="s">
        <v>1337</v>
      </c>
      <c r="K1190" s="18" t="s">
        <v>1338</v>
      </c>
      <c r="L1190" s="14">
        <v>2000</v>
      </c>
      <c r="M1190" s="14" t="s">
        <v>1327</v>
      </c>
      <c r="O1190" s="14">
        <v>2005</v>
      </c>
      <c r="P1190" s="14">
        <v>2005</v>
      </c>
      <c r="Q1190" s="14" t="s">
        <v>1329</v>
      </c>
      <c r="R1190" s="14">
        <v>10</v>
      </c>
      <c r="T1190" s="14" t="s">
        <v>1330</v>
      </c>
      <c r="U1190" s="14" t="s">
        <v>1341</v>
      </c>
      <c r="V1190" s="12"/>
      <c r="W1190" s="14">
        <v>0</v>
      </c>
      <c r="X1190" s="12" t="s">
        <v>1333</v>
      </c>
      <c r="Y1190" s="14" t="s">
        <v>2994</v>
      </c>
      <c r="Z1190" s="14">
        <v>0</v>
      </c>
      <c r="AD1190" s="14" t="s">
        <v>1165</v>
      </c>
      <c r="AF1190" s="14" t="s">
        <v>1165</v>
      </c>
      <c r="AI1190" s="14" t="s">
        <v>1165</v>
      </c>
      <c r="AJ1190" s="15" t="s">
        <v>1148</v>
      </c>
      <c r="AK1190" s="15">
        <v>0</v>
      </c>
      <c r="AP1190" s="15">
        <v>28</v>
      </c>
      <c r="AQ1190" s="14" t="s">
        <v>1336</v>
      </c>
      <c r="AR1190" s="15" t="s">
        <v>1335</v>
      </c>
      <c r="AS1190" s="14" t="s">
        <v>3002</v>
      </c>
    </row>
    <row r="1191" spans="1:45" s="14" customFormat="1" x14ac:dyDescent="0.2">
      <c r="A1191" s="14" t="s">
        <v>1326</v>
      </c>
      <c r="B1191" s="15" t="s">
        <v>1146</v>
      </c>
      <c r="C1191" s="15" t="s">
        <v>1149</v>
      </c>
      <c r="D1191" s="14" t="s">
        <v>1342</v>
      </c>
      <c r="E1191" s="14" t="s">
        <v>1343</v>
      </c>
      <c r="G1191" s="15" t="s">
        <v>1165</v>
      </c>
      <c r="H1191" s="14" t="s">
        <v>1165</v>
      </c>
      <c r="I1191" s="18" t="s">
        <v>1328</v>
      </c>
      <c r="J1191" s="18" t="s">
        <v>1337</v>
      </c>
      <c r="K1191" s="18" t="s">
        <v>1338</v>
      </c>
      <c r="L1191" s="14">
        <v>2000</v>
      </c>
      <c r="M1191" s="14" t="s">
        <v>1327</v>
      </c>
      <c r="O1191" s="14">
        <v>2005</v>
      </c>
      <c r="P1191" s="14">
        <v>2005</v>
      </c>
      <c r="Q1191" s="14" t="s">
        <v>1329</v>
      </c>
      <c r="R1191" s="14">
        <v>10</v>
      </c>
      <c r="T1191" s="14" t="s">
        <v>1330</v>
      </c>
      <c r="U1191" s="14" t="s">
        <v>1341</v>
      </c>
      <c r="V1191" s="12"/>
      <c r="W1191" s="14">
        <v>0</v>
      </c>
      <c r="X1191" s="12" t="s">
        <v>1264</v>
      </c>
      <c r="Y1191" s="14" t="s">
        <v>2994</v>
      </c>
      <c r="Z1191" s="14">
        <v>0</v>
      </c>
      <c r="AD1191" s="14" t="s">
        <v>1165</v>
      </c>
      <c r="AF1191" s="14" t="s">
        <v>1165</v>
      </c>
      <c r="AI1191" s="14" t="s">
        <v>1165</v>
      </c>
      <c r="AJ1191" s="15" t="s">
        <v>1148</v>
      </c>
      <c r="AK1191" s="15">
        <v>0</v>
      </c>
      <c r="AP1191" s="15">
        <v>28</v>
      </c>
      <c r="AQ1191" s="14" t="s">
        <v>1336</v>
      </c>
      <c r="AR1191" s="15" t="s">
        <v>1335</v>
      </c>
      <c r="AS1191" s="14" t="s">
        <v>3002</v>
      </c>
    </row>
    <row r="1192" spans="1:45" s="14" customFormat="1" x14ac:dyDescent="0.2">
      <c r="A1192" s="14" t="s">
        <v>1326</v>
      </c>
      <c r="B1192" s="15" t="s">
        <v>1146</v>
      </c>
      <c r="C1192" s="15" t="s">
        <v>1149</v>
      </c>
      <c r="D1192" s="14" t="s">
        <v>1342</v>
      </c>
      <c r="E1192" s="14" t="s">
        <v>1343</v>
      </c>
      <c r="G1192" s="15" t="s">
        <v>1165</v>
      </c>
      <c r="H1192" s="14" t="s">
        <v>1165</v>
      </c>
      <c r="I1192" s="18" t="s">
        <v>1328</v>
      </c>
      <c r="J1192" s="18" t="s">
        <v>1337</v>
      </c>
      <c r="K1192" s="18" t="s">
        <v>1338</v>
      </c>
      <c r="L1192" s="14">
        <v>2000</v>
      </c>
      <c r="M1192" s="14" t="s">
        <v>1327</v>
      </c>
      <c r="O1192" s="14">
        <v>2005</v>
      </c>
      <c r="P1192" s="14">
        <v>2005</v>
      </c>
      <c r="Q1192" s="14" t="s">
        <v>1329</v>
      </c>
      <c r="R1192" s="14">
        <v>10</v>
      </c>
      <c r="T1192" s="14" t="s">
        <v>1330</v>
      </c>
      <c r="U1192" s="14" t="s">
        <v>1341</v>
      </c>
      <c r="V1192" s="12"/>
      <c r="W1192" s="14">
        <v>0</v>
      </c>
      <c r="X1192" s="12" t="s">
        <v>1261</v>
      </c>
      <c r="Y1192" s="14" t="s">
        <v>2994</v>
      </c>
      <c r="Z1192" s="14">
        <v>0</v>
      </c>
      <c r="AD1192" s="14" t="s">
        <v>1165</v>
      </c>
      <c r="AF1192" s="14" t="s">
        <v>1165</v>
      </c>
      <c r="AI1192" s="14" t="s">
        <v>1165</v>
      </c>
      <c r="AJ1192" s="15" t="s">
        <v>1148</v>
      </c>
      <c r="AK1192" s="15">
        <v>0</v>
      </c>
      <c r="AP1192" s="15">
        <v>28</v>
      </c>
      <c r="AQ1192" s="14" t="s">
        <v>1336</v>
      </c>
      <c r="AR1192" s="15" t="s">
        <v>1335</v>
      </c>
      <c r="AS1192" s="14" t="s">
        <v>3002</v>
      </c>
    </row>
    <row r="1193" spans="1:45" s="14" customFormat="1" x14ac:dyDescent="0.2">
      <c r="A1193" s="14" t="s">
        <v>1326</v>
      </c>
      <c r="B1193" s="15" t="s">
        <v>1146</v>
      </c>
      <c r="C1193" s="15" t="s">
        <v>1149</v>
      </c>
      <c r="D1193" s="14" t="s">
        <v>1342</v>
      </c>
      <c r="E1193" s="14" t="s">
        <v>1343</v>
      </c>
      <c r="G1193" s="15" t="s">
        <v>1165</v>
      </c>
      <c r="H1193" s="14" t="s">
        <v>1165</v>
      </c>
      <c r="I1193" s="18" t="s">
        <v>1328</v>
      </c>
      <c r="J1193" s="18" t="s">
        <v>1337</v>
      </c>
      <c r="K1193" s="18" t="s">
        <v>1338</v>
      </c>
      <c r="L1193" s="14">
        <v>2000</v>
      </c>
      <c r="M1193" s="14" t="s">
        <v>1327</v>
      </c>
      <c r="O1193" s="14">
        <v>2005</v>
      </c>
      <c r="P1193" s="14">
        <v>2005</v>
      </c>
      <c r="Q1193" s="14" t="s">
        <v>1329</v>
      </c>
      <c r="R1193" s="14">
        <v>10</v>
      </c>
      <c r="T1193" s="14" t="s">
        <v>1330</v>
      </c>
      <c r="U1193" s="14" t="s">
        <v>1341</v>
      </c>
      <c r="V1193" s="12"/>
      <c r="W1193" s="14">
        <v>0</v>
      </c>
      <c r="X1193" s="12" t="s">
        <v>1334</v>
      </c>
      <c r="Y1193" s="14" t="s">
        <v>2994</v>
      </c>
      <c r="Z1193" s="14">
        <v>0</v>
      </c>
      <c r="AD1193" s="14" t="s">
        <v>1165</v>
      </c>
      <c r="AF1193" s="14" t="s">
        <v>1165</v>
      </c>
      <c r="AI1193" s="14" t="s">
        <v>1165</v>
      </c>
      <c r="AJ1193" s="15" t="s">
        <v>1148</v>
      </c>
      <c r="AK1193" s="15">
        <v>0</v>
      </c>
      <c r="AP1193" s="15">
        <v>28</v>
      </c>
      <c r="AQ1193" s="14" t="s">
        <v>1336</v>
      </c>
      <c r="AR1193" s="15" t="s">
        <v>1335</v>
      </c>
      <c r="AS1193" s="14" t="s">
        <v>3002</v>
      </c>
    </row>
    <row r="1194" spans="1:45" s="14" customFormat="1" x14ac:dyDescent="0.2">
      <c r="A1194" s="14" t="s">
        <v>1326</v>
      </c>
      <c r="B1194" s="15" t="s">
        <v>1146</v>
      </c>
      <c r="C1194" s="15" t="s">
        <v>1149</v>
      </c>
      <c r="D1194" s="14" t="s">
        <v>1342</v>
      </c>
      <c r="E1194" s="14" t="s">
        <v>1343</v>
      </c>
      <c r="G1194" s="15" t="s">
        <v>1165</v>
      </c>
      <c r="H1194" s="14" t="s">
        <v>1165</v>
      </c>
      <c r="I1194" s="18" t="s">
        <v>1328</v>
      </c>
      <c r="J1194" s="18" t="s">
        <v>1337</v>
      </c>
      <c r="K1194" s="18" t="s">
        <v>1338</v>
      </c>
      <c r="L1194" s="14">
        <v>2000</v>
      </c>
      <c r="M1194" s="14" t="s">
        <v>1327</v>
      </c>
      <c r="O1194" s="14">
        <v>2005</v>
      </c>
      <c r="P1194" s="14">
        <v>2005</v>
      </c>
      <c r="Q1194" s="14" t="s">
        <v>1329</v>
      </c>
      <c r="R1194" s="14">
        <v>10</v>
      </c>
      <c r="T1194" s="14" t="s">
        <v>1330</v>
      </c>
      <c r="U1194" s="14" t="s">
        <v>1341</v>
      </c>
      <c r="V1194" s="12"/>
      <c r="W1194" s="14">
        <v>17.5</v>
      </c>
      <c r="X1194" s="12" t="s">
        <v>1333</v>
      </c>
      <c r="Y1194" s="14" t="s">
        <v>2995</v>
      </c>
      <c r="Z1194" s="14">
        <v>12</v>
      </c>
      <c r="AD1194" s="14" t="s">
        <v>1165</v>
      </c>
      <c r="AF1194" s="14" t="s">
        <v>1165</v>
      </c>
      <c r="AI1194" s="14" t="s">
        <v>1165</v>
      </c>
      <c r="AJ1194" s="15" t="s">
        <v>1148</v>
      </c>
      <c r="AK1194" s="15">
        <v>11.471</v>
      </c>
      <c r="AP1194" s="15">
        <v>28</v>
      </c>
      <c r="AQ1194" s="14" t="s">
        <v>1336</v>
      </c>
      <c r="AR1194" s="15" t="s">
        <v>1335</v>
      </c>
      <c r="AS1194" s="14" t="s">
        <v>3002</v>
      </c>
    </row>
    <row r="1195" spans="1:45" s="14" customFormat="1" x14ac:dyDescent="0.2">
      <c r="A1195" s="14" t="s">
        <v>1326</v>
      </c>
      <c r="B1195" s="15" t="s">
        <v>1146</v>
      </c>
      <c r="C1195" s="15" t="s">
        <v>1149</v>
      </c>
      <c r="D1195" s="14" t="s">
        <v>1342</v>
      </c>
      <c r="E1195" s="14" t="s">
        <v>1343</v>
      </c>
      <c r="G1195" s="15" t="s">
        <v>1165</v>
      </c>
      <c r="H1195" s="14" t="s">
        <v>1165</v>
      </c>
      <c r="I1195" s="18" t="s">
        <v>1328</v>
      </c>
      <c r="J1195" s="18" t="s">
        <v>1337</v>
      </c>
      <c r="K1195" s="18" t="s">
        <v>1338</v>
      </c>
      <c r="L1195" s="14">
        <v>2000</v>
      </c>
      <c r="M1195" s="14" t="s">
        <v>1327</v>
      </c>
      <c r="O1195" s="14">
        <v>2005</v>
      </c>
      <c r="P1195" s="14">
        <v>2005</v>
      </c>
      <c r="Q1195" s="14" t="s">
        <v>1329</v>
      </c>
      <c r="R1195" s="14">
        <v>10</v>
      </c>
      <c r="T1195" s="14" t="s">
        <v>1330</v>
      </c>
      <c r="U1195" s="14" t="s">
        <v>1341</v>
      </c>
      <c r="V1195" s="12"/>
      <c r="W1195" s="14">
        <v>17.5</v>
      </c>
      <c r="X1195" s="12" t="s">
        <v>1264</v>
      </c>
      <c r="Y1195" s="14" t="s">
        <v>2995</v>
      </c>
      <c r="Z1195" s="14">
        <v>12</v>
      </c>
      <c r="AD1195" s="14" t="s">
        <v>1165</v>
      </c>
      <c r="AF1195" s="14" t="s">
        <v>1165</v>
      </c>
      <c r="AI1195" s="14" t="s">
        <v>1165</v>
      </c>
      <c r="AJ1195" s="15" t="s">
        <v>1148</v>
      </c>
      <c r="AK1195" s="15">
        <v>39.118000000000002</v>
      </c>
      <c r="AP1195" s="15">
        <v>28</v>
      </c>
      <c r="AQ1195" s="14" t="s">
        <v>1336</v>
      </c>
      <c r="AR1195" s="15" t="s">
        <v>1335</v>
      </c>
      <c r="AS1195" s="14" t="s">
        <v>3002</v>
      </c>
    </row>
    <row r="1196" spans="1:45" s="14" customFormat="1" x14ac:dyDescent="0.2">
      <c r="A1196" s="14" t="s">
        <v>1326</v>
      </c>
      <c r="B1196" s="15" t="s">
        <v>1146</v>
      </c>
      <c r="C1196" s="15" t="s">
        <v>1149</v>
      </c>
      <c r="D1196" s="14" t="s">
        <v>1342</v>
      </c>
      <c r="E1196" s="14" t="s">
        <v>1343</v>
      </c>
      <c r="G1196" s="15" t="s">
        <v>1165</v>
      </c>
      <c r="H1196" s="14" t="s">
        <v>1165</v>
      </c>
      <c r="I1196" s="18" t="s">
        <v>1328</v>
      </c>
      <c r="J1196" s="18" t="s">
        <v>1337</v>
      </c>
      <c r="K1196" s="18" t="s">
        <v>1338</v>
      </c>
      <c r="L1196" s="14">
        <v>2000</v>
      </c>
      <c r="M1196" s="14" t="s">
        <v>1327</v>
      </c>
      <c r="O1196" s="14">
        <v>2005</v>
      </c>
      <c r="P1196" s="14">
        <v>2005</v>
      </c>
      <c r="Q1196" s="14" t="s">
        <v>1329</v>
      </c>
      <c r="R1196" s="14">
        <v>10</v>
      </c>
      <c r="T1196" s="14" t="s">
        <v>1330</v>
      </c>
      <c r="U1196" s="14" t="s">
        <v>1341</v>
      </c>
      <c r="V1196" s="12"/>
      <c r="W1196" s="14">
        <v>17.5</v>
      </c>
      <c r="X1196" s="12" t="s">
        <v>1261</v>
      </c>
      <c r="Y1196" s="14" t="s">
        <v>2995</v>
      </c>
      <c r="Z1196" s="14">
        <v>12</v>
      </c>
      <c r="AD1196" s="14" t="s">
        <v>1165</v>
      </c>
      <c r="AF1196" s="14" t="s">
        <v>1165</v>
      </c>
      <c r="AI1196" s="14" t="s">
        <v>1165</v>
      </c>
      <c r="AJ1196" s="15" t="s">
        <v>1148</v>
      </c>
      <c r="AK1196" s="15">
        <v>53.234999999999999</v>
      </c>
      <c r="AP1196" s="15">
        <v>28</v>
      </c>
      <c r="AQ1196" s="14" t="s">
        <v>1336</v>
      </c>
      <c r="AR1196" s="15" t="s">
        <v>1335</v>
      </c>
      <c r="AS1196" s="14" t="s">
        <v>3002</v>
      </c>
    </row>
    <row r="1197" spans="1:45" s="14" customFormat="1" x14ac:dyDescent="0.2">
      <c r="A1197" s="14" t="s">
        <v>1326</v>
      </c>
      <c r="B1197" s="15" t="s">
        <v>1146</v>
      </c>
      <c r="C1197" s="15" t="s">
        <v>1149</v>
      </c>
      <c r="D1197" s="14" t="s">
        <v>1342</v>
      </c>
      <c r="E1197" s="14" t="s">
        <v>1343</v>
      </c>
      <c r="G1197" s="15" t="s">
        <v>1165</v>
      </c>
      <c r="H1197" s="14" t="s">
        <v>1165</v>
      </c>
      <c r="I1197" s="18" t="s">
        <v>1328</v>
      </c>
      <c r="J1197" s="18" t="s">
        <v>1337</v>
      </c>
      <c r="K1197" s="18" t="s">
        <v>1338</v>
      </c>
      <c r="L1197" s="14">
        <v>2000</v>
      </c>
      <c r="M1197" s="14" t="s">
        <v>1327</v>
      </c>
      <c r="O1197" s="14">
        <v>2005</v>
      </c>
      <c r="P1197" s="14">
        <v>2005</v>
      </c>
      <c r="Q1197" s="14" t="s">
        <v>1329</v>
      </c>
      <c r="R1197" s="14">
        <v>10</v>
      </c>
      <c r="T1197" s="14" t="s">
        <v>1330</v>
      </c>
      <c r="U1197" s="14" t="s">
        <v>1341</v>
      </c>
      <c r="V1197" s="12"/>
      <c r="W1197" s="14">
        <v>17.5</v>
      </c>
      <c r="X1197" s="12" t="s">
        <v>1334</v>
      </c>
      <c r="Y1197" s="14" t="s">
        <v>2995</v>
      </c>
      <c r="Z1197" s="14">
        <v>12</v>
      </c>
      <c r="AD1197" s="14" t="s">
        <v>1165</v>
      </c>
      <c r="AF1197" s="14" t="s">
        <v>1165</v>
      </c>
      <c r="AI1197" s="14" t="s">
        <v>1165</v>
      </c>
      <c r="AJ1197" s="15" t="s">
        <v>1148</v>
      </c>
      <c r="AK1197" s="15">
        <v>46.765000000000001</v>
      </c>
      <c r="AP1197" s="15">
        <v>28</v>
      </c>
      <c r="AQ1197" s="14" t="s">
        <v>1336</v>
      </c>
      <c r="AR1197" s="15" t="s">
        <v>1335</v>
      </c>
      <c r="AS1197" s="14" t="s">
        <v>3002</v>
      </c>
    </row>
    <row r="1198" spans="1:45" s="14" customFormat="1" x14ac:dyDescent="0.2">
      <c r="A1198" s="14" t="s">
        <v>1326</v>
      </c>
      <c r="B1198" s="15" t="s">
        <v>1146</v>
      </c>
      <c r="C1198" s="15" t="s">
        <v>1149</v>
      </c>
      <c r="D1198" s="14" t="s">
        <v>1342</v>
      </c>
      <c r="E1198" s="14" t="s">
        <v>1343</v>
      </c>
      <c r="G1198" s="15" t="s">
        <v>1165</v>
      </c>
      <c r="H1198" s="14" t="s">
        <v>1165</v>
      </c>
      <c r="I1198" s="18" t="s">
        <v>1328</v>
      </c>
      <c r="J1198" s="18" t="s">
        <v>1337</v>
      </c>
      <c r="K1198" s="18" t="s">
        <v>1338</v>
      </c>
      <c r="L1198" s="14">
        <v>2000</v>
      </c>
      <c r="M1198" s="14" t="s">
        <v>1327</v>
      </c>
      <c r="O1198" s="14">
        <v>2005</v>
      </c>
      <c r="P1198" s="14">
        <v>2005</v>
      </c>
      <c r="Q1198" s="14" t="s">
        <v>1329</v>
      </c>
      <c r="R1198" s="14">
        <v>10</v>
      </c>
      <c r="T1198" s="14" t="s">
        <v>1330</v>
      </c>
      <c r="U1198" s="14" t="s">
        <v>1341</v>
      </c>
      <c r="V1198" s="12"/>
      <c r="W1198" s="14">
        <v>17.5</v>
      </c>
      <c r="X1198" s="12" t="s">
        <v>1333</v>
      </c>
      <c r="Y1198" s="14" t="s">
        <v>2995</v>
      </c>
      <c r="Z1198" s="14">
        <v>0</v>
      </c>
      <c r="AD1198" s="14" t="s">
        <v>1165</v>
      </c>
      <c r="AF1198" s="14" t="s">
        <v>1165</v>
      </c>
      <c r="AI1198" s="14" t="s">
        <v>1165</v>
      </c>
      <c r="AJ1198" s="15" t="s">
        <v>1148</v>
      </c>
      <c r="AK1198" s="15">
        <v>0</v>
      </c>
      <c r="AP1198" s="15">
        <v>28</v>
      </c>
      <c r="AQ1198" s="14" t="s">
        <v>1336</v>
      </c>
      <c r="AR1198" s="15" t="s">
        <v>1335</v>
      </c>
      <c r="AS1198" s="14" t="s">
        <v>3002</v>
      </c>
    </row>
    <row r="1199" spans="1:45" s="14" customFormat="1" x14ac:dyDescent="0.2">
      <c r="A1199" s="14" t="s">
        <v>1326</v>
      </c>
      <c r="B1199" s="15" t="s">
        <v>1146</v>
      </c>
      <c r="C1199" s="15" t="s">
        <v>1149</v>
      </c>
      <c r="D1199" s="14" t="s">
        <v>1342</v>
      </c>
      <c r="E1199" s="14" t="s">
        <v>1343</v>
      </c>
      <c r="G1199" s="15" t="s">
        <v>1165</v>
      </c>
      <c r="H1199" s="14" t="s">
        <v>1165</v>
      </c>
      <c r="I1199" s="18" t="s">
        <v>1328</v>
      </c>
      <c r="J1199" s="18" t="s">
        <v>1337</v>
      </c>
      <c r="K1199" s="18" t="s">
        <v>1338</v>
      </c>
      <c r="L1199" s="14">
        <v>2000</v>
      </c>
      <c r="M1199" s="14" t="s">
        <v>1327</v>
      </c>
      <c r="O1199" s="14">
        <v>2005</v>
      </c>
      <c r="P1199" s="14">
        <v>2005</v>
      </c>
      <c r="Q1199" s="14" t="s">
        <v>1329</v>
      </c>
      <c r="R1199" s="14">
        <v>10</v>
      </c>
      <c r="T1199" s="14" t="s">
        <v>1330</v>
      </c>
      <c r="U1199" s="14" t="s">
        <v>1341</v>
      </c>
      <c r="V1199" s="12"/>
      <c r="W1199" s="14">
        <v>17.5</v>
      </c>
      <c r="X1199" s="12" t="s">
        <v>1264</v>
      </c>
      <c r="Y1199" s="14" t="s">
        <v>2995</v>
      </c>
      <c r="Z1199" s="14">
        <v>0</v>
      </c>
      <c r="AD1199" s="14" t="s">
        <v>1165</v>
      </c>
      <c r="AF1199" s="14" t="s">
        <v>1165</v>
      </c>
      <c r="AI1199" s="14" t="s">
        <v>1165</v>
      </c>
      <c r="AJ1199" s="15" t="s">
        <v>1148</v>
      </c>
      <c r="AK1199" s="15">
        <v>0</v>
      </c>
      <c r="AP1199" s="15">
        <v>28</v>
      </c>
      <c r="AQ1199" s="14" t="s">
        <v>1336</v>
      </c>
      <c r="AR1199" s="15" t="s">
        <v>1335</v>
      </c>
      <c r="AS1199" s="14" t="s">
        <v>3002</v>
      </c>
    </row>
    <row r="1200" spans="1:45" s="14" customFormat="1" x14ac:dyDescent="0.2">
      <c r="A1200" s="14" t="s">
        <v>1326</v>
      </c>
      <c r="B1200" s="15" t="s">
        <v>1146</v>
      </c>
      <c r="C1200" s="15" t="s">
        <v>1149</v>
      </c>
      <c r="D1200" s="14" t="s">
        <v>1342</v>
      </c>
      <c r="E1200" s="14" t="s">
        <v>1343</v>
      </c>
      <c r="G1200" s="15" t="s">
        <v>1165</v>
      </c>
      <c r="H1200" s="14" t="s">
        <v>1165</v>
      </c>
      <c r="I1200" s="18" t="s">
        <v>1328</v>
      </c>
      <c r="J1200" s="18" t="s">
        <v>1337</v>
      </c>
      <c r="K1200" s="18" t="s">
        <v>1338</v>
      </c>
      <c r="L1200" s="14">
        <v>2000</v>
      </c>
      <c r="M1200" s="14" t="s">
        <v>1327</v>
      </c>
      <c r="O1200" s="14">
        <v>2005</v>
      </c>
      <c r="P1200" s="14">
        <v>2005</v>
      </c>
      <c r="Q1200" s="14" t="s">
        <v>1329</v>
      </c>
      <c r="R1200" s="14">
        <v>10</v>
      </c>
      <c r="T1200" s="14" t="s">
        <v>1330</v>
      </c>
      <c r="U1200" s="14" t="s">
        <v>1341</v>
      </c>
      <c r="V1200" s="12"/>
      <c r="W1200" s="14">
        <v>17.5</v>
      </c>
      <c r="X1200" s="12" t="s">
        <v>1261</v>
      </c>
      <c r="Y1200" s="14" t="s">
        <v>2995</v>
      </c>
      <c r="Z1200" s="14">
        <v>0</v>
      </c>
      <c r="AD1200" s="14" t="s">
        <v>1165</v>
      </c>
      <c r="AF1200" s="14" t="s">
        <v>1165</v>
      </c>
      <c r="AI1200" s="14" t="s">
        <v>1165</v>
      </c>
      <c r="AJ1200" s="15" t="s">
        <v>1148</v>
      </c>
      <c r="AK1200" s="15">
        <v>0</v>
      </c>
      <c r="AP1200" s="15">
        <v>28</v>
      </c>
      <c r="AQ1200" s="14" t="s">
        <v>1336</v>
      </c>
      <c r="AR1200" s="15" t="s">
        <v>1335</v>
      </c>
      <c r="AS1200" s="14" t="s">
        <v>3002</v>
      </c>
    </row>
    <row r="1201" spans="1:45" s="14" customFormat="1" x14ac:dyDescent="0.2">
      <c r="A1201" s="14" t="s">
        <v>1326</v>
      </c>
      <c r="B1201" s="15" t="s">
        <v>1146</v>
      </c>
      <c r="C1201" s="15" t="s">
        <v>1149</v>
      </c>
      <c r="D1201" s="14" t="s">
        <v>1342</v>
      </c>
      <c r="E1201" s="14" t="s">
        <v>1343</v>
      </c>
      <c r="G1201" s="15" t="s">
        <v>1165</v>
      </c>
      <c r="H1201" s="14" t="s">
        <v>1165</v>
      </c>
      <c r="I1201" s="18" t="s">
        <v>1328</v>
      </c>
      <c r="J1201" s="18" t="s">
        <v>1337</v>
      </c>
      <c r="K1201" s="18" t="s">
        <v>1338</v>
      </c>
      <c r="L1201" s="14">
        <v>2000</v>
      </c>
      <c r="M1201" s="14" t="s">
        <v>1327</v>
      </c>
      <c r="O1201" s="14">
        <v>2005</v>
      </c>
      <c r="P1201" s="14">
        <v>2005</v>
      </c>
      <c r="Q1201" s="14" t="s">
        <v>1329</v>
      </c>
      <c r="R1201" s="14">
        <v>10</v>
      </c>
      <c r="T1201" s="14" t="s">
        <v>1330</v>
      </c>
      <c r="U1201" s="14" t="s">
        <v>1341</v>
      </c>
      <c r="V1201" s="12"/>
      <c r="W1201" s="14">
        <v>17.5</v>
      </c>
      <c r="X1201" s="12" t="s">
        <v>1334</v>
      </c>
      <c r="Y1201" s="14" t="s">
        <v>2995</v>
      </c>
      <c r="Z1201" s="14">
        <v>0</v>
      </c>
      <c r="AD1201" s="14" t="s">
        <v>1165</v>
      </c>
      <c r="AF1201" s="14" t="s">
        <v>1165</v>
      </c>
      <c r="AI1201" s="14" t="s">
        <v>1165</v>
      </c>
      <c r="AJ1201" s="15" t="s">
        <v>1148</v>
      </c>
      <c r="AK1201" s="15">
        <v>0</v>
      </c>
      <c r="AP1201" s="15">
        <v>28</v>
      </c>
      <c r="AQ1201" s="14" t="s">
        <v>1336</v>
      </c>
      <c r="AR1201" s="15" t="s">
        <v>1335</v>
      </c>
      <c r="AS1201" s="14" t="s">
        <v>3002</v>
      </c>
    </row>
    <row r="1202" spans="1:45" s="14" customFormat="1" x14ac:dyDescent="0.2">
      <c r="A1202" s="14" t="s">
        <v>1326</v>
      </c>
      <c r="B1202" s="15" t="s">
        <v>1146</v>
      </c>
      <c r="C1202" s="15" t="s">
        <v>1149</v>
      </c>
      <c r="D1202" s="14" t="s">
        <v>1342</v>
      </c>
      <c r="E1202" s="14" t="s">
        <v>1343</v>
      </c>
      <c r="G1202" s="15" t="s">
        <v>1165</v>
      </c>
      <c r="H1202" s="14" t="s">
        <v>1165</v>
      </c>
      <c r="I1202" s="18" t="s">
        <v>1328</v>
      </c>
      <c r="J1202" s="18" t="s">
        <v>1337</v>
      </c>
      <c r="K1202" s="18" t="s">
        <v>1338</v>
      </c>
      <c r="L1202" s="14">
        <v>2000</v>
      </c>
      <c r="M1202" s="14" t="s">
        <v>1327</v>
      </c>
      <c r="O1202" s="14">
        <v>2005</v>
      </c>
      <c r="P1202" s="14">
        <v>2005</v>
      </c>
      <c r="Q1202" s="14" t="s">
        <v>1329</v>
      </c>
      <c r="R1202" s="14">
        <v>10</v>
      </c>
      <c r="T1202" s="14" t="s">
        <v>1330</v>
      </c>
      <c r="U1202" s="14" t="s">
        <v>1341</v>
      </c>
      <c r="V1202" s="12"/>
      <c r="W1202" s="14">
        <v>35</v>
      </c>
      <c r="X1202" s="12" t="s">
        <v>1333</v>
      </c>
      <c r="Y1202" s="14" t="s">
        <v>2996</v>
      </c>
      <c r="Z1202" s="14">
        <v>12</v>
      </c>
      <c r="AD1202" s="14" t="s">
        <v>1165</v>
      </c>
      <c r="AF1202" s="14" t="s">
        <v>1165</v>
      </c>
      <c r="AI1202" s="14" t="s">
        <v>1165</v>
      </c>
      <c r="AJ1202" s="15" t="s">
        <v>1148</v>
      </c>
      <c r="AK1202" s="15">
        <v>28.824000000000002</v>
      </c>
      <c r="AP1202" s="15">
        <v>28</v>
      </c>
      <c r="AQ1202" s="14" t="s">
        <v>1336</v>
      </c>
      <c r="AR1202" s="15" t="s">
        <v>1335</v>
      </c>
      <c r="AS1202" s="14" t="s">
        <v>3002</v>
      </c>
    </row>
    <row r="1203" spans="1:45" s="14" customFormat="1" x14ac:dyDescent="0.2">
      <c r="A1203" s="14" t="s">
        <v>1326</v>
      </c>
      <c r="B1203" s="15" t="s">
        <v>1146</v>
      </c>
      <c r="C1203" s="15" t="s">
        <v>1149</v>
      </c>
      <c r="D1203" s="14" t="s">
        <v>1342</v>
      </c>
      <c r="E1203" s="14" t="s">
        <v>1343</v>
      </c>
      <c r="G1203" s="15" t="s">
        <v>1165</v>
      </c>
      <c r="H1203" s="14" t="s">
        <v>1165</v>
      </c>
      <c r="I1203" s="18" t="s">
        <v>1328</v>
      </c>
      <c r="J1203" s="18" t="s">
        <v>1337</v>
      </c>
      <c r="K1203" s="18" t="s">
        <v>1338</v>
      </c>
      <c r="L1203" s="14">
        <v>2000</v>
      </c>
      <c r="M1203" s="14" t="s">
        <v>1327</v>
      </c>
      <c r="O1203" s="14">
        <v>2005</v>
      </c>
      <c r="P1203" s="14">
        <v>2005</v>
      </c>
      <c r="Q1203" s="14" t="s">
        <v>1329</v>
      </c>
      <c r="R1203" s="14">
        <v>10</v>
      </c>
      <c r="T1203" s="14" t="s">
        <v>1330</v>
      </c>
      <c r="U1203" s="14" t="s">
        <v>1341</v>
      </c>
      <c r="V1203" s="12"/>
      <c r="W1203" s="14">
        <v>35</v>
      </c>
      <c r="X1203" s="12" t="s">
        <v>1264</v>
      </c>
      <c r="Y1203" s="14" t="s">
        <v>2996</v>
      </c>
      <c r="Z1203" s="14">
        <v>12</v>
      </c>
      <c r="AD1203" s="14" t="s">
        <v>1165</v>
      </c>
      <c r="AF1203" s="14" t="s">
        <v>1165</v>
      </c>
      <c r="AI1203" s="14" t="s">
        <v>1165</v>
      </c>
      <c r="AJ1203" s="15" t="s">
        <v>1148</v>
      </c>
      <c r="AK1203" s="15">
        <v>62.058999999999997</v>
      </c>
      <c r="AP1203" s="15">
        <v>28</v>
      </c>
      <c r="AQ1203" s="14" t="s">
        <v>1336</v>
      </c>
      <c r="AR1203" s="15" t="s">
        <v>1335</v>
      </c>
      <c r="AS1203" s="14" t="s">
        <v>3002</v>
      </c>
    </row>
    <row r="1204" spans="1:45" s="14" customFormat="1" x14ac:dyDescent="0.2">
      <c r="A1204" s="14" t="s">
        <v>1326</v>
      </c>
      <c r="B1204" s="15" t="s">
        <v>1146</v>
      </c>
      <c r="C1204" s="15" t="s">
        <v>1149</v>
      </c>
      <c r="D1204" s="14" t="s">
        <v>1342</v>
      </c>
      <c r="E1204" s="14" t="s">
        <v>1343</v>
      </c>
      <c r="G1204" s="15" t="s">
        <v>1165</v>
      </c>
      <c r="H1204" s="14" t="s">
        <v>1165</v>
      </c>
      <c r="I1204" s="18" t="s">
        <v>1328</v>
      </c>
      <c r="J1204" s="18" t="s">
        <v>1337</v>
      </c>
      <c r="K1204" s="18" t="s">
        <v>1338</v>
      </c>
      <c r="L1204" s="14">
        <v>2000</v>
      </c>
      <c r="M1204" s="14" t="s">
        <v>1327</v>
      </c>
      <c r="O1204" s="14">
        <v>2005</v>
      </c>
      <c r="P1204" s="14">
        <v>2005</v>
      </c>
      <c r="Q1204" s="14" t="s">
        <v>1329</v>
      </c>
      <c r="R1204" s="14">
        <v>10</v>
      </c>
      <c r="T1204" s="14" t="s">
        <v>1330</v>
      </c>
      <c r="U1204" s="14" t="s">
        <v>1341</v>
      </c>
      <c r="V1204" s="12"/>
      <c r="W1204" s="14">
        <v>35</v>
      </c>
      <c r="X1204" s="12" t="s">
        <v>1261</v>
      </c>
      <c r="Y1204" s="14" t="s">
        <v>2996</v>
      </c>
      <c r="Z1204" s="14">
        <v>12</v>
      </c>
      <c r="AD1204" s="14" t="s">
        <v>1165</v>
      </c>
      <c r="AF1204" s="14" t="s">
        <v>1165</v>
      </c>
      <c r="AI1204" s="14" t="s">
        <v>1165</v>
      </c>
      <c r="AJ1204" s="15" t="s">
        <v>1148</v>
      </c>
      <c r="AK1204" s="15">
        <v>54.411999999999999</v>
      </c>
      <c r="AP1204" s="15">
        <v>28</v>
      </c>
      <c r="AQ1204" s="14" t="s">
        <v>1336</v>
      </c>
      <c r="AR1204" s="15" t="s">
        <v>1335</v>
      </c>
      <c r="AS1204" s="14" t="s">
        <v>3002</v>
      </c>
    </row>
    <row r="1205" spans="1:45" s="14" customFormat="1" x14ac:dyDescent="0.2">
      <c r="A1205" s="14" t="s">
        <v>1326</v>
      </c>
      <c r="B1205" s="15" t="s">
        <v>1146</v>
      </c>
      <c r="C1205" s="15" t="s">
        <v>1149</v>
      </c>
      <c r="D1205" s="14" t="s">
        <v>1342</v>
      </c>
      <c r="E1205" s="14" t="s">
        <v>1343</v>
      </c>
      <c r="G1205" s="15" t="s">
        <v>1165</v>
      </c>
      <c r="H1205" s="14" t="s">
        <v>1165</v>
      </c>
      <c r="I1205" s="18" t="s">
        <v>1328</v>
      </c>
      <c r="J1205" s="18" t="s">
        <v>1337</v>
      </c>
      <c r="K1205" s="18" t="s">
        <v>1338</v>
      </c>
      <c r="L1205" s="14">
        <v>2000</v>
      </c>
      <c r="M1205" s="14" t="s">
        <v>1327</v>
      </c>
      <c r="O1205" s="14">
        <v>2005</v>
      </c>
      <c r="P1205" s="14">
        <v>2005</v>
      </c>
      <c r="Q1205" s="14" t="s">
        <v>1329</v>
      </c>
      <c r="R1205" s="14">
        <v>10</v>
      </c>
      <c r="T1205" s="14" t="s">
        <v>1330</v>
      </c>
      <c r="U1205" s="14" t="s">
        <v>1341</v>
      </c>
      <c r="V1205" s="12"/>
      <c r="W1205" s="14">
        <v>35</v>
      </c>
      <c r="X1205" s="12" t="s">
        <v>1334</v>
      </c>
      <c r="Y1205" s="14" t="s">
        <v>2996</v>
      </c>
      <c r="Z1205" s="14">
        <v>12</v>
      </c>
      <c r="AD1205" s="14" t="s">
        <v>1165</v>
      </c>
      <c r="AF1205" s="14" t="s">
        <v>1165</v>
      </c>
      <c r="AI1205" s="14" t="s">
        <v>1165</v>
      </c>
      <c r="AJ1205" s="15" t="s">
        <v>1148</v>
      </c>
      <c r="AK1205" s="15">
        <v>53.234999999999999</v>
      </c>
      <c r="AP1205" s="15">
        <v>28</v>
      </c>
      <c r="AQ1205" s="14" t="s">
        <v>1336</v>
      </c>
      <c r="AR1205" s="15" t="s">
        <v>1335</v>
      </c>
      <c r="AS1205" s="14" t="s">
        <v>3002</v>
      </c>
    </row>
    <row r="1206" spans="1:45" s="14" customFormat="1" x14ac:dyDescent="0.2">
      <c r="A1206" s="14" t="s">
        <v>1326</v>
      </c>
      <c r="B1206" s="15" t="s">
        <v>1146</v>
      </c>
      <c r="C1206" s="15" t="s">
        <v>1149</v>
      </c>
      <c r="D1206" s="14" t="s">
        <v>1342</v>
      </c>
      <c r="E1206" s="14" t="s">
        <v>1343</v>
      </c>
      <c r="G1206" s="15" t="s">
        <v>1165</v>
      </c>
      <c r="H1206" s="14" t="s">
        <v>1165</v>
      </c>
      <c r="I1206" s="18" t="s">
        <v>1328</v>
      </c>
      <c r="J1206" s="18" t="s">
        <v>1337</v>
      </c>
      <c r="K1206" s="18" t="s">
        <v>1338</v>
      </c>
      <c r="L1206" s="14">
        <v>2000</v>
      </c>
      <c r="M1206" s="14" t="s">
        <v>1327</v>
      </c>
      <c r="O1206" s="14">
        <v>2005</v>
      </c>
      <c r="P1206" s="14">
        <v>2005</v>
      </c>
      <c r="Q1206" s="14" t="s">
        <v>1329</v>
      </c>
      <c r="R1206" s="14">
        <v>10</v>
      </c>
      <c r="T1206" s="14" t="s">
        <v>1330</v>
      </c>
      <c r="U1206" s="14" t="s">
        <v>1341</v>
      </c>
      <c r="V1206" s="12"/>
      <c r="W1206" s="14">
        <v>35</v>
      </c>
      <c r="X1206" s="12" t="s">
        <v>1333</v>
      </c>
      <c r="Y1206" s="14" t="s">
        <v>2996</v>
      </c>
      <c r="Z1206" s="14">
        <v>0</v>
      </c>
      <c r="AD1206" s="14" t="s">
        <v>1165</v>
      </c>
      <c r="AF1206" s="14" t="s">
        <v>1165</v>
      </c>
      <c r="AI1206" s="14" t="s">
        <v>1165</v>
      </c>
      <c r="AJ1206" s="15" t="s">
        <v>1148</v>
      </c>
      <c r="AK1206" s="15">
        <v>0</v>
      </c>
      <c r="AP1206" s="15">
        <v>28</v>
      </c>
      <c r="AQ1206" s="14" t="s">
        <v>1336</v>
      </c>
      <c r="AR1206" s="15" t="s">
        <v>1335</v>
      </c>
      <c r="AS1206" s="14" t="s">
        <v>3002</v>
      </c>
    </row>
    <row r="1207" spans="1:45" s="14" customFormat="1" x14ac:dyDescent="0.2">
      <c r="A1207" s="14" t="s">
        <v>1326</v>
      </c>
      <c r="B1207" s="15" t="s">
        <v>1146</v>
      </c>
      <c r="C1207" s="15" t="s">
        <v>1149</v>
      </c>
      <c r="D1207" s="14" t="s">
        <v>1342</v>
      </c>
      <c r="E1207" s="14" t="s">
        <v>1343</v>
      </c>
      <c r="G1207" s="15" t="s">
        <v>1165</v>
      </c>
      <c r="H1207" s="14" t="s">
        <v>1165</v>
      </c>
      <c r="I1207" s="18" t="s">
        <v>1328</v>
      </c>
      <c r="J1207" s="18" t="s">
        <v>1337</v>
      </c>
      <c r="K1207" s="18" t="s">
        <v>1338</v>
      </c>
      <c r="L1207" s="14">
        <v>2000</v>
      </c>
      <c r="M1207" s="14" t="s">
        <v>1327</v>
      </c>
      <c r="O1207" s="14">
        <v>2005</v>
      </c>
      <c r="P1207" s="14">
        <v>2005</v>
      </c>
      <c r="Q1207" s="14" t="s">
        <v>1329</v>
      </c>
      <c r="R1207" s="14">
        <v>10</v>
      </c>
      <c r="T1207" s="14" t="s">
        <v>1330</v>
      </c>
      <c r="U1207" s="14" t="s">
        <v>1341</v>
      </c>
      <c r="V1207" s="12"/>
      <c r="W1207" s="14">
        <v>35</v>
      </c>
      <c r="X1207" s="12" t="s">
        <v>1264</v>
      </c>
      <c r="Y1207" s="14" t="s">
        <v>2996</v>
      </c>
      <c r="Z1207" s="14">
        <v>0</v>
      </c>
      <c r="AD1207" s="14" t="s">
        <v>1165</v>
      </c>
      <c r="AF1207" s="14" t="s">
        <v>1165</v>
      </c>
      <c r="AI1207" s="14" t="s">
        <v>1165</v>
      </c>
      <c r="AJ1207" s="15" t="s">
        <v>1148</v>
      </c>
      <c r="AK1207" s="15">
        <v>0</v>
      </c>
      <c r="AP1207" s="15">
        <v>28</v>
      </c>
      <c r="AQ1207" s="14" t="s">
        <v>1336</v>
      </c>
      <c r="AR1207" s="15" t="s">
        <v>1335</v>
      </c>
      <c r="AS1207" s="14" t="s">
        <v>3002</v>
      </c>
    </row>
    <row r="1208" spans="1:45" s="14" customFormat="1" x14ac:dyDescent="0.2">
      <c r="A1208" s="14" t="s">
        <v>1326</v>
      </c>
      <c r="B1208" s="15" t="s">
        <v>1146</v>
      </c>
      <c r="C1208" s="15" t="s">
        <v>1149</v>
      </c>
      <c r="D1208" s="14" t="s">
        <v>1342</v>
      </c>
      <c r="E1208" s="14" t="s">
        <v>1343</v>
      </c>
      <c r="G1208" s="15" t="s">
        <v>1165</v>
      </c>
      <c r="H1208" s="14" t="s">
        <v>1165</v>
      </c>
      <c r="I1208" s="18" t="s">
        <v>1328</v>
      </c>
      <c r="J1208" s="18" t="s">
        <v>1337</v>
      </c>
      <c r="K1208" s="18" t="s">
        <v>1338</v>
      </c>
      <c r="L1208" s="14">
        <v>2000</v>
      </c>
      <c r="M1208" s="14" t="s">
        <v>1327</v>
      </c>
      <c r="O1208" s="14">
        <v>2005</v>
      </c>
      <c r="P1208" s="14">
        <v>2005</v>
      </c>
      <c r="Q1208" s="14" t="s">
        <v>1329</v>
      </c>
      <c r="R1208" s="14">
        <v>10</v>
      </c>
      <c r="T1208" s="14" t="s">
        <v>1330</v>
      </c>
      <c r="U1208" s="14" t="s">
        <v>1341</v>
      </c>
      <c r="V1208" s="12"/>
      <c r="W1208" s="14">
        <v>35</v>
      </c>
      <c r="X1208" s="12" t="s">
        <v>1261</v>
      </c>
      <c r="Y1208" s="14" t="s">
        <v>2996</v>
      </c>
      <c r="Z1208" s="14">
        <v>0</v>
      </c>
      <c r="AD1208" s="14" t="s">
        <v>1165</v>
      </c>
      <c r="AF1208" s="14" t="s">
        <v>1165</v>
      </c>
      <c r="AI1208" s="14" t="s">
        <v>1165</v>
      </c>
      <c r="AJ1208" s="15" t="s">
        <v>1148</v>
      </c>
      <c r="AK1208" s="15">
        <v>0</v>
      </c>
      <c r="AP1208" s="15">
        <v>28</v>
      </c>
      <c r="AQ1208" s="14" t="s">
        <v>1336</v>
      </c>
      <c r="AR1208" s="15" t="s">
        <v>1335</v>
      </c>
      <c r="AS1208" s="14" t="s">
        <v>3002</v>
      </c>
    </row>
    <row r="1209" spans="1:45" s="14" customFormat="1" x14ac:dyDescent="0.2">
      <c r="A1209" s="14" t="s">
        <v>1326</v>
      </c>
      <c r="B1209" s="15" t="s">
        <v>1146</v>
      </c>
      <c r="C1209" s="15" t="s">
        <v>1149</v>
      </c>
      <c r="D1209" s="14" t="s">
        <v>1342</v>
      </c>
      <c r="E1209" s="14" t="s">
        <v>1343</v>
      </c>
      <c r="G1209" s="15" t="s">
        <v>1165</v>
      </c>
      <c r="H1209" s="14" t="s">
        <v>1165</v>
      </c>
      <c r="I1209" s="18" t="s">
        <v>1328</v>
      </c>
      <c r="J1209" s="18" t="s">
        <v>1337</v>
      </c>
      <c r="K1209" s="18" t="s">
        <v>1338</v>
      </c>
      <c r="L1209" s="14">
        <v>2000</v>
      </c>
      <c r="M1209" s="14" t="s">
        <v>1327</v>
      </c>
      <c r="O1209" s="14">
        <v>2005</v>
      </c>
      <c r="P1209" s="14">
        <v>2005</v>
      </c>
      <c r="Q1209" s="14" t="s">
        <v>1329</v>
      </c>
      <c r="R1209" s="14">
        <v>10</v>
      </c>
      <c r="T1209" s="14" t="s">
        <v>1330</v>
      </c>
      <c r="U1209" s="14" t="s">
        <v>1341</v>
      </c>
      <c r="V1209" s="12"/>
      <c r="W1209" s="14">
        <v>35</v>
      </c>
      <c r="X1209" s="12" t="s">
        <v>1334</v>
      </c>
      <c r="Y1209" s="14" t="s">
        <v>2996</v>
      </c>
      <c r="Z1209" s="14">
        <v>0</v>
      </c>
      <c r="AD1209" s="14" t="s">
        <v>1165</v>
      </c>
      <c r="AF1209" s="14" t="s">
        <v>1165</v>
      </c>
      <c r="AI1209" s="14" t="s">
        <v>1165</v>
      </c>
      <c r="AJ1209" s="15" t="s">
        <v>1148</v>
      </c>
      <c r="AK1209" s="15">
        <v>0</v>
      </c>
      <c r="AP1209" s="15">
        <v>28</v>
      </c>
      <c r="AQ1209" s="14" t="s">
        <v>1336</v>
      </c>
      <c r="AR1209" s="15" t="s">
        <v>1335</v>
      </c>
      <c r="AS1209" s="14" t="s">
        <v>3002</v>
      </c>
    </row>
    <row r="1210" spans="1:45" s="14" customFormat="1" x14ac:dyDescent="0.2">
      <c r="A1210" s="14" t="s">
        <v>1326</v>
      </c>
      <c r="B1210" s="15" t="s">
        <v>1146</v>
      </c>
      <c r="C1210" s="15" t="s">
        <v>1149</v>
      </c>
      <c r="D1210" s="14" t="s">
        <v>1342</v>
      </c>
      <c r="E1210" s="14" t="s">
        <v>1343</v>
      </c>
      <c r="G1210" s="15" t="s">
        <v>1165</v>
      </c>
      <c r="H1210" s="14" t="s">
        <v>1165</v>
      </c>
      <c r="I1210" s="18" t="s">
        <v>1328</v>
      </c>
      <c r="J1210" s="18" t="s">
        <v>1337</v>
      </c>
      <c r="K1210" s="18" t="s">
        <v>1338</v>
      </c>
      <c r="L1210" s="14">
        <v>2000</v>
      </c>
      <c r="M1210" s="14" t="s">
        <v>1327</v>
      </c>
      <c r="O1210" s="14">
        <v>2005</v>
      </c>
      <c r="P1210" s="14">
        <v>2005</v>
      </c>
      <c r="Q1210" s="14" t="s">
        <v>1329</v>
      </c>
      <c r="R1210" s="14">
        <v>10</v>
      </c>
      <c r="T1210" s="14" t="s">
        <v>1330</v>
      </c>
      <c r="U1210" s="14" t="s">
        <v>1341</v>
      </c>
      <c r="V1210" s="12"/>
      <c r="W1210" s="14">
        <v>70</v>
      </c>
      <c r="X1210" s="12" t="s">
        <v>1333</v>
      </c>
      <c r="Y1210" s="14" t="s">
        <v>2997</v>
      </c>
      <c r="Z1210" s="14">
        <v>12</v>
      </c>
      <c r="AD1210" s="14" t="s">
        <v>1165</v>
      </c>
      <c r="AF1210" s="14" t="s">
        <v>1165</v>
      </c>
      <c r="AI1210" s="14" t="s">
        <v>1165</v>
      </c>
      <c r="AJ1210" s="15" t="s">
        <v>1148</v>
      </c>
      <c r="AK1210" s="15">
        <v>17.940999999999999</v>
      </c>
      <c r="AP1210" s="15">
        <v>28</v>
      </c>
      <c r="AQ1210" s="14" t="s">
        <v>1336</v>
      </c>
      <c r="AR1210" s="15" t="s">
        <v>1335</v>
      </c>
      <c r="AS1210" s="14" t="s">
        <v>3002</v>
      </c>
    </row>
    <row r="1211" spans="1:45" s="14" customFormat="1" x14ac:dyDescent="0.2">
      <c r="A1211" s="14" t="s">
        <v>1326</v>
      </c>
      <c r="B1211" s="15" t="s">
        <v>1146</v>
      </c>
      <c r="C1211" s="15" t="s">
        <v>1149</v>
      </c>
      <c r="D1211" s="14" t="s">
        <v>1342</v>
      </c>
      <c r="E1211" s="14" t="s">
        <v>1343</v>
      </c>
      <c r="G1211" s="15" t="s">
        <v>1165</v>
      </c>
      <c r="H1211" s="14" t="s">
        <v>1165</v>
      </c>
      <c r="I1211" s="18" t="s">
        <v>1328</v>
      </c>
      <c r="J1211" s="18" t="s">
        <v>1337</v>
      </c>
      <c r="K1211" s="18" t="s">
        <v>1338</v>
      </c>
      <c r="L1211" s="14">
        <v>2000</v>
      </c>
      <c r="M1211" s="14" t="s">
        <v>1327</v>
      </c>
      <c r="O1211" s="14">
        <v>2005</v>
      </c>
      <c r="P1211" s="14">
        <v>2005</v>
      </c>
      <c r="Q1211" s="14" t="s">
        <v>1329</v>
      </c>
      <c r="R1211" s="14">
        <v>10</v>
      </c>
      <c r="T1211" s="14" t="s">
        <v>1330</v>
      </c>
      <c r="U1211" s="14" t="s">
        <v>1341</v>
      </c>
      <c r="V1211" s="12"/>
      <c r="W1211" s="14">
        <v>70</v>
      </c>
      <c r="X1211" s="12" t="s">
        <v>1264</v>
      </c>
      <c r="Y1211" s="14" t="s">
        <v>2997</v>
      </c>
      <c r="Z1211" s="14">
        <v>12</v>
      </c>
      <c r="AD1211" s="14" t="s">
        <v>1165</v>
      </c>
      <c r="AF1211" s="14" t="s">
        <v>1165</v>
      </c>
      <c r="AI1211" s="14" t="s">
        <v>1165</v>
      </c>
      <c r="AJ1211" s="15" t="s">
        <v>1148</v>
      </c>
      <c r="AK1211" s="15">
        <v>72.647000000000006</v>
      </c>
      <c r="AP1211" s="15">
        <v>28</v>
      </c>
      <c r="AQ1211" s="14" t="s">
        <v>1336</v>
      </c>
      <c r="AR1211" s="15" t="s">
        <v>1335</v>
      </c>
      <c r="AS1211" s="14" t="s">
        <v>3002</v>
      </c>
    </row>
    <row r="1212" spans="1:45" s="14" customFormat="1" x14ac:dyDescent="0.2">
      <c r="A1212" s="14" t="s">
        <v>1326</v>
      </c>
      <c r="B1212" s="15" t="s">
        <v>1146</v>
      </c>
      <c r="C1212" s="15" t="s">
        <v>1149</v>
      </c>
      <c r="D1212" s="14" t="s">
        <v>1342</v>
      </c>
      <c r="E1212" s="14" t="s">
        <v>1343</v>
      </c>
      <c r="G1212" s="15" t="s">
        <v>1165</v>
      </c>
      <c r="H1212" s="14" t="s">
        <v>1165</v>
      </c>
      <c r="I1212" s="18" t="s">
        <v>1328</v>
      </c>
      <c r="J1212" s="18" t="s">
        <v>1337</v>
      </c>
      <c r="K1212" s="18" t="s">
        <v>1338</v>
      </c>
      <c r="L1212" s="14">
        <v>2000</v>
      </c>
      <c r="M1212" s="14" t="s">
        <v>1327</v>
      </c>
      <c r="O1212" s="14">
        <v>2005</v>
      </c>
      <c r="P1212" s="14">
        <v>2005</v>
      </c>
      <c r="Q1212" s="14" t="s">
        <v>1329</v>
      </c>
      <c r="R1212" s="14">
        <v>10</v>
      </c>
      <c r="T1212" s="14" t="s">
        <v>1330</v>
      </c>
      <c r="U1212" s="14" t="s">
        <v>1341</v>
      </c>
      <c r="V1212" s="12"/>
      <c r="W1212" s="14">
        <v>70</v>
      </c>
      <c r="X1212" s="12" t="s">
        <v>1261</v>
      </c>
      <c r="Y1212" s="14" t="s">
        <v>2997</v>
      </c>
      <c r="Z1212" s="14">
        <v>12</v>
      </c>
      <c r="AD1212" s="14" t="s">
        <v>1165</v>
      </c>
      <c r="AF1212" s="14" t="s">
        <v>1165</v>
      </c>
      <c r="AI1212" s="14" t="s">
        <v>1165</v>
      </c>
      <c r="AJ1212" s="15" t="s">
        <v>1148</v>
      </c>
      <c r="AK1212" s="15">
        <v>72.647000000000006</v>
      </c>
      <c r="AP1212" s="15">
        <v>28</v>
      </c>
      <c r="AQ1212" s="14" t="s">
        <v>1336</v>
      </c>
      <c r="AR1212" s="15" t="s">
        <v>1335</v>
      </c>
      <c r="AS1212" s="14" t="s">
        <v>3002</v>
      </c>
    </row>
    <row r="1213" spans="1:45" s="14" customFormat="1" x14ac:dyDescent="0.2">
      <c r="A1213" s="14" t="s">
        <v>1326</v>
      </c>
      <c r="B1213" s="15" t="s">
        <v>1146</v>
      </c>
      <c r="C1213" s="15" t="s">
        <v>1149</v>
      </c>
      <c r="D1213" s="14" t="s">
        <v>1342</v>
      </c>
      <c r="E1213" s="14" t="s">
        <v>1343</v>
      </c>
      <c r="G1213" s="15" t="s">
        <v>1165</v>
      </c>
      <c r="H1213" s="14" t="s">
        <v>1165</v>
      </c>
      <c r="I1213" s="18" t="s">
        <v>1328</v>
      </c>
      <c r="J1213" s="18" t="s">
        <v>1337</v>
      </c>
      <c r="K1213" s="18" t="s">
        <v>1338</v>
      </c>
      <c r="L1213" s="14">
        <v>2000</v>
      </c>
      <c r="M1213" s="14" t="s">
        <v>1327</v>
      </c>
      <c r="O1213" s="14">
        <v>2005</v>
      </c>
      <c r="P1213" s="14">
        <v>2005</v>
      </c>
      <c r="Q1213" s="14" t="s">
        <v>1329</v>
      </c>
      <c r="R1213" s="14">
        <v>10</v>
      </c>
      <c r="T1213" s="14" t="s">
        <v>1330</v>
      </c>
      <c r="U1213" s="14" t="s">
        <v>1341</v>
      </c>
      <c r="V1213" s="12"/>
      <c r="W1213" s="14">
        <v>70</v>
      </c>
      <c r="X1213" s="12" t="s">
        <v>1334</v>
      </c>
      <c r="Y1213" s="14" t="s">
        <v>2997</v>
      </c>
      <c r="Z1213" s="14">
        <v>12</v>
      </c>
      <c r="AD1213" s="14" t="s">
        <v>1165</v>
      </c>
      <c r="AF1213" s="14" t="s">
        <v>1165</v>
      </c>
      <c r="AI1213" s="14" t="s">
        <v>1165</v>
      </c>
      <c r="AJ1213" s="15" t="s">
        <v>1148</v>
      </c>
      <c r="AK1213" s="15">
        <v>67.352999999999994</v>
      </c>
      <c r="AP1213" s="15">
        <v>28</v>
      </c>
      <c r="AQ1213" s="14" t="s">
        <v>1336</v>
      </c>
      <c r="AR1213" s="15" t="s">
        <v>1335</v>
      </c>
      <c r="AS1213" s="14" t="s">
        <v>3002</v>
      </c>
    </row>
    <row r="1214" spans="1:45" s="14" customFormat="1" x14ac:dyDescent="0.2">
      <c r="A1214" s="14" t="s">
        <v>1326</v>
      </c>
      <c r="B1214" s="15" t="s">
        <v>1146</v>
      </c>
      <c r="C1214" s="15" t="s">
        <v>1149</v>
      </c>
      <c r="D1214" s="14" t="s">
        <v>1342</v>
      </c>
      <c r="E1214" s="14" t="s">
        <v>1343</v>
      </c>
      <c r="G1214" s="15" t="s">
        <v>1165</v>
      </c>
      <c r="H1214" s="14" t="s">
        <v>1165</v>
      </c>
      <c r="I1214" s="18" t="s">
        <v>1328</v>
      </c>
      <c r="J1214" s="18" t="s">
        <v>1337</v>
      </c>
      <c r="K1214" s="18" t="s">
        <v>1338</v>
      </c>
      <c r="L1214" s="14">
        <v>2000</v>
      </c>
      <c r="M1214" s="14" t="s">
        <v>1327</v>
      </c>
      <c r="O1214" s="14">
        <v>2005</v>
      </c>
      <c r="P1214" s="14">
        <v>2005</v>
      </c>
      <c r="Q1214" s="14" t="s">
        <v>1329</v>
      </c>
      <c r="R1214" s="14">
        <v>10</v>
      </c>
      <c r="T1214" s="14" t="s">
        <v>1330</v>
      </c>
      <c r="U1214" s="14" t="s">
        <v>1341</v>
      </c>
      <c r="V1214" s="12"/>
      <c r="W1214" s="14">
        <v>70</v>
      </c>
      <c r="X1214" s="12" t="s">
        <v>1333</v>
      </c>
      <c r="Y1214" s="14" t="s">
        <v>2997</v>
      </c>
      <c r="Z1214" s="14">
        <v>0</v>
      </c>
      <c r="AD1214" s="14" t="s">
        <v>1165</v>
      </c>
      <c r="AF1214" s="14" t="s">
        <v>1165</v>
      </c>
      <c r="AI1214" s="14" t="s">
        <v>1165</v>
      </c>
      <c r="AJ1214" s="15" t="s">
        <v>1148</v>
      </c>
      <c r="AK1214" s="15">
        <v>0</v>
      </c>
      <c r="AP1214" s="15">
        <v>28</v>
      </c>
      <c r="AQ1214" s="14" t="s">
        <v>1336</v>
      </c>
      <c r="AR1214" s="15" t="s">
        <v>1335</v>
      </c>
      <c r="AS1214" s="14" t="s">
        <v>3002</v>
      </c>
    </row>
    <row r="1215" spans="1:45" s="14" customFormat="1" x14ac:dyDescent="0.2">
      <c r="A1215" s="14" t="s">
        <v>1326</v>
      </c>
      <c r="B1215" s="15" t="s">
        <v>1146</v>
      </c>
      <c r="C1215" s="15" t="s">
        <v>1149</v>
      </c>
      <c r="D1215" s="14" t="s">
        <v>1342</v>
      </c>
      <c r="E1215" s="14" t="s">
        <v>1343</v>
      </c>
      <c r="G1215" s="15" t="s">
        <v>1165</v>
      </c>
      <c r="H1215" s="14" t="s">
        <v>1165</v>
      </c>
      <c r="I1215" s="18" t="s">
        <v>1328</v>
      </c>
      <c r="J1215" s="18" t="s">
        <v>1337</v>
      </c>
      <c r="K1215" s="18" t="s">
        <v>1338</v>
      </c>
      <c r="L1215" s="14">
        <v>2000</v>
      </c>
      <c r="M1215" s="14" t="s">
        <v>1327</v>
      </c>
      <c r="O1215" s="14">
        <v>2005</v>
      </c>
      <c r="P1215" s="14">
        <v>2005</v>
      </c>
      <c r="Q1215" s="14" t="s">
        <v>1329</v>
      </c>
      <c r="R1215" s="14">
        <v>10</v>
      </c>
      <c r="T1215" s="14" t="s">
        <v>1330</v>
      </c>
      <c r="U1215" s="14" t="s">
        <v>1341</v>
      </c>
      <c r="V1215" s="12"/>
      <c r="W1215" s="14">
        <v>70</v>
      </c>
      <c r="X1215" s="12" t="s">
        <v>1264</v>
      </c>
      <c r="Y1215" s="14" t="s">
        <v>2997</v>
      </c>
      <c r="Z1215" s="14">
        <v>0</v>
      </c>
      <c r="AD1215" s="14" t="s">
        <v>1165</v>
      </c>
      <c r="AF1215" s="14" t="s">
        <v>1165</v>
      </c>
      <c r="AI1215" s="14" t="s">
        <v>1165</v>
      </c>
      <c r="AJ1215" s="15" t="s">
        <v>1148</v>
      </c>
      <c r="AK1215" s="15">
        <v>0</v>
      </c>
      <c r="AP1215" s="15">
        <v>28</v>
      </c>
      <c r="AQ1215" s="14" t="s">
        <v>1336</v>
      </c>
      <c r="AR1215" s="15" t="s">
        <v>1335</v>
      </c>
      <c r="AS1215" s="14" t="s">
        <v>3002</v>
      </c>
    </row>
    <row r="1216" spans="1:45" s="14" customFormat="1" x14ac:dyDescent="0.2">
      <c r="A1216" s="14" t="s">
        <v>1326</v>
      </c>
      <c r="B1216" s="15" t="s">
        <v>1146</v>
      </c>
      <c r="C1216" s="15" t="s">
        <v>1149</v>
      </c>
      <c r="D1216" s="14" t="s">
        <v>1342</v>
      </c>
      <c r="E1216" s="14" t="s">
        <v>1343</v>
      </c>
      <c r="G1216" s="15" t="s">
        <v>1165</v>
      </c>
      <c r="H1216" s="14" t="s">
        <v>1165</v>
      </c>
      <c r="I1216" s="18" t="s">
        <v>1328</v>
      </c>
      <c r="J1216" s="18" t="s">
        <v>1337</v>
      </c>
      <c r="K1216" s="18" t="s">
        <v>1338</v>
      </c>
      <c r="L1216" s="14">
        <v>2000</v>
      </c>
      <c r="M1216" s="14" t="s">
        <v>1327</v>
      </c>
      <c r="O1216" s="14">
        <v>2005</v>
      </c>
      <c r="P1216" s="14">
        <v>2005</v>
      </c>
      <c r="Q1216" s="14" t="s">
        <v>1329</v>
      </c>
      <c r="R1216" s="14">
        <v>10</v>
      </c>
      <c r="T1216" s="14" t="s">
        <v>1330</v>
      </c>
      <c r="U1216" s="14" t="s">
        <v>1341</v>
      </c>
      <c r="V1216" s="12"/>
      <c r="W1216" s="14">
        <v>70</v>
      </c>
      <c r="X1216" s="12" t="s">
        <v>1261</v>
      </c>
      <c r="Y1216" s="14" t="s">
        <v>2997</v>
      </c>
      <c r="Z1216" s="14">
        <v>0</v>
      </c>
      <c r="AD1216" s="14" t="s">
        <v>1165</v>
      </c>
      <c r="AF1216" s="14" t="s">
        <v>1165</v>
      </c>
      <c r="AI1216" s="14" t="s">
        <v>1165</v>
      </c>
      <c r="AJ1216" s="15" t="s">
        <v>1148</v>
      </c>
      <c r="AK1216" s="15">
        <v>0</v>
      </c>
      <c r="AP1216" s="15">
        <v>28</v>
      </c>
      <c r="AQ1216" s="14" t="s">
        <v>1336</v>
      </c>
      <c r="AR1216" s="15" t="s">
        <v>1335</v>
      </c>
      <c r="AS1216" s="14" t="s">
        <v>3002</v>
      </c>
    </row>
    <row r="1217" spans="1:45" s="14" customFormat="1" x14ac:dyDescent="0.2">
      <c r="A1217" s="14" t="s">
        <v>1326</v>
      </c>
      <c r="B1217" s="15" t="s">
        <v>1146</v>
      </c>
      <c r="C1217" s="15" t="s">
        <v>1149</v>
      </c>
      <c r="D1217" s="14" t="s">
        <v>1342</v>
      </c>
      <c r="E1217" s="14" t="s">
        <v>1343</v>
      </c>
      <c r="G1217" s="15" t="s">
        <v>1165</v>
      </c>
      <c r="H1217" s="14" t="s">
        <v>1165</v>
      </c>
      <c r="I1217" s="18" t="s">
        <v>1328</v>
      </c>
      <c r="J1217" s="18" t="s">
        <v>1337</v>
      </c>
      <c r="K1217" s="18" t="s">
        <v>1338</v>
      </c>
      <c r="L1217" s="14">
        <v>2000</v>
      </c>
      <c r="M1217" s="14" t="s">
        <v>1327</v>
      </c>
      <c r="O1217" s="14">
        <v>2005</v>
      </c>
      <c r="P1217" s="14">
        <v>2005</v>
      </c>
      <c r="Q1217" s="14" t="s">
        <v>1329</v>
      </c>
      <c r="R1217" s="14">
        <v>10</v>
      </c>
      <c r="T1217" s="14" t="s">
        <v>1330</v>
      </c>
      <c r="U1217" s="14" t="s">
        <v>1341</v>
      </c>
      <c r="V1217" s="12"/>
      <c r="W1217" s="14">
        <v>70</v>
      </c>
      <c r="X1217" s="12" t="s">
        <v>1334</v>
      </c>
      <c r="Y1217" s="14" t="s">
        <v>2997</v>
      </c>
      <c r="Z1217" s="14">
        <v>0</v>
      </c>
      <c r="AD1217" s="14" t="s">
        <v>1165</v>
      </c>
      <c r="AF1217" s="14" t="s">
        <v>1165</v>
      </c>
      <c r="AI1217" s="14" t="s">
        <v>1165</v>
      </c>
      <c r="AJ1217" s="15" t="s">
        <v>1148</v>
      </c>
      <c r="AK1217" s="15">
        <v>0</v>
      </c>
      <c r="AP1217" s="15">
        <v>28</v>
      </c>
      <c r="AQ1217" s="14" t="s">
        <v>1336</v>
      </c>
      <c r="AR1217" s="15" t="s">
        <v>1335</v>
      </c>
      <c r="AS1217" s="14" t="s">
        <v>3002</v>
      </c>
    </row>
    <row r="1218" spans="1:45" s="14" customFormat="1" x14ac:dyDescent="0.2">
      <c r="A1218" s="14" t="s">
        <v>1326</v>
      </c>
      <c r="B1218" s="15" t="s">
        <v>1146</v>
      </c>
      <c r="C1218" s="15" t="s">
        <v>1149</v>
      </c>
      <c r="D1218" s="14" t="s">
        <v>1342</v>
      </c>
      <c r="E1218" s="14" t="s">
        <v>1343</v>
      </c>
      <c r="G1218" s="15" t="s">
        <v>1165</v>
      </c>
      <c r="H1218" s="14" t="s">
        <v>1165</v>
      </c>
      <c r="I1218" s="18" t="s">
        <v>1328</v>
      </c>
      <c r="J1218" s="18" t="s">
        <v>1337</v>
      </c>
      <c r="K1218" s="18" t="s">
        <v>1338</v>
      </c>
      <c r="L1218" s="14">
        <v>2000</v>
      </c>
      <c r="M1218" s="14" t="s">
        <v>1327</v>
      </c>
      <c r="O1218" s="14">
        <v>2005</v>
      </c>
      <c r="P1218" s="14">
        <v>2005</v>
      </c>
      <c r="Q1218" s="14" t="s">
        <v>1329</v>
      </c>
      <c r="R1218" s="14">
        <v>10</v>
      </c>
      <c r="T1218" s="14" t="s">
        <v>1330</v>
      </c>
      <c r="U1218" s="14" t="s">
        <v>1341</v>
      </c>
      <c r="V1218" s="12"/>
      <c r="W1218" s="14">
        <v>140</v>
      </c>
      <c r="X1218" s="12" t="s">
        <v>1333</v>
      </c>
      <c r="Y1218" s="14" t="s">
        <v>2998</v>
      </c>
      <c r="Z1218" s="14">
        <v>12</v>
      </c>
      <c r="AD1218" s="14" t="s">
        <v>1165</v>
      </c>
      <c r="AF1218" s="14" t="s">
        <v>1165</v>
      </c>
      <c r="AI1218" s="14" t="s">
        <v>1165</v>
      </c>
      <c r="AJ1218" s="15" t="s">
        <v>1148</v>
      </c>
      <c r="AK1218" s="15">
        <v>71.471000000000004</v>
      </c>
      <c r="AP1218" s="15">
        <v>28</v>
      </c>
      <c r="AQ1218" s="14" t="s">
        <v>1336</v>
      </c>
      <c r="AR1218" s="15" t="s">
        <v>1335</v>
      </c>
      <c r="AS1218" s="14" t="s">
        <v>3002</v>
      </c>
    </row>
    <row r="1219" spans="1:45" s="14" customFormat="1" x14ac:dyDescent="0.2">
      <c r="A1219" s="14" t="s">
        <v>1326</v>
      </c>
      <c r="B1219" s="15" t="s">
        <v>1146</v>
      </c>
      <c r="C1219" s="15" t="s">
        <v>1149</v>
      </c>
      <c r="D1219" s="14" t="s">
        <v>1342</v>
      </c>
      <c r="E1219" s="14" t="s">
        <v>1343</v>
      </c>
      <c r="G1219" s="15" t="s">
        <v>1165</v>
      </c>
      <c r="H1219" s="14" t="s">
        <v>1165</v>
      </c>
      <c r="I1219" s="18" t="s">
        <v>1328</v>
      </c>
      <c r="J1219" s="18" t="s">
        <v>1337</v>
      </c>
      <c r="K1219" s="18" t="s">
        <v>1338</v>
      </c>
      <c r="L1219" s="14">
        <v>2000</v>
      </c>
      <c r="M1219" s="14" t="s">
        <v>1327</v>
      </c>
      <c r="O1219" s="14">
        <v>2005</v>
      </c>
      <c r="P1219" s="14">
        <v>2005</v>
      </c>
      <c r="Q1219" s="14" t="s">
        <v>1329</v>
      </c>
      <c r="R1219" s="14">
        <v>10</v>
      </c>
      <c r="T1219" s="14" t="s">
        <v>1330</v>
      </c>
      <c r="U1219" s="14" t="s">
        <v>1341</v>
      </c>
      <c r="V1219" s="12"/>
      <c r="W1219" s="14">
        <v>140</v>
      </c>
      <c r="X1219" s="12" t="s">
        <v>1264</v>
      </c>
      <c r="Y1219" s="14" t="s">
        <v>2998</v>
      </c>
      <c r="Z1219" s="14">
        <v>12</v>
      </c>
      <c r="AD1219" s="14" t="s">
        <v>1165</v>
      </c>
      <c r="AF1219" s="14" t="s">
        <v>1165</v>
      </c>
      <c r="AI1219" s="14" t="s">
        <v>1165</v>
      </c>
      <c r="AJ1219" s="15" t="s">
        <v>1148</v>
      </c>
      <c r="AK1219" s="15">
        <v>91.471000000000004</v>
      </c>
      <c r="AP1219" s="15">
        <v>28</v>
      </c>
      <c r="AQ1219" s="14" t="s">
        <v>1336</v>
      </c>
      <c r="AR1219" s="15" t="s">
        <v>1335</v>
      </c>
      <c r="AS1219" s="14" t="s">
        <v>3002</v>
      </c>
    </row>
    <row r="1220" spans="1:45" s="14" customFormat="1" x14ac:dyDescent="0.2">
      <c r="A1220" s="14" t="s">
        <v>1326</v>
      </c>
      <c r="B1220" s="15" t="s">
        <v>1146</v>
      </c>
      <c r="C1220" s="15" t="s">
        <v>1149</v>
      </c>
      <c r="D1220" s="14" t="s">
        <v>1342</v>
      </c>
      <c r="E1220" s="14" t="s">
        <v>1343</v>
      </c>
      <c r="G1220" s="15" t="s">
        <v>1165</v>
      </c>
      <c r="H1220" s="14" t="s">
        <v>1165</v>
      </c>
      <c r="I1220" s="18" t="s">
        <v>1328</v>
      </c>
      <c r="J1220" s="18" t="s">
        <v>1337</v>
      </c>
      <c r="K1220" s="18" t="s">
        <v>1338</v>
      </c>
      <c r="L1220" s="14">
        <v>2000</v>
      </c>
      <c r="M1220" s="14" t="s">
        <v>1327</v>
      </c>
      <c r="O1220" s="14">
        <v>2005</v>
      </c>
      <c r="P1220" s="14">
        <v>2005</v>
      </c>
      <c r="Q1220" s="14" t="s">
        <v>1329</v>
      </c>
      <c r="R1220" s="14">
        <v>10</v>
      </c>
      <c r="T1220" s="14" t="s">
        <v>1330</v>
      </c>
      <c r="U1220" s="14" t="s">
        <v>1341</v>
      </c>
      <c r="V1220" s="12"/>
      <c r="W1220" s="14">
        <v>140</v>
      </c>
      <c r="X1220" s="12" t="s">
        <v>1261</v>
      </c>
      <c r="Y1220" s="14" t="s">
        <v>2998</v>
      </c>
      <c r="Z1220" s="14">
        <v>12</v>
      </c>
      <c r="AD1220" s="14" t="s">
        <v>1165</v>
      </c>
      <c r="AF1220" s="14" t="s">
        <v>1165</v>
      </c>
      <c r="AI1220" s="14" t="s">
        <v>1165</v>
      </c>
      <c r="AJ1220" s="15" t="s">
        <v>1148</v>
      </c>
      <c r="AK1220" s="15">
        <v>92.352999999999994</v>
      </c>
      <c r="AP1220" s="15">
        <v>28</v>
      </c>
      <c r="AQ1220" s="14" t="s">
        <v>1336</v>
      </c>
      <c r="AR1220" s="15" t="s">
        <v>1335</v>
      </c>
      <c r="AS1220" s="14" t="s">
        <v>3002</v>
      </c>
    </row>
    <row r="1221" spans="1:45" s="14" customFormat="1" x14ac:dyDescent="0.2">
      <c r="A1221" s="14" t="s">
        <v>1326</v>
      </c>
      <c r="B1221" s="15" t="s">
        <v>1146</v>
      </c>
      <c r="C1221" s="15" t="s">
        <v>1149</v>
      </c>
      <c r="D1221" s="14" t="s">
        <v>1342</v>
      </c>
      <c r="E1221" s="14" t="s">
        <v>1343</v>
      </c>
      <c r="G1221" s="15" t="s">
        <v>1165</v>
      </c>
      <c r="H1221" s="14" t="s">
        <v>1165</v>
      </c>
      <c r="I1221" s="18" t="s">
        <v>1328</v>
      </c>
      <c r="J1221" s="18" t="s">
        <v>1337</v>
      </c>
      <c r="K1221" s="18" t="s">
        <v>1338</v>
      </c>
      <c r="L1221" s="14">
        <v>2000</v>
      </c>
      <c r="M1221" s="14" t="s">
        <v>1327</v>
      </c>
      <c r="O1221" s="14">
        <v>2005</v>
      </c>
      <c r="P1221" s="14">
        <v>2005</v>
      </c>
      <c r="Q1221" s="14" t="s">
        <v>1329</v>
      </c>
      <c r="R1221" s="14">
        <v>10</v>
      </c>
      <c r="T1221" s="14" t="s">
        <v>1330</v>
      </c>
      <c r="U1221" s="14" t="s">
        <v>1341</v>
      </c>
      <c r="V1221" s="12"/>
      <c r="W1221" s="14">
        <v>140</v>
      </c>
      <c r="X1221" s="12" t="s">
        <v>1334</v>
      </c>
      <c r="Y1221" s="14" t="s">
        <v>2998</v>
      </c>
      <c r="Z1221" s="14">
        <v>12</v>
      </c>
      <c r="AD1221" s="14" t="s">
        <v>1165</v>
      </c>
      <c r="AF1221" s="14" t="s">
        <v>1165</v>
      </c>
      <c r="AI1221" s="14" t="s">
        <v>1165</v>
      </c>
      <c r="AJ1221" s="15" t="s">
        <v>1148</v>
      </c>
      <c r="AK1221" s="15">
        <v>95.293999999999997</v>
      </c>
      <c r="AP1221" s="15">
        <v>28</v>
      </c>
      <c r="AQ1221" s="14" t="s">
        <v>1336</v>
      </c>
      <c r="AR1221" s="15" t="s">
        <v>1335</v>
      </c>
      <c r="AS1221" s="14" t="s">
        <v>3002</v>
      </c>
    </row>
    <row r="1222" spans="1:45" s="14" customFormat="1" x14ac:dyDescent="0.2">
      <c r="A1222" s="14" t="s">
        <v>1326</v>
      </c>
      <c r="B1222" s="15" t="s">
        <v>1146</v>
      </c>
      <c r="C1222" s="15" t="s">
        <v>1149</v>
      </c>
      <c r="D1222" s="14" t="s">
        <v>1342</v>
      </c>
      <c r="E1222" s="14" t="s">
        <v>1343</v>
      </c>
      <c r="G1222" s="15" t="s">
        <v>1165</v>
      </c>
      <c r="H1222" s="14" t="s">
        <v>1165</v>
      </c>
      <c r="I1222" s="18" t="s">
        <v>1328</v>
      </c>
      <c r="J1222" s="18" t="s">
        <v>1337</v>
      </c>
      <c r="K1222" s="18" t="s">
        <v>1338</v>
      </c>
      <c r="L1222" s="14">
        <v>2000</v>
      </c>
      <c r="M1222" s="14" t="s">
        <v>1327</v>
      </c>
      <c r="O1222" s="14">
        <v>2005</v>
      </c>
      <c r="P1222" s="14">
        <v>2005</v>
      </c>
      <c r="Q1222" s="14" t="s">
        <v>1329</v>
      </c>
      <c r="R1222" s="14">
        <v>10</v>
      </c>
      <c r="T1222" s="14" t="s">
        <v>1330</v>
      </c>
      <c r="U1222" s="14" t="s">
        <v>1341</v>
      </c>
      <c r="V1222" s="12"/>
      <c r="W1222" s="14">
        <v>140</v>
      </c>
      <c r="X1222" s="12" t="s">
        <v>1333</v>
      </c>
      <c r="Y1222" s="14" t="s">
        <v>2998</v>
      </c>
      <c r="Z1222" s="14">
        <v>0</v>
      </c>
      <c r="AD1222" s="14" t="s">
        <v>1165</v>
      </c>
      <c r="AF1222" s="14" t="s">
        <v>1165</v>
      </c>
      <c r="AI1222" s="14" t="s">
        <v>1165</v>
      </c>
      <c r="AJ1222" s="15" t="s">
        <v>1148</v>
      </c>
      <c r="AK1222" s="15">
        <v>0</v>
      </c>
      <c r="AP1222" s="15">
        <v>28</v>
      </c>
      <c r="AQ1222" s="14" t="s">
        <v>1336</v>
      </c>
      <c r="AR1222" s="15" t="s">
        <v>1335</v>
      </c>
      <c r="AS1222" s="14" t="s">
        <v>3002</v>
      </c>
    </row>
    <row r="1223" spans="1:45" s="14" customFormat="1" x14ac:dyDescent="0.2">
      <c r="A1223" s="14" t="s">
        <v>1326</v>
      </c>
      <c r="B1223" s="15" t="s">
        <v>1146</v>
      </c>
      <c r="C1223" s="15" t="s">
        <v>1149</v>
      </c>
      <c r="D1223" s="14" t="s">
        <v>1342</v>
      </c>
      <c r="E1223" s="14" t="s">
        <v>1343</v>
      </c>
      <c r="G1223" s="15" t="s">
        <v>1165</v>
      </c>
      <c r="H1223" s="14" t="s">
        <v>1165</v>
      </c>
      <c r="I1223" s="18" t="s">
        <v>1328</v>
      </c>
      <c r="J1223" s="18" t="s">
        <v>1337</v>
      </c>
      <c r="K1223" s="18" t="s">
        <v>1338</v>
      </c>
      <c r="L1223" s="14">
        <v>2000</v>
      </c>
      <c r="M1223" s="14" t="s">
        <v>1327</v>
      </c>
      <c r="O1223" s="14">
        <v>2005</v>
      </c>
      <c r="P1223" s="14">
        <v>2005</v>
      </c>
      <c r="Q1223" s="14" t="s">
        <v>1329</v>
      </c>
      <c r="R1223" s="14">
        <v>10</v>
      </c>
      <c r="T1223" s="14" t="s">
        <v>1330</v>
      </c>
      <c r="U1223" s="14" t="s">
        <v>1341</v>
      </c>
      <c r="V1223" s="12"/>
      <c r="W1223" s="14">
        <v>140</v>
      </c>
      <c r="X1223" s="12" t="s">
        <v>1264</v>
      </c>
      <c r="Y1223" s="14" t="s">
        <v>2998</v>
      </c>
      <c r="Z1223" s="14">
        <v>0</v>
      </c>
      <c r="AD1223" s="14" t="s">
        <v>1165</v>
      </c>
      <c r="AF1223" s="14" t="s">
        <v>1165</v>
      </c>
      <c r="AI1223" s="14" t="s">
        <v>1165</v>
      </c>
      <c r="AJ1223" s="15" t="s">
        <v>1148</v>
      </c>
      <c r="AK1223" s="15">
        <v>0</v>
      </c>
      <c r="AP1223" s="15">
        <v>28</v>
      </c>
      <c r="AQ1223" s="14" t="s">
        <v>1336</v>
      </c>
      <c r="AR1223" s="15" t="s">
        <v>1335</v>
      </c>
      <c r="AS1223" s="14" t="s">
        <v>3002</v>
      </c>
    </row>
    <row r="1224" spans="1:45" s="14" customFormat="1" x14ac:dyDescent="0.2">
      <c r="A1224" s="14" t="s">
        <v>1326</v>
      </c>
      <c r="B1224" s="15" t="s">
        <v>1146</v>
      </c>
      <c r="C1224" s="15" t="s">
        <v>1149</v>
      </c>
      <c r="D1224" s="14" t="s">
        <v>1342</v>
      </c>
      <c r="E1224" s="14" t="s">
        <v>1343</v>
      </c>
      <c r="G1224" s="15" t="s">
        <v>1165</v>
      </c>
      <c r="H1224" s="14" t="s">
        <v>1165</v>
      </c>
      <c r="I1224" s="18" t="s">
        <v>1328</v>
      </c>
      <c r="J1224" s="18" t="s">
        <v>1337</v>
      </c>
      <c r="K1224" s="18" t="s">
        <v>1338</v>
      </c>
      <c r="L1224" s="14">
        <v>2000</v>
      </c>
      <c r="M1224" s="14" t="s">
        <v>1327</v>
      </c>
      <c r="O1224" s="14">
        <v>2005</v>
      </c>
      <c r="P1224" s="14">
        <v>2005</v>
      </c>
      <c r="Q1224" s="14" t="s">
        <v>1329</v>
      </c>
      <c r="R1224" s="14">
        <v>10</v>
      </c>
      <c r="T1224" s="14" t="s">
        <v>1330</v>
      </c>
      <c r="U1224" s="14" t="s">
        <v>1341</v>
      </c>
      <c r="V1224" s="12"/>
      <c r="W1224" s="14">
        <v>140</v>
      </c>
      <c r="X1224" s="12" t="s">
        <v>1261</v>
      </c>
      <c r="Y1224" s="14" t="s">
        <v>2998</v>
      </c>
      <c r="Z1224" s="14">
        <v>0</v>
      </c>
      <c r="AD1224" s="14" t="s">
        <v>1165</v>
      </c>
      <c r="AF1224" s="14" t="s">
        <v>1165</v>
      </c>
      <c r="AI1224" s="14" t="s">
        <v>1165</v>
      </c>
      <c r="AJ1224" s="15" t="s">
        <v>1148</v>
      </c>
      <c r="AK1224" s="15">
        <v>0</v>
      </c>
      <c r="AP1224" s="15">
        <v>28</v>
      </c>
      <c r="AQ1224" s="14" t="s">
        <v>1336</v>
      </c>
      <c r="AR1224" s="15" t="s">
        <v>1335</v>
      </c>
      <c r="AS1224" s="14" t="s">
        <v>3002</v>
      </c>
    </row>
    <row r="1225" spans="1:45" s="14" customFormat="1" x14ac:dyDescent="0.2">
      <c r="A1225" s="14" t="s">
        <v>1326</v>
      </c>
      <c r="B1225" s="15" t="s">
        <v>1146</v>
      </c>
      <c r="C1225" s="15" t="s">
        <v>1149</v>
      </c>
      <c r="D1225" s="14" t="s">
        <v>1342</v>
      </c>
      <c r="E1225" s="14" t="s">
        <v>1343</v>
      </c>
      <c r="G1225" s="15" t="s">
        <v>1165</v>
      </c>
      <c r="H1225" s="14" t="s">
        <v>1165</v>
      </c>
      <c r="I1225" s="18" t="s">
        <v>1328</v>
      </c>
      <c r="J1225" s="18" t="s">
        <v>1337</v>
      </c>
      <c r="K1225" s="18" t="s">
        <v>1338</v>
      </c>
      <c r="L1225" s="14">
        <v>2000</v>
      </c>
      <c r="M1225" s="14" t="s">
        <v>1327</v>
      </c>
      <c r="O1225" s="14">
        <v>2005</v>
      </c>
      <c r="P1225" s="14">
        <v>2005</v>
      </c>
      <c r="Q1225" s="14" t="s">
        <v>1329</v>
      </c>
      <c r="R1225" s="14">
        <v>10</v>
      </c>
      <c r="T1225" s="14" t="s">
        <v>1330</v>
      </c>
      <c r="U1225" s="14" t="s">
        <v>1341</v>
      </c>
      <c r="V1225" s="12"/>
      <c r="W1225" s="14">
        <v>140</v>
      </c>
      <c r="X1225" s="12" t="s">
        <v>1334</v>
      </c>
      <c r="Y1225" s="14" t="s">
        <v>2998</v>
      </c>
      <c r="Z1225" s="14">
        <v>0</v>
      </c>
      <c r="AD1225" s="14" t="s">
        <v>1165</v>
      </c>
      <c r="AF1225" s="14" t="s">
        <v>1165</v>
      </c>
      <c r="AI1225" s="14" t="s">
        <v>1165</v>
      </c>
      <c r="AJ1225" s="15" t="s">
        <v>1148</v>
      </c>
      <c r="AK1225" s="15">
        <v>0</v>
      </c>
      <c r="AP1225" s="15">
        <v>28</v>
      </c>
      <c r="AQ1225" s="14" t="s">
        <v>1336</v>
      </c>
      <c r="AR1225" s="15" t="s">
        <v>1335</v>
      </c>
      <c r="AS1225" s="14" t="s">
        <v>3002</v>
      </c>
    </row>
    <row r="1226" spans="1:45" s="14" customFormat="1" x14ac:dyDescent="0.2">
      <c r="A1226" s="14" t="s">
        <v>1326</v>
      </c>
      <c r="B1226" s="15" t="s">
        <v>1146</v>
      </c>
      <c r="C1226" s="15" t="s">
        <v>1149</v>
      </c>
      <c r="D1226" s="14" t="s">
        <v>1342</v>
      </c>
      <c r="E1226" s="14" t="s">
        <v>1343</v>
      </c>
      <c r="G1226" s="15" t="s">
        <v>1165</v>
      </c>
      <c r="H1226" s="14" t="s">
        <v>1165</v>
      </c>
      <c r="I1226" s="18" t="s">
        <v>1328</v>
      </c>
      <c r="J1226" s="18" t="s">
        <v>1337</v>
      </c>
      <c r="K1226" s="18" t="s">
        <v>1338</v>
      </c>
      <c r="L1226" s="14">
        <v>2000</v>
      </c>
      <c r="M1226" s="14" t="s">
        <v>1327</v>
      </c>
      <c r="O1226" s="14">
        <v>2005</v>
      </c>
      <c r="P1226" s="14">
        <v>2005</v>
      </c>
      <c r="Q1226" s="14" t="s">
        <v>1329</v>
      </c>
      <c r="R1226" s="14">
        <v>10</v>
      </c>
      <c r="T1226" s="14" t="s">
        <v>1330</v>
      </c>
      <c r="U1226" s="14" t="s">
        <v>1341</v>
      </c>
      <c r="V1226" s="12"/>
      <c r="W1226" s="14">
        <v>210</v>
      </c>
      <c r="X1226" s="12" t="s">
        <v>1333</v>
      </c>
      <c r="Y1226" s="14" t="s">
        <v>2999</v>
      </c>
      <c r="Z1226" s="14">
        <v>12</v>
      </c>
      <c r="AD1226" s="14" t="s">
        <v>1165</v>
      </c>
      <c r="AF1226" s="14" t="s">
        <v>1165</v>
      </c>
      <c r="AI1226" s="14" t="s">
        <v>1165</v>
      </c>
      <c r="AJ1226" s="15" t="s">
        <v>1148</v>
      </c>
      <c r="AK1226" s="15">
        <v>57.353000000000002</v>
      </c>
      <c r="AP1226" s="15">
        <v>28</v>
      </c>
      <c r="AQ1226" s="14" t="s">
        <v>1336</v>
      </c>
      <c r="AR1226" s="15" t="s">
        <v>1335</v>
      </c>
      <c r="AS1226" s="14" t="s">
        <v>3002</v>
      </c>
    </row>
    <row r="1227" spans="1:45" s="14" customFormat="1" x14ac:dyDescent="0.2">
      <c r="A1227" s="14" t="s">
        <v>1326</v>
      </c>
      <c r="B1227" s="15" t="s">
        <v>1146</v>
      </c>
      <c r="C1227" s="15" t="s">
        <v>1149</v>
      </c>
      <c r="D1227" s="14" t="s">
        <v>1342</v>
      </c>
      <c r="E1227" s="14" t="s">
        <v>1343</v>
      </c>
      <c r="G1227" s="15" t="s">
        <v>1165</v>
      </c>
      <c r="H1227" s="14" t="s">
        <v>1165</v>
      </c>
      <c r="I1227" s="18" t="s">
        <v>1328</v>
      </c>
      <c r="J1227" s="18" t="s">
        <v>1337</v>
      </c>
      <c r="K1227" s="18" t="s">
        <v>1338</v>
      </c>
      <c r="L1227" s="14">
        <v>2000</v>
      </c>
      <c r="M1227" s="14" t="s">
        <v>1327</v>
      </c>
      <c r="O1227" s="14">
        <v>2005</v>
      </c>
      <c r="P1227" s="14">
        <v>2005</v>
      </c>
      <c r="Q1227" s="14" t="s">
        <v>1329</v>
      </c>
      <c r="R1227" s="14">
        <v>10</v>
      </c>
      <c r="T1227" s="14" t="s">
        <v>1330</v>
      </c>
      <c r="U1227" s="14" t="s">
        <v>1341</v>
      </c>
      <c r="V1227" s="12"/>
      <c r="W1227" s="14">
        <v>210</v>
      </c>
      <c r="X1227" s="12" t="s">
        <v>1264</v>
      </c>
      <c r="Y1227" s="14" t="s">
        <v>2999</v>
      </c>
      <c r="Z1227" s="14">
        <v>12</v>
      </c>
      <c r="AD1227" s="14" t="s">
        <v>1165</v>
      </c>
      <c r="AF1227" s="14" t="s">
        <v>1165</v>
      </c>
      <c r="AI1227" s="14" t="s">
        <v>1165</v>
      </c>
      <c r="AJ1227" s="15" t="s">
        <v>1148</v>
      </c>
      <c r="AK1227" s="15">
        <v>91.471000000000004</v>
      </c>
      <c r="AP1227" s="15">
        <v>28</v>
      </c>
      <c r="AQ1227" s="14" t="s">
        <v>1336</v>
      </c>
      <c r="AR1227" s="15" t="s">
        <v>1335</v>
      </c>
      <c r="AS1227" s="14" t="s">
        <v>3002</v>
      </c>
    </row>
    <row r="1228" spans="1:45" s="14" customFormat="1" x14ac:dyDescent="0.2">
      <c r="A1228" s="14" t="s">
        <v>1326</v>
      </c>
      <c r="B1228" s="15" t="s">
        <v>1146</v>
      </c>
      <c r="C1228" s="15" t="s">
        <v>1149</v>
      </c>
      <c r="D1228" s="14" t="s">
        <v>1342</v>
      </c>
      <c r="E1228" s="14" t="s">
        <v>1343</v>
      </c>
      <c r="G1228" s="15" t="s">
        <v>1165</v>
      </c>
      <c r="H1228" s="14" t="s">
        <v>1165</v>
      </c>
      <c r="I1228" s="18" t="s">
        <v>1328</v>
      </c>
      <c r="J1228" s="18" t="s">
        <v>1337</v>
      </c>
      <c r="K1228" s="18" t="s">
        <v>1338</v>
      </c>
      <c r="L1228" s="14">
        <v>2000</v>
      </c>
      <c r="M1228" s="14" t="s">
        <v>1327</v>
      </c>
      <c r="O1228" s="14">
        <v>2005</v>
      </c>
      <c r="P1228" s="14">
        <v>2005</v>
      </c>
      <c r="Q1228" s="14" t="s">
        <v>1329</v>
      </c>
      <c r="R1228" s="14">
        <v>10</v>
      </c>
      <c r="T1228" s="14" t="s">
        <v>1330</v>
      </c>
      <c r="U1228" s="14" t="s">
        <v>1341</v>
      </c>
      <c r="V1228" s="12"/>
      <c r="W1228" s="14">
        <v>210</v>
      </c>
      <c r="X1228" s="12" t="s">
        <v>1261</v>
      </c>
      <c r="Y1228" s="14" t="s">
        <v>2999</v>
      </c>
      <c r="Z1228" s="14">
        <v>12</v>
      </c>
      <c r="AD1228" s="14" t="s">
        <v>1165</v>
      </c>
      <c r="AF1228" s="14" t="s">
        <v>1165</v>
      </c>
      <c r="AI1228" s="14" t="s">
        <v>1165</v>
      </c>
      <c r="AJ1228" s="15" t="s">
        <v>1148</v>
      </c>
      <c r="AK1228" s="15">
        <v>82.647000000000006</v>
      </c>
      <c r="AP1228" s="15">
        <v>28</v>
      </c>
      <c r="AQ1228" s="14" t="s">
        <v>1336</v>
      </c>
      <c r="AR1228" s="15" t="s">
        <v>1335</v>
      </c>
      <c r="AS1228" s="14" t="s">
        <v>3002</v>
      </c>
    </row>
    <row r="1229" spans="1:45" s="14" customFormat="1" x14ac:dyDescent="0.2">
      <c r="A1229" s="14" t="s">
        <v>1326</v>
      </c>
      <c r="B1229" s="15" t="s">
        <v>1146</v>
      </c>
      <c r="C1229" s="15" t="s">
        <v>1149</v>
      </c>
      <c r="D1229" s="14" t="s">
        <v>1342</v>
      </c>
      <c r="E1229" s="14" t="s">
        <v>1343</v>
      </c>
      <c r="G1229" s="15" t="s">
        <v>1165</v>
      </c>
      <c r="H1229" s="14" t="s">
        <v>1165</v>
      </c>
      <c r="I1229" s="18" t="s">
        <v>1328</v>
      </c>
      <c r="J1229" s="18" t="s">
        <v>1337</v>
      </c>
      <c r="K1229" s="18" t="s">
        <v>1338</v>
      </c>
      <c r="L1229" s="14">
        <v>2000</v>
      </c>
      <c r="M1229" s="14" t="s">
        <v>1327</v>
      </c>
      <c r="O1229" s="14">
        <v>2005</v>
      </c>
      <c r="P1229" s="14">
        <v>2005</v>
      </c>
      <c r="Q1229" s="14" t="s">
        <v>1329</v>
      </c>
      <c r="R1229" s="14">
        <v>10</v>
      </c>
      <c r="T1229" s="14" t="s">
        <v>1330</v>
      </c>
      <c r="U1229" s="14" t="s">
        <v>1341</v>
      </c>
      <c r="V1229" s="12"/>
      <c r="W1229" s="14">
        <v>210</v>
      </c>
      <c r="X1229" s="12" t="s">
        <v>1334</v>
      </c>
      <c r="Y1229" s="14" t="s">
        <v>2999</v>
      </c>
      <c r="Z1229" s="14">
        <v>12</v>
      </c>
      <c r="AD1229" s="14" t="s">
        <v>1165</v>
      </c>
      <c r="AF1229" s="14" t="s">
        <v>1165</v>
      </c>
      <c r="AI1229" s="14" t="s">
        <v>1165</v>
      </c>
      <c r="AJ1229" s="15" t="s">
        <v>1148</v>
      </c>
      <c r="AK1229" s="15">
        <v>90.587999999999994</v>
      </c>
      <c r="AP1229" s="15">
        <v>28</v>
      </c>
      <c r="AQ1229" s="14" t="s">
        <v>1336</v>
      </c>
      <c r="AR1229" s="15" t="s">
        <v>1335</v>
      </c>
      <c r="AS1229" s="14" t="s">
        <v>3002</v>
      </c>
    </row>
    <row r="1230" spans="1:45" s="14" customFormat="1" x14ac:dyDescent="0.2">
      <c r="A1230" s="14" t="s">
        <v>1326</v>
      </c>
      <c r="B1230" s="15" t="s">
        <v>1146</v>
      </c>
      <c r="C1230" s="15" t="s">
        <v>1149</v>
      </c>
      <c r="D1230" s="14" t="s">
        <v>1342</v>
      </c>
      <c r="E1230" s="14" t="s">
        <v>1343</v>
      </c>
      <c r="G1230" s="15" t="s">
        <v>1165</v>
      </c>
      <c r="H1230" s="14" t="s">
        <v>1165</v>
      </c>
      <c r="I1230" s="18" t="s">
        <v>1328</v>
      </c>
      <c r="J1230" s="18" t="s">
        <v>1337</v>
      </c>
      <c r="K1230" s="18" t="s">
        <v>1338</v>
      </c>
      <c r="L1230" s="14">
        <v>2000</v>
      </c>
      <c r="M1230" s="14" t="s">
        <v>1327</v>
      </c>
      <c r="O1230" s="14">
        <v>2005</v>
      </c>
      <c r="P1230" s="14">
        <v>2005</v>
      </c>
      <c r="Q1230" s="14" t="s">
        <v>1329</v>
      </c>
      <c r="R1230" s="14">
        <v>10</v>
      </c>
      <c r="T1230" s="14" t="s">
        <v>1330</v>
      </c>
      <c r="U1230" s="14" t="s">
        <v>1341</v>
      </c>
      <c r="V1230" s="12"/>
      <c r="W1230" s="14">
        <v>210</v>
      </c>
      <c r="X1230" s="12" t="s">
        <v>1333</v>
      </c>
      <c r="Y1230" s="14" t="s">
        <v>2999</v>
      </c>
      <c r="Z1230" s="14">
        <v>0</v>
      </c>
      <c r="AD1230" s="14" t="s">
        <v>1165</v>
      </c>
      <c r="AF1230" s="14" t="s">
        <v>1165</v>
      </c>
      <c r="AI1230" s="14" t="s">
        <v>1165</v>
      </c>
      <c r="AJ1230" s="15" t="s">
        <v>1148</v>
      </c>
      <c r="AK1230" s="15">
        <v>0</v>
      </c>
      <c r="AP1230" s="15">
        <v>28</v>
      </c>
      <c r="AQ1230" s="14" t="s">
        <v>1336</v>
      </c>
      <c r="AR1230" s="15" t="s">
        <v>1335</v>
      </c>
      <c r="AS1230" s="14" t="s">
        <v>3002</v>
      </c>
    </row>
    <row r="1231" spans="1:45" s="14" customFormat="1" x14ac:dyDescent="0.2">
      <c r="A1231" s="14" t="s">
        <v>1326</v>
      </c>
      <c r="B1231" s="15" t="s">
        <v>1146</v>
      </c>
      <c r="C1231" s="15" t="s">
        <v>1149</v>
      </c>
      <c r="D1231" s="14" t="s">
        <v>1342</v>
      </c>
      <c r="E1231" s="14" t="s">
        <v>1343</v>
      </c>
      <c r="G1231" s="15" t="s">
        <v>1165</v>
      </c>
      <c r="H1231" s="14" t="s">
        <v>1165</v>
      </c>
      <c r="I1231" s="18" t="s">
        <v>1328</v>
      </c>
      <c r="J1231" s="18" t="s">
        <v>1337</v>
      </c>
      <c r="K1231" s="18" t="s">
        <v>1338</v>
      </c>
      <c r="L1231" s="14">
        <v>2000</v>
      </c>
      <c r="M1231" s="14" t="s">
        <v>1327</v>
      </c>
      <c r="O1231" s="14">
        <v>2005</v>
      </c>
      <c r="P1231" s="14">
        <v>2005</v>
      </c>
      <c r="Q1231" s="14" t="s">
        <v>1329</v>
      </c>
      <c r="R1231" s="14">
        <v>10</v>
      </c>
      <c r="T1231" s="14" t="s">
        <v>1330</v>
      </c>
      <c r="U1231" s="14" t="s">
        <v>1341</v>
      </c>
      <c r="V1231" s="12"/>
      <c r="W1231" s="14">
        <v>210</v>
      </c>
      <c r="X1231" s="12" t="s">
        <v>1264</v>
      </c>
      <c r="Y1231" s="14" t="s">
        <v>2999</v>
      </c>
      <c r="Z1231" s="14">
        <v>0</v>
      </c>
      <c r="AD1231" s="14" t="s">
        <v>1165</v>
      </c>
      <c r="AF1231" s="14" t="s">
        <v>1165</v>
      </c>
      <c r="AI1231" s="14" t="s">
        <v>1165</v>
      </c>
      <c r="AJ1231" s="15" t="s">
        <v>1148</v>
      </c>
      <c r="AK1231" s="15">
        <v>0</v>
      </c>
      <c r="AP1231" s="15">
        <v>28</v>
      </c>
      <c r="AQ1231" s="14" t="s">
        <v>1336</v>
      </c>
      <c r="AR1231" s="15" t="s">
        <v>1335</v>
      </c>
      <c r="AS1231" s="14" t="s">
        <v>3002</v>
      </c>
    </row>
    <row r="1232" spans="1:45" s="14" customFormat="1" x14ac:dyDescent="0.2">
      <c r="A1232" s="14" t="s">
        <v>1326</v>
      </c>
      <c r="B1232" s="15" t="s">
        <v>1146</v>
      </c>
      <c r="C1232" s="15" t="s">
        <v>1149</v>
      </c>
      <c r="D1232" s="14" t="s">
        <v>1342</v>
      </c>
      <c r="E1232" s="14" t="s">
        <v>1343</v>
      </c>
      <c r="G1232" s="15" t="s">
        <v>1165</v>
      </c>
      <c r="H1232" s="14" t="s">
        <v>1165</v>
      </c>
      <c r="I1232" s="18" t="s">
        <v>1328</v>
      </c>
      <c r="J1232" s="18" t="s">
        <v>1337</v>
      </c>
      <c r="K1232" s="18" t="s">
        <v>1338</v>
      </c>
      <c r="L1232" s="14">
        <v>2000</v>
      </c>
      <c r="M1232" s="14" t="s">
        <v>1327</v>
      </c>
      <c r="O1232" s="14">
        <v>2005</v>
      </c>
      <c r="P1232" s="14">
        <v>2005</v>
      </c>
      <c r="Q1232" s="14" t="s">
        <v>1329</v>
      </c>
      <c r="R1232" s="14">
        <v>10</v>
      </c>
      <c r="T1232" s="14" t="s">
        <v>1330</v>
      </c>
      <c r="U1232" s="14" t="s">
        <v>1341</v>
      </c>
      <c r="V1232" s="12"/>
      <c r="W1232" s="14">
        <v>210</v>
      </c>
      <c r="X1232" s="12" t="s">
        <v>1261</v>
      </c>
      <c r="Y1232" s="14" t="s">
        <v>2999</v>
      </c>
      <c r="Z1232" s="14">
        <v>0</v>
      </c>
      <c r="AD1232" s="14" t="s">
        <v>1165</v>
      </c>
      <c r="AF1232" s="14" t="s">
        <v>1165</v>
      </c>
      <c r="AI1232" s="14" t="s">
        <v>1165</v>
      </c>
      <c r="AJ1232" s="15" t="s">
        <v>1148</v>
      </c>
      <c r="AK1232" s="15">
        <v>0</v>
      </c>
      <c r="AP1232" s="15">
        <v>28</v>
      </c>
      <c r="AQ1232" s="14" t="s">
        <v>1336</v>
      </c>
      <c r="AR1232" s="15" t="s">
        <v>1335</v>
      </c>
      <c r="AS1232" s="14" t="s">
        <v>3002</v>
      </c>
    </row>
    <row r="1233" spans="1:45" s="14" customFormat="1" x14ac:dyDescent="0.2">
      <c r="A1233" s="14" t="s">
        <v>1326</v>
      </c>
      <c r="B1233" s="15" t="s">
        <v>1146</v>
      </c>
      <c r="C1233" s="15" t="s">
        <v>1149</v>
      </c>
      <c r="D1233" s="14" t="s">
        <v>1342</v>
      </c>
      <c r="E1233" s="14" t="s">
        <v>1343</v>
      </c>
      <c r="G1233" s="15" t="s">
        <v>1165</v>
      </c>
      <c r="H1233" s="14" t="s">
        <v>1165</v>
      </c>
      <c r="I1233" s="18" t="s">
        <v>1328</v>
      </c>
      <c r="J1233" s="18" t="s">
        <v>1337</v>
      </c>
      <c r="K1233" s="18" t="s">
        <v>1338</v>
      </c>
      <c r="L1233" s="14">
        <v>2000</v>
      </c>
      <c r="M1233" s="14" t="s">
        <v>1327</v>
      </c>
      <c r="O1233" s="14">
        <v>2005</v>
      </c>
      <c r="P1233" s="14">
        <v>2005</v>
      </c>
      <c r="Q1233" s="14" t="s">
        <v>1329</v>
      </c>
      <c r="R1233" s="14">
        <v>10</v>
      </c>
      <c r="T1233" s="14" t="s">
        <v>1330</v>
      </c>
      <c r="U1233" s="14" t="s">
        <v>1341</v>
      </c>
      <c r="V1233" s="12"/>
      <c r="W1233" s="14">
        <v>210</v>
      </c>
      <c r="X1233" s="12" t="s">
        <v>1334</v>
      </c>
      <c r="Y1233" s="14" t="s">
        <v>2999</v>
      </c>
      <c r="Z1233" s="14">
        <v>0</v>
      </c>
      <c r="AD1233" s="14" t="s">
        <v>1165</v>
      </c>
      <c r="AF1233" s="14" t="s">
        <v>1165</v>
      </c>
      <c r="AI1233" s="14" t="s">
        <v>1165</v>
      </c>
      <c r="AJ1233" s="15" t="s">
        <v>1148</v>
      </c>
      <c r="AK1233" s="15">
        <v>0</v>
      </c>
      <c r="AP1233" s="15">
        <v>28</v>
      </c>
      <c r="AQ1233" s="14" t="s">
        <v>1336</v>
      </c>
      <c r="AR1233" s="15" t="s">
        <v>1335</v>
      </c>
      <c r="AS1233" s="14" t="s">
        <v>3002</v>
      </c>
    </row>
    <row r="1234" spans="1:45" x14ac:dyDescent="0.2">
      <c r="A1234" t="s">
        <v>1326</v>
      </c>
      <c r="B1234" s="15" t="s">
        <v>1146</v>
      </c>
      <c r="C1234" s="15" t="s">
        <v>1149</v>
      </c>
      <c r="D1234" t="s">
        <v>1344</v>
      </c>
      <c r="E1234" t="s">
        <v>1345</v>
      </c>
      <c r="G1234" s="15" t="s">
        <v>1165</v>
      </c>
      <c r="H1234" s="14" t="s">
        <v>1165</v>
      </c>
      <c r="I1234" s="18" t="s">
        <v>1328</v>
      </c>
      <c r="J1234" s="18" t="s">
        <v>1337</v>
      </c>
      <c r="K1234" s="18" t="s">
        <v>1338</v>
      </c>
      <c r="L1234">
        <v>2000</v>
      </c>
      <c r="M1234" t="s">
        <v>1327</v>
      </c>
      <c r="O1234">
        <v>2005</v>
      </c>
      <c r="P1234">
        <v>2005</v>
      </c>
      <c r="Q1234" t="s">
        <v>1329</v>
      </c>
      <c r="R1234">
        <v>10</v>
      </c>
      <c r="T1234" t="s">
        <v>1330</v>
      </c>
      <c r="U1234" t="s">
        <v>1246</v>
      </c>
      <c r="V1234" s="9" t="s">
        <v>1332</v>
      </c>
      <c r="W1234">
        <v>0</v>
      </c>
      <c r="X1234" s="9" t="s">
        <v>1333</v>
      </c>
      <c r="Z1234">
        <v>12</v>
      </c>
      <c r="AD1234" t="s">
        <v>1165</v>
      </c>
      <c r="AF1234" t="s">
        <v>1165</v>
      </c>
      <c r="AI1234" t="s">
        <v>1165</v>
      </c>
      <c r="AJ1234" s="15" t="s">
        <v>1148</v>
      </c>
      <c r="AK1234" s="15">
        <v>1.6859999999999999</v>
      </c>
      <c r="AP1234" s="15">
        <v>28</v>
      </c>
      <c r="AQ1234" s="14" t="s">
        <v>1336</v>
      </c>
      <c r="AR1234" s="15" t="s">
        <v>1335</v>
      </c>
      <c r="AS1234" t="s">
        <v>3000</v>
      </c>
    </row>
    <row r="1235" spans="1:45" x14ac:dyDescent="0.2">
      <c r="A1235" t="s">
        <v>1326</v>
      </c>
      <c r="B1235" s="15" t="s">
        <v>1146</v>
      </c>
      <c r="C1235" s="15" t="s">
        <v>1149</v>
      </c>
      <c r="D1235" t="s">
        <v>1344</v>
      </c>
      <c r="E1235" t="s">
        <v>1345</v>
      </c>
      <c r="G1235" s="15" t="s">
        <v>1165</v>
      </c>
      <c r="H1235" s="14" t="s">
        <v>1165</v>
      </c>
      <c r="I1235" s="18" t="s">
        <v>1328</v>
      </c>
      <c r="J1235" s="18" t="s">
        <v>1337</v>
      </c>
      <c r="K1235" s="18" t="s">
        <v>1338</v>
      </c>
      <c r="L1235">
        <v>2000</v>
      </c>
      <c r="M1235" t="s">
        <v>1327</v>
      </c>
      <c r="O1235">
        <v>2005</v>
      </c>
      <c r="P1235">
        <v>2005</v>
      </c>
      <c r="Q1235" t="s">
        <v>1329</v>
      </c>
      <c r="R1235">
        <v>10</v>
      </c>
      <c r="T1235" t="s">
        <v>1330</v>
      </c>
      <c r="U1235" t="s">
        <v>1246</v>
      </c>
      <c r="V1235" s="9" t="s">
        <v>1332</v>
      </c>
      <c r="W1235">
        <v>0</v>
      </c>
      <c r="X1235" s="9" t="s">
        <v>1264</v>
      </c>
      <c r="Z1235">
        <v>12</v>
      </c>
      <c r="AD1235" t="s">
        <v>1165</v>
      </c>
      <c r="AF1235" t="s">
        <v>1165</v>
      </c>
      <c r="AI1235" t="s">
        <v>1165</v>
      </c>
      <c r="AJ1235" s="15" t="s">
        <v>1148</v>
      </c>
      <c r="AK1235" s="15">
        <v>11.21</v>
      </c>
      <c r="AP1235" s="15">
        <v>28</v>
      </c>
      <c r="AQ1235" s="14" t="s">
        <v>1336</v>
      </c>
      <c r="AR1235" s="15" t="s">
        <v>1335</v>
      </c>
      <c r="AS1235" t="s">
        <v>3000</v>
      </c>
    </row>
    <row r="1236" spans="1:45" x14ac:dyDescent="0.2">
      <c r="A1236" t="s">
        <v>1326</v>
      </c>
      <c r="B1236" s="15" t="s">
        <v>1146</v>
      </c>
      <c r="C1236" s="15" t="s">
        <v>1149</v>
      </c>
      <c r="D1236" t="s">
        <v>1344</v>
      </c>
      <c r="E1236" t="s">
        <v>1345</v>
      </c>
      <c r="G1236" s="15" t="s">
        <v>1165</v>
      </c>
      <c r="H1236" s="14" t="s">
        <v>1165</v>
      </c>
      <c r="I1236" s="18" t="s">
        <v>1328</v>
      </c>
      <c r="J1236" s="18" t="s">
        <v>1337</v>
      </c>
      <c r="K1236" s="18" t="s">
        <v>1338</v>
      </c>
      <c r="L1236">
        <v>2000</v>
      </c>
      <c r="M1236" t="s">
        <v>1327</v>
      </c>
      <c r="O1236">
        <v>2005</v>
      </c>
      <c r="P1236">
        <v>2005</v>
      </c>
      <c r="Q1236" t="s">
        <v>1329</v>
      </c>
      <c r="R1236">
        <v>10</v>
      </c>
      <c r="T1236" t="s">
        <v>1330</v>
      </c>
      <c r="U1236" t="s">
        <v>1246</v>
      </c>
      <c r="V1236" s="9" t="s">
        <v>1332</v>
      </c>
      <c r="W1236">
        <v>0</v>
      </c>
      <c r="X1236" s="9" t="s">
        <v>1261</v>
      </c>
      <c r="Z1236">
        <v>12</v>
      </c>
      <c r="AD1236" t="s">
        <v>1165</v>
      </c>
      <c r="AF1236" t="s">
        <v>1165</v>
      </c>
      <c r="AI1236" t="s">
        <v>1165</v>
      </c>
      <c r="AJ1236" s="15" t="s">
        <v>1148</v>
      </c>
      <c r="AK1236" s="15">
        <v>22.321000000000002</v>
      </c>
      <c r="AP1236" s="15">
        <v>28</v>
      </c>
      <c r="AQ1236" s="14" t="s">
        <v>1336</v>
      </c>
      <c r="AR1236" s="15" t="s">
        <v>1335</v>
      </c>
      <c r="AS1236" t="s">
        <v>3000</v>
      </c>
    </row>
    <row r="1237" spans="1:45" x14ac:dyDescent="0.2">
      <c r="A1237" t="s">
        <v>1326</v>
      </c>
      <c r="B1237" s="15" t="s">
        <v>1146</v>
      </c>
      <c r="C1237" s="15" t="s">
        <v>1149</v>
      </c>
      <c r="D1237" t="s">
        <v>1344</v>
      </c>
      <c r="E1237" t="s">
        <v>1345</v>
      </c>
      <c r="G1237" s="15" t="s">
        <v>1165</v>
      </c>
      <c r="H1237" s="14" t="s">
        <v>1165</v>
      </c>
      <c r="I1237" s="18" t="s">
        <v>1328</v>
      </c>
      <c r="J1237" s="18" t="s">
        <v>1337</v>
      </c>
      <c r="K1237" s="18" t="s">
        <v>1338</v>
      </c>
      <c r="L1237">
        <v>2000</v>
      </c>
      <c r="M1237" t="s">
        <v>1327</v>
      </c>
      <c r="O1237">
        <v>2005</v>
      </c>
      <c r="P1237">
        <v>2005</v>
      </c>
      <c r="Q1237" t="s">
        <v>1329</v>
      </c>
      <c r="R1237">
        <v>10</v>
      </c>
      <c r="T1237" t="s">
        <v>1330</v>
      </c>
      <c r="U1237" t="s">
        <v>1246</v>
      </c>
      <c r="V1237" s="9" t="s">
        <v>1332</v>
      </c>
      <c r="W1237">
        <v>0</v>
      </c>
      <c r="X1237" s="9" t="s">
        <v>1334</v>
      </c>
      <c r="Z1237">
        <v>12</v>
      </c>
      <c r="AD1237" t="s">
        <v>1165</v>
      </c>
      <c r="AF1237" t="s">
        <v>1165</v>
      </c>
      <c r="AI1237" t="s">
        <v>1165</v>
      </c>
      <c r="AJ1237" s="15" t="s">
        <v>1148</v>
      </c>
      <c r="AK1237" s="15">
        <v>19.643000000000001</v>
      </c>
      <c r="AP1237" s="15">
        <v>28</v>
      </c>
      <c r="AQ1237" s="14" t="s">
        <v>1336</v>
      </c>
      <c r="AR1237" s="15" t="s">
        <v>1335</v>
      </c>
      <c r="AS1237" t="s">
        <v>3000</v>
      </c>
    </row>
    <row r="1238" spans="1:45" x14ac:dyDescent="0.2">
      <c r="A1238" t="s">
        <v>1326</v>
      </c>
      <c r="B1238" s="15" t="s">
        <v>1146</v>
      </c>
      <c r="C1238" s="15" t="s">
        <v>1149</v>
      </c>
      <c r="D1238" t="s">
        <v>1344</v>
      </c>
      <c r="E1238" t="s">
        <v>1345</v>
      </c>
      <c r="G1238" s="15" t="s">
        <v>1165</v>
      </c>
      <c r="H1238" s="14" t="s">
        <v>1165</v>
      </c>
      <c r="I1238" s="18" t="s">
        <v>1328</v>
      </c>
      <c r="J1238" s="18" t="s">
        <v>1337</v>
      </c>
      <c r="K1238" s="18" t="s">
        <v>1338</v>
      </c>
      <c r="L1238">
        <v>2000</v>
      </c>
      <c r="M1238" t="s">
        <v>1327</v>
      </c>
      <c r="O1238">
        <v>2005</v>
      </c>
      <c r="P1238">
        <v>2005</v>
      </c>
      <c r="Q1238" t="s">
        <v>1329</v>
      </c>
      <c r="R1238">
        <v>10</v>
      </c>
      <c r="T1238" t="s">
        <v>1330</v>
      </c>
      <c r="U1238" t="s">
        <v>1246</v>
      </c>
      <c r="V1238" s="9" t="s">
        <v>1332</v>
      </c>
      <c r="W1238">
        <v>0</v>
      </c>
      <c r="X1238" s="9" t="s">
        <v>1333</v>
      </c>
      <c r="Z1238">
        <v>0</v>
      </c>
      <c r="AD1238" t="s">
        <v>1165</v>
      </c>
      <c r="AF1238" t="s">
        <v>1165</v>
      </c>
      <c r="AI1238" t="s">
        <v>1165</v>
      </c>
      <c r="AJ1238" s="15" t="s">
        <v>1148</v>
      </c>
      <c r="AK1238" s="15">
        <v>0</v>
      </c>
      <c r="AP1238" s="15">
        <v>28</v>
      </c>
      <c r="AQ1238" s="14" t="s">
        <v>1336</v>
      </c>
      <c r="AR1238" s="15" t="s">
        <v>1335</v>
      </c>
      <c r="AS1238" t="s">
        <v>3000</v>
      </c>
    </row>
    <row r="1239" spans="1:45" x14ac:dyDescent="0.2">
      <c r="A1239" t="s">
        <v>1326</v>
      </c>
      <c r="B1239" s="15" t="s">
        <v>1146</v>
      </c>
      <c r="C1239" s="15" t="s">
        <v>1149</v>
      </c>
      <c r="D1239" t="s">
        <v>1344</v>
      </c>
      <c r="E1239" t="s">
        <v>1345</v>
      </c>
      <c r="G1239" s="15" t="s">
        <v>1165</v>
      </c>
      <c r="H1239" s="14" t="s">
        <v>1165</v>
      </c>
      <c r="I1239" s="18" t="s">
        <v>1328</v>
      </c>
      <c r="J1239" s="18" t="s">
        <v>1337</v>
      </c>
      <c r="K1239" s="18" t="s">
        <v>1338</v>
      </c>
      <c r="L1239">
        <v>2000</v>
      </c>
      <c r="M1239" t="s">
        <v>1327</v>
      </c>
      <c r="O1239">
        <v>2005</v>
      </c>
      <c r="P1239">
        <v>2005</v>
      </c>
      <c r="Q1239" t="s">
        <v>1329</v>
      </c>
      <c r="R1239">
        <v>10</v>
      </c>
      <c r="T1239" t="s">
        <v>1330</v>
      </c>
      <c r="U1239" t="s">
        <v>1246</v>
      </c>
      <c r="V1239" s="9" t="s">
        <v>1332</v>
      </c>
      <c r="W1239">
        <v>0</v>
      </c>
      <c r="X1239" s="9" t="s">
        <v>1264</v>
      </c>
      <c r="Z1239">
        <v>0</v>
      </c>
      <c r="AD1239" t="s">
        <v>1165</v>
      </c>
      <c r="AF1239" t="s">
        <v>1165</v>
      </c>
      <c r="AI1239" t="s">
        <v>1165</v>
      </c>
      <c r="AJ1239" s="15" t="s">
        <v>1148</v>
      </c>
      <c r="AK1239" s="15">
        <v>0</v>
      </c>
      <c r="AP1239" s="15">
        <v>28</v>
      </c>
      <c r="AQ1239" s="14" t="s">
        <v>1336</v>
      </c>
      <c r="AR1239" s="15" t="s">
        <v>1335</v>
      </c>
      <c r="AS1239" t="s">
        <v>3000</v>
      </c>
    </row>
    <row r="1240" spans="1:45" x14ac:dyDescent="0.2">
      <c r="A1240" t="s">
        <v>1326</v>
      </c>
      <c r="B1240" s="15" t="s">
        <v>1146</v>
      </c>
      <c r="C1240" s="15" t="s">
        <v>1149</v>
      </c>
      <c r="D1240" t="s">
        <v>1344</v>
      </c>
      <c r="E1240" t="s">
        <v>1345</v>
      </c>
      <c r="G1240" s="15" t="s">
        <v>1165</v>
      </c>
      <c r="H1240" s="14" t="s">
        <v>1165</v>
      </c>
      <c r="I1240" s="18" t="s">
        <v>1328</v>
      </c>
      <c r="J1240" s="18" t="s">
        <v>1337</v>
      </c>
      <c r="K1240" s="18" t="s">
        <v>1338</v>
      </c>
      <c r="L1240">
        <v>2000</v>
      </c>
      <c r="M1240" t="s">
        <v>1327</v>
      </c>
      <c r="O1240">
        <v>2005</v>
      </c>
      <c r="P1240">
        <v>2005</v>
      </c>
      <c r="Q1240" t="s">
        <v>1329</v>
      </c>
      <c r="R1240">
        <v>10</v>
      </c>
      <c r="T1240" t="s">
        <v>1330</v>
      </c>
      <c r="U1240" t="s">
        <v>1246</v>
      </c>
      <c r="V1240" s="9" t="s">
        <v>1332</v>
      </c>
      <c r="W1240">
        <v>0</v>
      </c>
      <c r="X1240" s="9" t="s">
        <v>1261</v>
      </c>
      <c r="Z1240">
        <v>0</v>
      </c>
      <c r="AD1240" t="s">
        <v>1165</v>
      </c>
      <c r="AF1240" t="s">
        <v>1165</v>
      </c>
      <c r="AI1240" t="s">
        <v>1165</v>
      </c>
      <c r="AJ1240" s="15" t="s">
        <v>1148</v>
      </c>
      <c r="AK1240" s="15">
        <v>0</v>
      </c>
      <c r="AP1240" s="15">
        <v>28</v>
      </c>
      <c r="AQ1240" s="14" t="s">
        <v>1336</v>
      </c>
      <c r="AR1240" s="15" t="s">
        <v>1335</v>
      </c>
      <c r="AS1240" t="s">
        <v>3000</v>
      </c>
    </row>
    <row r="1241" spans="1:45" x14ac:dyDescent="0.2">
      <c r="A1241" t="s">
        <v>1326</v>
      </c>
      <c r="B1241" s="15" t="s">
        <v>1146</v>
      </c>
      <c r="C1241" s="15" t="s">
        <v>1149</v>
      </c>
      <c r="D1241" t="s">
        <v>1344</v>
      </c>
      <c r="E1241" t="s">
        <v>1345</v>
      </c>
      <c r="G1241" s="15" t="s">
        <v>1165</v>
      </c>
      <c r="H1241" s="14" t="s">
        <v>1165</v>
      </c>
      <c r="I1241" s="18" t="s">
        <v>1328</v>
      </c>
      <c r="J1241" s="18" t="s">
        <v>1337</v>
      </c>
      <c r="K1241" s="18" t="s">
        <v>1338</v>
      </c>
      <c r="L1241">
        <v>2000</v>
      </c>
      <c r="M1241" t="s">
        <v>1327</v>
      </c>
      <c r="O1241">
        <v>2005</v>
      </c>
      <c r="P1241">
        <v>2005</v>
      </c>
      <c r="Q1241" t="s">
        <v>1329</v>
      </c>
      <c r="R1241">
        <v>10</v>
      </c>
      <c r="T1241" t="s">
        <v>1330</v>
      </c>
      <c r="U1241" t="s">
        <v>1246</v>
      </c>
      <c r="V1241" s="9" t="s">
        <v>1332</v>
      </c>
      <c r="W1241">
        <v>0</v>
      </c>
      <c r="X1241" s="9" t="s">
        <v>1334</v>
      </c>
      <c r="Z1241">
        <v>0</v>
      </c>
      <c r="AD1241" t="s">
        <v>1165</v>
      </c>
      <c r="AF1241" t="s">
        <v>1165</v>
      </c>
      <c r="AI1241" t="s">
        <v>1165</v>
      </c>
      <c r="AJ1241" s="15" t="s">
        <v>1148</v>
      </c>
      <c r="AK1241" s="15">
        <v>0</v>
      </c>
      <c r="AP1241" s="15">
        <v>28</v>
      </c>
      <c r="AQ1241" s="14" t="s">
        <v>1336</v>
      </c>
      <c r="AR1241" s="15" t="s">
        <v>1335</v>
      </c>
      <c r="AS1241" t="s">
        <v>3000</v>
      </c>
    </row>
    <row r="1242" spans="1:45" x14ac:dyDescent="0.2">
      <c r="A1242" t="s">
        <v>1326</v>
      </c>
      <c r="B1242" s="15" t="s">
        <v>1146</v>
      </c>
      <c r="C1242" s="15" t="s">
        <v>1149</v>
      </c>
      <c r="D1242" t="s">
        <v>1344</v>
      </c>
      <c r="E1242" t="s">
        <v>1345</v>
      </c>
      <c r="G1242" s="15" t="s">
        <v>1165</v>
      </c>
      <c r="H1242" s="14" t="s">
        <v>1165</v>
      </c>
      <c r="I1242" s="18" t="s">
        <v>1328</v>
      </c>
      <c r="J1242" s="18" t="s">
        <v>1337</v>
      </c>
      <c r="K1242" s="18" t="s">
        <v>1338</v>
      </c>
      <c r="L1242">
        <v>2000</v>
      </c>
      <c r="M1242" t="s">
        <v>1327</v>
      </c>
      <c r="O1242">
        <v>2005</v>
      </c>
      <c r="P1242">
        <v>2005</v>
      </c>
      <c r="Q1242" t="s">
        <v>1329</v>
      </c>
      <c r="R1242">
        <v>10</v>
      </c>
      <c r="T1242" t="s">
        <v>1330</v>
      </c>
      <c r="U1242" t="s">
        <v>1246</v>
      </c>
      <c r="V1242" s="9" t="s">
        <v>1332</v>
      </c>
      <c r="W1242">
        <v>17.5</v>
      </c>
      <c r="X1242" s="9" t="s">
        <v>1333</v>
      </c>
      <c r="Z1242">
        <v>12</v>
      </c>
      <c r="AD1242" t="s">
        <v>1165</v>
      </c>
      <c r="AF1242" t="s">
        <v>1165</v>
      </c>
      <c r="AI1242" t="s">
        <v>1165</v>
      </c>
      <c r="AJ1242" s="15" t="s">
        <v>1148</v>
      </c>
      <c r="AK1242" s="15">
        <v>1.786</v>
      </c>
      <c r="AP1242" s="15">
        <v>28</v>
      </c>
      <c r="AQ1242" s="14" t="s">
        <v>1336</v>
      </c>
      <c r="AR1242" s="15" t="s">
        <v>1335</v>
      </c>
      <c r="AS1242" t="s">
        <v>3000</v>
      </c>
    </row>
    <row r="1243" spans="1:45" x14ac:dyDescent="0.2">
      <c r="A1243" t="s">
        <v>1326</v>
      </c>
      <c r="B1243" s="15" t="s">
        <v>1146</v>
      </c>
      <c r="C1243" s="15" t="s">
        <v>1149</v>
      </c>
      <c r="D1243" t="s">
        <v>1344</v>
      </c>
      <c r="E1243" t="s">
        <v>1345</v>
      </c>
      <c r="G1243" s="15" t="s">
        <v>1165</v>
      </c>
      <c r="H1243" s="14" t="s">
        <v>1165</v>
      </c>
      <c r="I1243" s="18" t="s">
        <v>1328</v>
      </c>
      <c r="J1243" s="18" t="s">
        <v>1337</v>
      </c>
      <c r="K1243" s="18" t="s">
        <v>1338</v>
      </c>
      <c r="L1243">
        <v>2000</v>
      </c>
      <c r="M1243" t="s">
        <v>1327</v>
      </c>
      <c r="O1243">
        <v>2005</v>
      </c>
      <c r="P1243">
        <v>2005</v>
      </c>
      <c r="Q1243" t="s">
        <v>1329</v>
      </c>
      <c r="R1243">
        <v>10</v>
      </c>
      <c r="T1243" t="s">
        <v>1330</v>
      </c>
      <c r="U1243" t="s">
        <v>1246</v>
      </c>
      <c r="V1243" s="9" t="s">
        <v>1332</v>
      </c>
      <c r="W1243">
        <v>17.5</v>
      </c>
      <c r="X1243" s="9" t="s">
        <v>1264</v>
      </c>
      <c r="Z1243">
        <v>12</v>
      </c>
      <c r="AD1243" t="s">
        <v>1165</v>
      </c>
      <c r="AF1243" t="s">
        <v>1165</v>
      </c>
      <c r="AI1243" t="s">
        <v>1165</v>
      </c>
      <c r="AJ1243" s="15" t="s">
        <v>1148</v>
      </c>
      <c r="AK1243" s="15">
        <v>33.829000000000001</v>
      </c>
      <c r="AP1243" s="15">
        <v>28</v>
      </c>
      <c r="AQ1243" s="14" t="s">
        <v>1336</v>
      </c>
      <c r="AR1243" s="15" t="s">
        <v>1335</v>
      </c>
      <c r="AS1243" t="s">
        <v>3000</v>
      </c>
    </row>
    <row r="1244" spans="1:45" x14ac:dyDescent="0.2">
      <c r="A1244" t="s">
        <v>1326</v>
      </c>
      <c r="B1244" s="15" t="s">
        <v>1146</v>
      </c>
      <c r="C1244" s="15" t="s">
        <v>1149</v>
      </c>
      <c r="D1244" t="s">
        <v>1344</v>
      </c>
      <c r="E1244" t="s">
        <v>1345</v>
      </c>
      <c r="G1244" s="15" t="s">
        <v>1165</v>
      </c>
      <c r="H1244" s="14" t="s">
        <v>1165</v>
      </c>
      <c r="I1244" s="18" t="s">
        <v>1328</v>
      </c>
      <c r="J1244" s="18" t="s">
        <v>1337</v>
      </c>
      <c r="K1244" s="18" t="s">
        <v>1338</v>
      </c>
      <c r="L1244">
        <v>2000</v>
      </c>
      <c r="M1244" t="s">
        <v>1327</v>
      </c>
      <c r="O1244">
        <v>2005</v>
      </c>
      <c r="P1244">
        <v>2005</v>
      </c>
      <c r="Q1244" t="s">
        <v>1329</v>
      </c>
      <c r="R1244">
        <v>10</v>
      </c>
      <c r="T1244" t="s">
        <v>1330</v>
      </c>
      <c r="U1244" t="s">
        <v>1246</v>
      </c>
      <c r="V1244" s="9" t="s">
        <v>1332</v>
      </c>
      <c r="W1244">
        <v>17.5</v>
      </c>
      <c r="X1244" s="9" t="s">
        <v>1261</v>
      </c>
      <c r="Z1244">
        <v>12</v>
      </c>
      <c r="AD1244" t="s">
        <v>1165</v>
      </c>
      <c r="AF1244" t="s">
        <v>1165</v>
      </c>
      <c r="AI1244" t="s">
        <v>1165</v>
      </c>
      <c r="AJ1244" s="15" t="s">
        <v>1148</v>
      </c>
      <c r="AK1244" s="15">
        <v>57.639000000000003</v>
      </c>
      <c r="AP1244" s="15">
        <v>28</v>
      </c>
      <c r="AQ1244" s="14" t="s">
        <v>1336</v>
      </c>
      <c r="AR1244" s="15" t="s">
        <v>1335</v>
      </c>
      <c r="AS1244" t="s">
        <v>3000</v>
      </c>
    </row>
    <row r="1245" spans="1:45" x14ac:dyDescent="0.2">
      <c r="A1245" t="s">
        <v>1326</v>
      </c>
      <c r="B1245" s="15" t="s">
        <v>1146</v>
      </c>
      <c r="C1245" s="15" t="s">
        <v>1149</v>
      </c>
      <c r="D1245" t="s">
        <v>1344</v>
      </c>
      <c r="E1245" t="s">
        <v>1345</v>
      </c>
      <c r="G1245" s="15" t="s">
        <v>1165</v>
      </c>
      <c r="H1245" s="14" t="s">
        <v>1165</v>
      </c>
      <c r="I1245" s="18" t="s">
        <v>1328</v>
      </c>
      <c r="J1245" s="18" t="s">
        <v>1337</v>
      </c>
      <c r="K1245" s="18" t="s">
        <v>1338</v>
      </c>
      <c r="L1245">
        <v>2000</v>
      </c>
      <c r="M1245" t="s">
        <v>1327</v>
      </c>
      <c r="O1245">
        <v>2005</v>
      </c>
      <c r="P1245">
        <v>2005</v>
      </c>
      <c r="Q1245" t="s">
        <v>1329</v>
      </c>
      <c r="R1245">
        <v>10</v>
      </c>
      <c r="T1245" t="s">
        <v>1330</v>
      </c>
      <c r="U1245" t="s">
        <v>1246</v>
      </c>
      <c r="V1245" s="9" t="s">
        <v>1332</v>
      </c>
      <c r="W1245">
        <v>17.5</v>
      </c>
      <c r="X1245" s="9" t="s">
        <v>1334</v>
      </c>
      <c r="Z1245">
        <v>12</v>
      </c>
      <c r="AD1245" t="s">
        <v>1165</v>
      </c>
      <c r="AF1245" t="s">
        <v>1165</v>
      </c>
      <c r="AI1245" t="s">
        <v>1165</v>
      </c>
      <c r="AJ1245" s="15" t="s">
        <v>1148</v>
      </c>
      <c r="AK1245" s="4">
        <v>39.384999999999998</v>
      </c>
      <c r="AP1245" s="15">
        <v>28</v>
      </c>
      <c r="AQ1245" s="14" t="s">
        <v>1336</v>
      </c>
      <c r="AR1245" s="15" t="s">
        <v>1335</v>
      </c>
      <c r="AS1245" t="s">
        <v>3000</v>
      </c>
    </row>
    <row r="1246" spans="1:45" x14ac:dyDescent="0.2">
      <c r="A1246" t="s">
        <v>1326</v>
      </c>
      <c r="B1246" s="15" t="s">
        <v>1146</v>
      </c>
      <c r="C1246" s="15" t="s">
        <v>1149</v>
      </c>
      <c r="D1246" t="s">
        <v>1344</v>
      </c>
      <c r="E1246" t="s">
        <v>1345</v>
      </c>
      <c r="G1246" s="15" t="s">
        <v>1165</v>
      </c>
      <c r="H1246" s="14" t="s">
        <v>1165</v>
      </c>
      <c r="I1246" s="18" t="s">
        <v>1328</v>
      </c>
      <c r="J1246" s="18" t="s">
        <v>1337</v>
      </c>
      <c r="K1246" s="18" t="s">
        <v>1338</v>
      </c>
      <c r="L1246">
        <v>2000</v>
      </c>
      <c r="M1246" t="s">
        <v>1327</v>
      </c>
      <c r="O1246">
        <v>2005</v>
      </c>
      <c r="P1246">
        <v>2005</v>
      </c>
      <c r="Q1246" t="s">
        <v>1329</v>
      </c>
      <c r="R1246">
        <v>10</v>
      </c>
      <c r="T1246" t="s">
        <v>1330</v>
      </c>
      <c r="U1246" t="s">
        <v>1246</v>
      </c>
      <c r="V1246" s="9" t="s">
        <v>1332</v>
      </c>
      <c r="W1246">
        <v>17.5</v>
      </c>
      <c r="X1246" s="9" t="s">
        <v>1333</v>
      </c>
      <c r="Z1246">
        <v>0</v>
      </c>
      <c r="AD1246" t="s">
        <v>1165</v>
      </c>
      <c r="AF1246" t="s">
        <v>1165</v>
      </c>
      <c r="AI1246" t="s">
        <v>1165</v>
      </c>
      <c r="AJ1246" s="15" t="s">
        <v>1148</v>
      </c>
      <c r="AK1246" s="15">
        <v>0</v>
      </c>
      <c r="AP1246" s="15">
        <v>28</v>
      </c>
      <c r="AQ1246" s="14" t="s">
        <v>1336</v>
      </c>
      <c r="AR1246" s="15" t="s">
        <v>1335</v>
      </c>
      <c r="AS1246" t="s">
        <v>3000</v>
      </c>
    </row>
    <row r="1247" spans="1:45" x14ac:dyDescent="0.2">
      <c r="A1247" t="s">
        <v>1326</v>
      </c>
      <c r="B1247" s="15" t="s">
        <v>1146</v>
      </c>
      <c r="C1247" s="15" t="s">
        <v>1149</v>
      </c>
      <c r="D1247" t="s">
        <v>1344</v>
      </c>
      <c r="E1247" t="s">
        <v>1345</v>
      </c>
      <c r="G1247" s="15" t="s">
        <v>1165</v>
      </c>
      <c r="H1247" s="14" t="s">
        <v>1165</v>
      </c>
      <c r="I1247" s="18" t="s">
        <v>1328</v>
      </c>
      <c r="J1247" s="18" t="s">
        <v>1337</v>
      </c>
      <c r="K1247" s="18" t="s">
        <v>1338</v>
      </c>
      <c r="L1247">
        <v>2000</v>
      </c>
      <c r="M1247" t="s">
        <v>1327</v>
      </c>
      <c r="O1247">
        <v>2005</v>
      </c>
      <c r="P1247">
        <v>2005</v>
      </c>
      <c r="Q1247" t="s">
        <v>1329</v>
      </c>
      <c r="R1247">
        <v>10</v>
      </c>
      <c r="T1247" t="s">
        <v>1330</v>
      </c>
      <c r="U1247" t="s">
        <v>1246</v>
      </c>
      <c r="V1247" s="9" t="s">
        <v>1332</v>
      </c>
      <c r="W1247">
        <v>17.5</v>
      </c>
      <c r="X1247" s="9" t="s">
        <v>1264</v>
      </c>
      <c r="Z1247">
        <v>0</v>
      </c>
      <c r="AD1247" t="s">
        <v>1165</v>
      </c>
      <c r="AF1247" t="s">
        <v>1165</v>
      </c>
      <c r="AI1247" t="s">
        <v>1165</v>
      </c>
      <c r="AJ1247" s="15" t="s">
        <v>1148</v>
      </c>
      <c r="AK1247" s="15">
        <v>0</v>
      </c>
      <c r="AP1247" s="15">
        <v>28</v>
      </c>
      <c r="AQ1247" s="14" t="s">
        <v>1336</v>
      </c>
      <c r="AR1247" s="15" t="s">
        <v>1335</v>
      </c>
      <c r="AS1247" t="s">
        <v>3000</v>
      </c>
    </row>
    <row r="1248" spans="1:45" x14ac:dyDescent="0.2">
      <c r="A1248" t="s">
        <v>1326</v>
      </c>
      <c r="B1248" s="15" t="s">
        <v>1146</v>
      </c>
      <c r="C1248" s="15" t="s">
        <v>1149</v>
      </c>
      <c r="D1248" t="s">
        <v>1344</v>
      </c>
      <c r="E1248" t="s">
        <v>1345</v>
      </c>
      <c r="G1248" s="15" t="s">
        <v>1165</v>
      </c>
      <c r="H1248" s="14" t="s">
        <v>1165</v>
      </c>
      <c r="I1248" s="18" t="s">
        <v>1328</v>
      </c>
      <c r="J1248" s="18" t="s">
        <v>1337</v>
      </c>
      <c r="K1248" s="18" t="s">
        <v>1338</v>
      </c>
      <c r="L1248">
        <v>2000</v>
      </c>
      <c r="M1248" t="s">
        <v>1327</v>
      </c>
      <c r="O1248">
        <v>2005</v>
      </c>
      <c r="P1248">
        <v>2005</v>
      </c>
      <c r="Q1248" t="s">
        <v>1329</v>
      </c>
      <c r="R1248">
        <v>10</v>
      </c>
      <c r="T1248" t="s">
        <v>1330</v>
      </c>
      <c r="U1248" t="s">
        <v>1246</v>
      </c>
      <c r="V1248" s="9" t="s">
        <v>1332</v>
      </c>
      <c r="W1248">
        <v>17.5</v>
      </c>
      <c r="X1248" s="9" t="s">
        <v>1261</v>
      </c>
      <c r="Z1248">
        <v>0</v>
      </c>
      <c r="AD1248" t="s">
        <v>1165</v>
      </c>
      <c r="AF1248" t="s">
        <v>1165</v>
      </c>
      <c r="AI1248" t="s">
        <v>1165</v>
      </c>
      <c r="AJ1248" s="15" t="s">
        <v>1148</v>
      </c>
      <c r="AK1248" s="15">
        <v>0</v>
      </c>
      <c r="AP1248" s="15">
        <v>28</v>
      </c>
      <c r="AQ1248" s="14" t="s">
        <v>1336</v>
      </c>
      <c r="AR1248" s="15" t="s">
        <v>1335</v>
      </c>
      <c r="AS1248" t="s">
        <v>3000</v>
      </c>
    </row>
    <row r="1249" spans="1:45" x14ac:dyDescent="0.2">
      <c r="A1249" t="s">
        <v>1326</v>
      </c>
      <c r="B1249" s="15" t="s">
        <v>1146</v>
      </c>
      <c r="C1249" s="15" t="s">
        <v>1149</v>
      </c>
      <c r="D1249" t="s">
        <v>1344</v>
      </c>
      <c r="E1249" t="s">
        <v>1345</v>
      </c>
      <c r="G1249" s="15" t="s">
        <v>1165</v>
      </c>
      <c r="H1249" s="14" t="s">
        <v>1165</v>
      </c>
      <c r="I1249" s="18" t="s">
        <v>1328</v>
      </c>
      <c r="J1249" s="18" t="s">
        <v>1337</v>
      </c>
      <c r="K1249" s="18" t="s">
        <v>1338</v>
      </c>
      <c r="L1249">
        <v>2000</v>
      </c>
      <c r="M1249" t="s">
        <v>1327</v>
      </c>
      <c r="O1249">
        <v>2005</v>
      </c>
      <c r="P1249">
        <v>2005</v>
      </c>
      <c r="Q1249" t="s">
        <v>1329</v>
      </c>
      <c r="R1249">
        <v>10</v>
      </c>
      <c r="T1249" t="s">
        <v>1330</v>
      </c>
      <c r="U1249" t="s">
        <v>1246</v>
      </c>
      <c r="V1249" s="9" t="s">
        <v>1332</v>
      </c>
      <c r="W1249">
        <v>17.5</v>
      </c>
      <c r="X1249" s="9" t="s">
        <v>1334</v>
      </c>
      <c r="Z1249">
        <v>0</v>
      </c>
      <c r="AD1249" t="s">
        <v>1165</v>
      </c>
      <c r="AF1249" t="s">
        <v>1165</v>
      </c>
      <c r="AI1249" t="s">
        <v>1165</v>
      </c>
      <c r="AJ1249" s="15" t="s">
        <v>1148</v>
      </c>
      <c r="AK1249" s="15">
        <v>0</v>
      </c>
      <c r="AP1249" s="15">
        <v>28</v>
      </c>
      <c r="AQ1249" s="14" t="s">
        <v>1336</v>
      </c>
      <c r="AR1249" s="15" t="s">
        <v>1335</v>
      </c>
      <c r="AS1249" t="s">
        <v>3000</v>
      </c>
    </row>
    <row r="1250" spans="1:45" x14ac:dyDescent="0.2">
      <c r="A1250" t="s">
        <v>1326</v>
      </c>
      <c r="B1250" s="15" t="s">
        <v>1146</v>
      </c>
      <c r="C1250" s="15" t="s">
        <v>1149</v>
      </c>
      <c r="D1250" t="s">
        <v>1344</v>
      </c>
      <c r="E1250" t="s">
        <v>1345</v>
      </c>
      <c r="G1250" s="15" t="s">
        <v>1165</v>
      </c>
      <c r="H1250" s="14" t="s">
        <v>1165</v>
      </c>
      <c r="I1250" s="18" t="s">
        <v>1328</v>
      </c>
      <c r="J1250" s="18" t="s">
        <v>1337</v>
      </c>
      <c r="K1250" s="18" t="s">
        <v>1338</v>
      </c>
      <c r="L1250">
        <v>2000</v>
      </c>
      <c r="M1250" t="s">
        <v>1327</v>
      </c>
      <c r="O1250">
        <v>2005</v>
      </c>
      <c r="P1250">
        <v>2005</v>
      </c>
      <c r="Q1250" t="s">
        <v>1329</v>
      </c>
      <c r="R1250">
        <v>10</v>
      </c>
      <c r="T1250" t="s">
        <v>1330</v>
      </c>
      <c r="U1250" t="s">
        <v>1246</v>
      </c>
      <c r="V1250" s="9" t="s">
        <v>1332</v>
      </c>
      <c r="W1250">
        <v>35</v>
      </c>
      <c r="X1250" s="9" t="s">
        <v>1333</v>
      </c>
      <c r="Z1250">
        <v>12</v>
      </c>
      <c r="AD1250" t="s">
        <v>1165</v>
      </c>
      <c r="AF1250" t="s">
        <v>1165</v>
      </c>
      <c r="AI1250" t="s">
        <v>1165</v>
      </c>
      <c r="AJ1250" s="15" t="s">
        <v>1148</v>
      </c>
      <c r="AK1250" s="15">
        <v>4.1669999999999998</v>
      </c>
      <c r="AP1250" s="15">
        <v>28</v>
      </c>
      <c r="AQ1250" s="14" t="s">
        <v>1336</v>
      </c>
      <c r="AR1250" s="15" t="s">
        <v>1335</v>
      </c>
      <c r="AS1250" t="s">
        <v>3000</v>
      </c>
    </row>
    <row r="1251" spans="1:45" x14ac:dyDescent="0.2">
      <c r="A1251" t="s">
        <v>1326</v>
      </c>
      <c r="B1251" s="15" t="s">
        <v>1146</v>
      </c>
      <c r="C1251" s="15" t="s">
        <v>1149</v>
      </c>
      <c r="D1251" t="s">
        <v>1344</v>
      </c>
      <c r="E1251" t="s">
        <v>1345</v>
      </c>
      <c r="G1251" s="15" t="s">
        <v>1165</v>
      </c>
      <c r="H1251" s="14" t="s">
        <v>1165</v>
      </c>
      <c r="I1251" s="18" t="s">
        <v>1328</v>
      </c>
      <c r="J1251" s="18" t="s">
        <v>1337</v>
      </c>
      <c r="K1251" s="18" t="s">
        <v>1338</v>
      </c>
      <c r="L1251">
        <v>2000</v>
      </c>
      <c r="M1251" t="s">
        <v>1327</v>
      </c>
      <c r="O1251">
        <v>2005</v>
      </c>
      <c r="P1251">
        <v>2005</v>
      </c>
      <c r="Q1251" t="s">
        <v>1329</v>
      </c>
      <c r="R1251">
        <v>10</v>
      </c>
      <c r="T1251" t="s">
        <v>1330</v>
      </c>
      <c r="U1251" t="s">
        <v>1246</v>
      </c>
      <c r="V1251" s="9" t="s">
        <v>1332</v>
      </c>
      <c r="W1251">
        <v>35</v>
      </c>
      <c r="X1251" s="9" t="s">
        <v>1264</v>
      </c>
      <c r="Z1251">
        <v>12</v>
      </c>
      <c r="AD1251" t="s">
        <v>1165</v>
      </c>
      <c r="AF1251" t="s">
        <v>1165</v>
      </c>
      <c r="AI1251" t="s">
        <v>1165</v>
      </c>
      <c r="AJ1251" s="15" t="s">
        <v>1148</v>
      </c>
      <c r="AK1251" s="15">
        <v>44.543999999999997</v>
      </c>
      <c r="AP1251" s="15">
        <v>28</v>
      </c>
      <c r="AQ1251" s="14" t="s">
        <v>1336</v>
      </c>
      <c r="AR1251" s="15" t="s">
        <v>1335</v>
      </c>
      <c r="AS1251" t="s">
        <v>3000</v>
      </c>
    </row>
    <row r="1252" spans="1:45" x14ac:dyDescent="0.2">
      <c r="A1252" t="s">
        <v>1326</v>
      </c>
      <c r="B1252" s="15" t="s">
        <v>1146</v>
      </c>
      <c r="C1252" s="15" t="s">
        <v>1149</v>
      </c>
      <c r="D1252" t="s">
        <v>1344</v>
      </c>
      <c r="E1252" t="s">
        <v>1345</v>
      </c>
      <c r="G1252" s="15" t="s">
        <v>1165</v>
      </c>
      <c r="H1252" s="14" t="s">
        <v>1165</v>
      </c>
      <c r="I1252" s="18" t="s">
        <v>1328</v>
      </c>
      <c r="J1252" s="18" t="s">
        <v>1337</v>
      </c>
      <c r="K1252" s="18" t="s">
        <v>1338</v>
      </c>
      <c r="L1252">
        <v>2000</v>
      </c>
      <c r="M1252" t="s">
        <v>1327</v>
      </c>
      <c r="O1252">
        <v>2005</v>
      </c>
      <c r="P1252">
        <v>2005</v>
      </c>
      <c r="Q1252" t="s">
        <v>1329</v>
      </c>
      <c r="R1252">
        <v>10</v>
      </c>
      <c r="T1252" t="s">
        <v>1330</v>
      </c>
      <c r="U1252" t="s">
        <v>1246</v>
      </c>
      <c r="V1252" s="9" t="s">
        <v>1332</v>
      </c>
      <c r="W1252">
        <v>35</v>
      </c>
      <c r="X1252" s="9" t="s">
        <v>1261</v>
      </c>
      <c r="Z1252">
        <v>12</v>
      </c>
      <c r="AD1252" t="s">
        <v>1165</v>
      </c>
      <c r="AF1252" t="s">
        <v>1165</v>
      </c>
      <c r="AI1252" t="s">
        <v>1165</v>
      </c>
      <c r="AJ1252" s="15" t="s">
        <v>1148</v>
      </c>
      <c r="AK1252" s="15">
        <v>81.052000000000007</v>
      </c>
      <c r="AP1252" s="15">
        <v>28</v>
      </c>
      <c r="AQ1252" s="14" t="s">
        <v>1336</v>
      </c>
      <c r="AR1252" s="15" t="s">
        <v>1335</v>
      </c>
      <c r="AS1252" t="s">
        <v>3000</v>
      </c>
    </row>
    <row r="1253" spans="1:45" x14ac:dyDescent="0.2">
      <c r="A1253" t="s">
        <v>1326</v>
      </c>
      <c r="B1253" s="15" t="s">
        <v>1146</v>
      </c>
      <c r="C1253" s="15" t="s">
        <v>1149</v>
      </c>
      <c r="D1253" t="s">
        <v>1344</v>
      </c>
      <c r="E1253" t="s">
        <v>1345</v>
      </c>
      <c r="G1253" s="15" t="s">
        <v>1165</v>
      </c>
      <c r="H1253" s="14" t="s">
        <v>1165</v>
      </c>
      <c r="I1253" s="18" t="s">
        <v>1328</v>
      </c>
      <c r="J1253" s="18" t="s">
        <v>1337</v>
      </c>
      <c r="K1253" s="18" t="s">
        <v>1338</v>
      </c>
      <c r="L1253">
        <v>2000</v>
      </c>
      <c r="M1253" t="s">
        <v>1327</v>
      </c>
      <c r="O1253">
        <v>2005</v>
      </c>
      <c r="P1253">
        <v>2005</v>
      </c>
      <c r="Q1253" t="s">
        <v>1329</v>
      </c>
      <c r="R1253">
        <v>10</v>
      </c>
      <c r="T1253" t="s">
        <v>1330</v>
      </c>
      <c r="U1253" t="s">
        <v>1246</v>
      </c>
      <c r="V1253" s="9" t="s">
        <v>1332</v>
      </c>
      <c r="W1253">
        <v>35</v>
      </c>
      <c r="X1253" s="9" t="s">
        <v>1334</v>
      </c>
      <c r="Z1253">
        <v>12</v>
      </c>
      <c r="AD1253" t="s">
        <v>1165</v>
      </c>
      <c r="AF1253" t="s">
        <v>1165</v>
      </c>
      <c r="AI1253" t="s">
        <v>1165</v>
      </c>
      <c r="AJ1253" s="15" t="s">
        <v>1148</v>
      </c>
      <c r="AK1253" s="4">
        <v>72.320999999999998</v>
      </c>
      <c r="AP1253" s="15">
        <v>28</v>
      </c>
      <c r="AQ1253" s="14" t="s">
        <v>1336</v>
      </c>
      <c r="AR1253" s="15" t="s">
        <v>1335</v>
      </c>
      <c r="AS1253" t="s">
        <v>3000</v>
      </c>
    </row>
    <row r="1254" spans="1:45" x14ac:dyDescent="0.2">
      <c r="A1254" t="s">
        <v>1326</v>
      </c>
      <c r="B1254" s="15" t="s">
        <v>1146</v>
      </c>
      <c r="C1254" s="15" t="s">
        <v>1149</v>
      </c>
      <c r="D1254" t="s">
        <v>1344</v>
      </c>
      <c r="E1254" t="s">
        <v>1345</v>
      </c>
      <c r="G1254" s="15" t="s">
        <v>1165</v>
      </c>
      <c r="H1254" s="14" t="s">
        <v>1165</v>
      </c>
      <c r="I1254" s="18" t="s">
        <v>1328</v>
      </c>
      <c r="J1254" s="18" t="s">
        <v>1337</v>
      </c>
      <c r="K1254" s="18" t="s">
        <v>1338</v>
      </c>
      <c r="L1254">
        <v>2000</v>
      </c>
      <c r="M1254" t="s">
        <v>1327</v>
      </c>
      <c r="O1254">
        <v>2005</v>
      </c>
      <c r="P1254">
        <v>2005</v>
      </c>
      <c r="Q1254" t="s">
        <v>1329</v>
      </c>
      <c r="R1254">
        <v>10</v>
      </c>
      <c r="T1254" t="s">
        <v>1330</v>
      </c>
      <c r="U1254" t="s">
        <v>1246</v>
      </c>
      <c r="V1254" s="9" t="s">
        <v>1332</v>
      </c>
      <c r="W1254">
        <v>35</v>
      </c>
      <c r="X1254" s="9" t="s">
        <v>1333</v>
      </c>
      <c r="Z1254">
        <v>0</v>
      </c>
      <c r="AD1254" t="s">
        <v>1165</v>
      </c>
      <c r="AF1254" t="s">
        <v>1165</v>
      </c>
      <c r="AI1254" t="s">
        <v>1165</v>
      </c>
      <c r="AJ1254" s="15" t="s">
        <v>1148</v>
      </c>
      <c r="AK1254" s="15">
        <v>5.6550000000000002</v>
      </c>
      <c r="AP1254" s="15">
        <v>28</v>
      </c>
      <c r="AQ1254" s="14" t="s">
        <v>1336</v>
      </c>
      <c r="AR1254" s="15" t="s">
        <v>1335</v>
      </c>
      <c r="AS1254" t="s">
        <v>3000</v>
      </c>
    </row>
    <row r="1255" spans="1:45" x14ac:dyDescent="0.2">
      <c r="A1255" t="s">
        <v>1326</v>
      </c>
      <c r="B1255" s="15" t="s">
        <v>1146</v>
      </c>
      <c r="C1255" s="15" t="s">
        <v>1149</v>
      </c>
      <c r="D1255" t="s">
        <v>1344</v>
      </c>
      <c r="E1255" t="s">
        <v>1345</v>
      </c>
      <c r="G1255" s="15" t="s">
        <v>1165</v>
      </c>
      <c r="H1255" s="14" t="s">
        <v>1165</v>
      </c>
      <c r="I1255" s="18" t="s">
        <v>1328</v>
      </c>
      <c r="J1255" s="18" t="s">
        <v>1337</v>
      </c>
      <c r="K1255" s="18" t="s">
        <v>1338</v>
      </c>
      <c r="L1255">
        <v>2000</v>
      </c>
      <c r="M1255" t="s">
        <v>1327</v>
      </c>
      <c r="O1255">
        <v>2005</v>
      </c>
      <c r="P1255">
        <v>2005</v>
      </c>
      <c r="Q1255" t="s">
        <v>1329</v>
      </c>
      <c r="R1255">
        <v>10</v>
      </c>
      <c r="T1255" t="s">
        <v>1330</v>
      </c>
      <c r="U1255" t="s">
        <v>1246</v>
      </c>
      <c r="V1255" s="9" t="s">
        <v>1332</v>
      </c>
      <c r="W1255">
        <v>35</v>
      </c>
      <c r="X1255" s="9" t="s">
        <v>1264</v>
      </c>
      <c r="Z1255">
        <v>0</v>
      </c>
      <c r="AD1255" t="s">
        <v>1165</v>
      </c>
      <c r="AF1255" t="s">
        <v>1165</v>
      </c>
      <c r="AI1255" t="s">
        <v>1165</v>
      </c>
      <c r="AJ1255" s="15" t="s">
        <v>1148</v>
      </c>
      <c r="AK1255" s="15">
        <v>20.734000000000002</v>
      </c>
      <c r="AP1255" s="15">
        <v>28</v>
      </c>
      <c r="AQ1255" s="14" t="s">
        <v>1336</v>
      </c>
      <c r="AR1255" s="15" t="s">
        <v>1335</v>
      </c>
      <c r="AS1255" t="s">
        <v>3000</v>
      </c>
    </row>
    <row r="1256" spans="1:45" x14ac:dyDescent="0.2">
      <c r="A1256" t="s">
        <v>1326</v>
      </c>
      <c r="B1256" s="15" t="s">
        <v>1146</v>
      </c>
      <c r="C1256" s="15" t="s">
        <v>1149</v>
      </c>
      <c r="D1256" t="s">
        <v>1344</v>
      </c>
      <c r="E1256" t="s">
        <v>1345</v>
      </c>
      <c r="G1256" s="15" t="s">
        <v>1165</v>
      </c>
      <c r="H1256" s="14" t="s">
        <v>1165</v>
      </c>
      <c r="I1256" s="18" t="s">
        <v>1328</v>
      </c>
      <c r="J1256" s="18" t="s">
        <v>1337</v>
      </c>
      <c r="K1256" s="18" t="s">
        <v>1338</v>
      </c>
      <c r="L1256">
        <v>2000</v>
      </c>
      <c r="M1256" t="s">
        <v>1327</v>
      </c>
      <c r="O1256">
        <v>2005</v>
      </c>
      <c r="P1256">
        <v>2005</v>
      </c>
      <c r="Q1256" t="s">
        <v>1329</v>
      </c>
      <c r="R1256">
        <v>10</v>
      </c>
      <c r="T1256" t="s">
        <v>1330</v>
      </c>
      <c r="U1256" t="s">
        <v>1246</v>
      </c>
      <c r="V1256" s="9" t="s">
        <v>1332</v>
      </c>
      <c r="W1256">
        <v>35</v>
      </c>
      <c r="X1256" s="9" t="s">
        <v>1261</v>
      </c>
      <c r="Z1256">
        <v>0</v>
      </c>
      <c r="AD1256" t="s">
        <v>1165</v>
      </c>
      <c r="AF1256" t="s">
        <v>1165</v>
      </c>
      <c r="AI1256" t="s">
        <v>1165</v>
      </c>
      <c r="AJ1256" s="15" t="s">
        <v>1148</v>
      </c>
      <c r="AK1256" s="15">
        <v>12.004</v>
      </c>
      <c r="AP1256" s="15">
        <v>28</v>
      </c>
      <c r="AQ1256" s="14" t="s">
        <v>1336</v>
      </c>
      <c r="AR1256" s="15" t="s">
        <v>1335</v>
      </c>
      <c r="AS1256" t="s">
        <v>3000</v>
      </c>
    </row>
    <row r="1257" spans="1:45" x14ac:dyDescent="0.2">
      <c r="A1257" t="s">
        <v>1326</v>
      </c>
      <c r="B1257" s="15" t="s">
        <v>1146</v>
      </c>
      <c r="C1257" s="15" t="s">
        <v>1149</v>
      </c>
      <c r="D1257" t="s">
        <v>1344</v>
      </c>
      <c r="E1257" t="s">
        <v>1345</v>
      </c>
      <c r="G1257" s="15" t="s">
        <v>1165</v>
      </c>
      <c r="H1257" s="14" t="s">
        <v>1165</v>
      </c>
      <c r="I1257" s="18" t="s">
        <v>1328</v>
      </c>
      <c r="J1257" s="18" t="s">
        <v>1337</v>
      </c>
      <c r="K1257" s="18" t="s">
        <v>1338</v>
      </c>
      <c r="L1257">
        <v>2000</v>
      </c>
      <c r="M1257" t="s">
        <v>1327</v>
      </c>
      <c r="O1257">
        <v>2005</v>
      </c>
      <c r="P1257">
        <v>2005</v>
      </c>
      <c r="Q1257" t="s">
        <v>1329</v>
      </c>
      <c r="R1257">
        <v>10</v>
      </c>
      <c r="T1257" t="s">
        <v>1330</v>
      </c>
      <c r="U1257" t="s">
        <v>1246</v>
      </c>
      <c r="V1257" s="9" t="s">
        <v>1332</v>
      </c>
      <c r="W1257">
        <v>35</v>
      </c>
      <c r="X1257" s="9" t="s">
        <v>1334</v>
      </c>
      <c r="Z1257">
        <v>0</v>
      </c>
      <c r="AD1257" t="s">
        <v>1165</v>
      </c>
      <c r="AF1257" t="s">
        <v>1165</v>
      </c>
      <c r="AI1257" t="s">
        <v>1165</v>
      </c>
      <c r="AJ1257" s="15" t="s">
        <v>1148</v>
      </c>
      <c r="AK1257" s="15">
        <v>0</v>
      </c>
      <c r="AP1257" s="15">
        <v>28</v>
      </c>
      <c r="AQ1257" s="14" t="s">
        <v>1336</v>
      </c>
      <c r="AR1257" s="15" t="s">
        <v>1335</v>
      </c>
      <c r="AS1257" t="s">
        <v>3000</v>
      </c>
    </row>
    <row r="1258" spans="1:45" x14ac:dyDescent="0.2">
      <c r="A1258" t="s">
        <v>1326</v>
      </c>
      <c r="B1258" s="15" t="s">
        <v>1146</v>
      </c>
      <c r="C1258" s="15" t="s">
        <v>1149</v>
      </c>
      <c r="D1258" t="s">
        <v>1344</v>
      </c>
      <c r="E1258" t="s">
        <v>1345</v>
      </c>
      <c r="G1258" s="15" t="s">
        <v>1165</v>
      </c>
      <c r="H1258" s="14" t="s">
        <v>1165</v>
      </c>
      <c r="I1258" s="18" t="s">
        <v>1328</v>
      </c>
      <c r="J1258" s="18" t="s">
        <v>1337</v>
      </c>
      <c r="K1258" s="18" t="s">
        <v>1338</v>
      </c>
      <c r="L1258">
        <v>2000</v>
      </c>
      <c r="M1258" t="s">
        <v>1327</v>
      </c>
      <c r="O1258">
        <v>2005</v>
      </c>
      <c r="P1258">
        <v>2005</v>
      </c>
      <c r="Q1258" t="s">
        <v>1329</v>
      </c>
      <c r="R1258">
        <v>10</v>
      </c>
      <c r="T1258" t="s">
        <v>1330</v>
      </c>
      <c r="U1258" t="s">
        <v>1246</v>
      </c>
      <c r="V1258" s="9" t="s">
        <v>1332</v>
      </c>
      <c r="W1258">
        <v>70</v>
      </c>
      <c r="X1258" s="9" t="s">
        <v>1333</v>
      </c>
      <c r="Z1258">
        <v>12</v>
      </c>
      <c r="AD1258" t="s">
        <v>1165</v>
      </c>
      <c r="AF1258" t="s">
        <v>1165</v>
      </c>
      <c r="AI1258" t="s">
        <v>1165</v>
      </c>
      <c r="AJ1258" s="15" t="s">
        <v>1148</v>
      </c>
      <c r="AK1258" s="15">
        <v>8.9290000000000003</v>
      </c>
      <c r="AP1258" s="15">
        <v>28</v>
      </c>
      <c r="AQ1258" s="14" t="s">
        <v>1336</v>
      </c>
      <c r="AR1258" s="15" t="s">
        <v>1335</v>
      </c>
      <c r="AS1258" t="s">
        <v>3000</v>
      </c>
    </row>
    <row r="1259" spans="1:45" x14ac:dyDescent="0.2">
      <c r="A1259" t="s">
        <v>1326</v>
      </c>
      <c r="B1259" s="15" t="s">
        <v>1146</v>
      </c>
      <c r="C1259" s="15" t="s">
        <v>1149</v>
      </c>
      <c r="D1259" t="s">
        <v>1344</v>
      </c>
      <c r="E1259" t="s">
        <v>1345</v>
      </c>
      <c r="G1259" s="15" t="s">
        <v>1165</v>
      </c>
      <c r="H1259" s="14" t="s">
        <v>1165</v>
      </c>
      <c r="I1259" s="18" t="s">
        <v>1328</v>
      </c>
      <c r="J1259" s="18" t="s">
        <v>1337</v>
      </c>
      <c r="K1259" s="18" t="s">
        <v>1338</v>
      </c>
      <c r="L1259">
        <v>2000</v>
      </c>
      <c r="M1259" t="s">
        <v>1327</v>
      </c>
      <c r="O1259">
        <v>2005</v>
      </c>
      <c r="P1259">
        <v>2005</v>
      </c>
      <c r="Q1259" t="s">
        <v>1329</v>
      </c>
      <c r="R1259">
        <v>10</v>
      </c>
      <c r="T1259" t="s">
        <v>1330</v>
      </c>
      <c r="U1259" t="s">
        <v>1246</v>
      </c>
      <c r="V1259" s="9" t="s">
        <v>1332</v>
      </c>
      <c r="W1259">
        <v>70</v>
      </c>
      <c r="X1259" s="9" t="s">
        <v>1264</v>
      </c>
      <c r="Z1259">
        <v>12</v>
      </c>
      <c r="AD1259" t="s">
        <v>1165</v>
      </c>
      <c r="AF1259" t="s">
        <v>1165</v>
      </c>
      <c r="AI1259" t="s">
        <v>1165</v>
      </c>
      <c r="AJ1259" s="15" t="s">
        <v>1148</v>
      </c>
      <c r="AK1259" s="15">
        <v>54.860999999999997</v>
      </c>
      <c r="AP1259" s="15">
        <v>28</v>
      </c>
      <c r="AQ1259" s="14" t="s">
        <v>1336</v>
      </c>
      <c r="AR1259" s="15" t="s">
        <v>1335</v>
      </c>
      <c r="AS1259" t="s">
        <v>3000</v>
      </c>
    </row>
    <row r="1260" spans="1:45" x14ac:dyDescent="0.2">
      <c r="A1260" t="s">
        <v>1326</v>
      </c>
      <c r="B1260" s="15" t="s">
        <v>1146</v>
      </c>
      <c r="C1260" s="15" t="s">
        <v>1149</v>
      </c>
      <c r="D1260" t="s">
        <v>1344</v>
      </c>
      <c r="E1260" t="s">
        <v>1345</v>
      </c>
      <c r="G1260" s="15" t="s">
        <v>1165</v>
      </c>
      <c r="H1260" s="14" t="s">
        <v>1165</v>
      </c>
      <c r="I1260" s="18" t="s">
        <v>1328</v>
      </c>
      <c r="J1260" s="18" t="s">
        <v>1337</v>
      </c>
      <c r="K1260" s="18" t="s">
        <v>1338</v>
      </c>
      <c r="L1260">
        <v>2000</v>
      </c>
      <c r="M1260" t="s">
        <v>1327</v>
      </c>
      <c r="O1260">
        <v>2005</v>
      </c>
      <c r="P1260">
        <v>2005</v>
      </c>
      <c r="Q1260" t="s">
        <v>1329</v>
      </c>
      <c r="R1260">
        <v>10</v>
      </c>
      <c r="T1260" t="s">
        <v>1330</v>
      </c>
      <c r="U1260" t="s">
        <v>1246</v>
      </c>
      <c r="V1260" s="9" t="s">
        <v>1332</v>
      </c>
      <c r="W1260">
        <v>70</v>
      </c>
      <c r="X1260" s="9" t="s">
        <v>1261</v>
      </c>
      <c r="Z1260">
        <v>12</v>
      </c>
      <c r="AD1260" t="s">
        <v>1165</v>
      </c>
      <c r="AF1260" t="s">
        <v>1165</v>
      </c>
      <c r="AI1260" t="s">
        <v>1165</v>
      </c>
      <c r="AJ1260" s="15" t="s">
        <v>1148</v>
      </c>
      <c r="AK1260" s="15">
        <v>93.75</v>
      </c>
      <c r="AP1260" s="15">
        <v>28</v>
      </c>
      <c r="AQ1260" s="14" t="s">
        <v>1336</v>
      </c>
      <c r="AR1260" s="15" t="s">
        <v>1335</v>
      </c>
      <c r="AS1260" t="s">
        <v>3000</v>
      </c>
    </row>
    <row r="1261" spans="1:45" x14ac:dyDescent="0.2">
      <c r="A1261" t="s">
        <v>1326</v>
      </c>
      <c r="B1261" s="15" t="s">
        <v>1146</v>
      </c>
      <c r="C1261" s="15" t="s">
        <v>1149</v>
      </c>
      <c r="D1261" t="s">
        <v>1344</v>
      </c>
      <c r="E1261" t="s">
        <v>1345</v>
      </c>
      <c r="G1261" s="15" t="s">
        <v>1165</v>
      </c>
      <c r="H1261" s="14" t="s">
        <v>1165</v>
      </c>
      <c r="I1261" s="18" t="s">
        <v>1328</v>
      </c>
      <c r="J1261" s="18" t="s">
        <v>1337</v>
      </c>
      <c r="K1261" s="18" t="s">
        <v>1338</v>
      </c>
      <c r="L1261">
        <v>2000</v>
      </c>
      <c r="M1261" t="s">
        <v>1327</v>
      </c>
      <c r="O1261">
        <v>2005</v>
      </c>
      <c r="P1261">
        <v>2005</v>
      </c>
      <c r="Q1261" t="s">
        <v>1329</v>
      </c>
      <c r="R1261">
        <v>10</v>
      </c>
      <c r="T1261" t="s">
        <v>1330</v>
      </c>
      <c r="U1261" t="s">
        <v>1246</v>
      </c>
      <c r="V1261" s="9" t="s">
        <v>1332</v>
      </c>
      <c r="W1261">
        <v>70</v>
      </c>
      <c r="X1261" s="9" t="s">
        <v>1334</v>
      </c>
      <c r="Z1261">
        <v>12</v>
      </c>
      <c r="AD1261" t="s">
        <v>1165</v>
      </c>
      <c r="AF1261" t="s">
        <v>1165</v>
      </c>
      <c r="AI1261" t="s">
        <v>1165</v>
      </c>
      <c r="AJ1261" s="15" t="s">
        <v>1148</v>
      </c>
      <c r="AK1261" s="15">
        <v>88.194000000000003</v>
      </c>
      <c r="AP1261" s="15">
        <v>28</v>
      </c>
      <c r="AQ1261" s="14" t="s">
        <v>1336</v>
      </c>
      <c r="AR1261" s="15" t="s">
        <v>1335</v>
      </c>
      <c r="AS1261" t="s">
        <v>3000</v>
      </c>
    </row>
    <row r="1262" spans="1:45" x14ac:dyDescent="0.2">
      <c r="A1262" t="s">
        <v>1326</v>
      </c>
      <c r="B1262" s="15" t="s">
        <v>1146</v>
      </c>
      <c r="C1262" s="15" t="s">
        <v>1149</v>
      </c>
      <c r="D1262" t="s">
        <v>1344</v>
      </c>
      <c r="E1262" t="s">
        <v>1345</v>
      </c>
      <c r="G1262" s="15" t="s">
        <v>1165</v>
      </c>
      <c r="H1262" s="14" t="s">
        <v>1165</v>
      </c>
      <c r="I1262" s="18" t="s">
        <v>1328</v>
      </c>
      <c r="J1262" s="18" t="s">
        <v>1337</v>
      </c>
      <c r="K1262" s="18" t="s">
        <v>1338</v>
      </c>
      <c r="L1262">
        <v>2000</v>
      </c>
      <c r="M1262" t="s">
        <v>1327</v>
      </c>
      <c r="O1262">
        <v>2005</v>
      </c>
      <c r="P1262">
        <v>2005</v>
      </c>
      <c r="Q1262" t="s">
        <v>1329</v>
      </c>
      <c r="R1262">
        <v>10</v>
      </c>
      <c r="T1262" t="s">
        <v>1330</v>
      </c>
      <c r="U1262" t="s">
        <v>1246</v>
      </c>
      <c r="V1262" s="9" t="s">
        <v>1332</v>
      </c>
      <c r="W1262">
        <v>70</v>
      </c>
      <c r="X1262" s="9" t="s">
        <v>1333</v>
      </c>
      <c r="Z1262">
        <v>0</v>
      </c>
      <c r="AD1262" t="s">
        <v>1165</v>
      </c>
      <c r="AF1262" t="s">
        <v>1165</v>
      </c>
      <c r="AI1262" t="s">
        <v>1165</v>
      </c>
      <c r="AJ1262" s="15" t="s">
        <v>1148</v>
      </c>
      <c r="AK1262" s="15">
        <v>21.527999999999999</v>
      </c>
      <c r="AP1262" s="15">
        <v>28</v>
      </c>
      <c r="AQ1262" s="14" t="s">
        <v>1336</v>
      </c>
      <c r="AR1262" s="15" t="s">
        <v>1335</v>
      </c>
      <c r="AS1262" t="s">
        <v>3000</v>
      </c>
    </row>
    <row r="1263" spans="1:45" x14ac:dyDescent="0.2">
      <c r="A1263" t="s">
        <v>1326</v>
      </c>
      <c r="B1263" s="15" t="s">
        <v>1146</v>
      </c>
      <c r="C1263" s="15" t="s">
        <v>1149</v>
      </c>
      <c r="D1263" t="s">
        <v>1344</v>
      </c>
      <c r="E1263" t="s">
        <v>1345</v>
      </c>
      <c r="G1263" s="15" t="s">
        <v>1165</v>
      </c>
      <c r="H1263" s="14" t="s">
        <v>1165</v>
      </c>
      <c r="I1263" s="18" t="s">
        <v>1328</v>
      </c>
      <c r="J1263" s="18" t="s">
        <v>1337</v>
      </c>
      <c r="K1263" s="18" t="s">
        <v>1338</v>
      </c>
      <c r="L1263">
        <v>2000</v>
      </c>
      <c r="M1263" t="s">
        <v>1327</v>
      </c>
      <c r="O1263">
        <v>2005</v>
      </c>
      <c r="P1263">
        <v>2005</v>
      </c>
      <c r="Q1263" t="s">
        <v>1329</v>
      </c>
      <c r="R1263">
        <v>10</v>
      </c>
      <c r="T1263" t="s">
        <v>1330</v>
      </c>
      <c r="U1263" t="s">
        <v>1246</v>
      </c>
      <c r="V1263" s="9" t="s">
        <v>1332</v>
      </c>
      <c r="W1263">
        <v>70</v>
      </c>
      <c r="X1263" s="9" t="s">
        <v>1264</v>
      </c>
      <c r="Z1263">
        <v>0</v>
      </c>
      <c r="AD1263" t="s">
        <v>1165</v>
      </c>
      <c r="AF1263" t="s">
        <v>1165</v>
      </c>
      <c r="AI1263" t="s">
        <v>1165</v>
      </c>
      <c r="AJ1263" s="15" t="s">
        <v>1148</v>
      </c>
      <c r="AK1263" s="15">
        <v>38.988</v>
      </c>
      <c r="AP1263" s="15">
        <v>28</v>
      </c>
      <c r="AQ1263" s="14" t="s">
        <v>1336</v>
      </c>
      <c r="AR1263" s="15" t="s">
        <v>1335</v>
      </c>
      <c r="AS1263" t="s">
        <v>3000</v>
      </c>
    </row>
    <row r="1264" spans="1:45" x14ac:dyDescent="0.2">
      <c r="A1264" t="s">
        <v>1326</v>
      </c>
      <c r="B1264" s="15" t="s">
        <v>1146</v>
      </c>
      <c r="C1264" s="15" t="s">
        <v>1149</v>
      </c>
      <c r="D1264" t="s">
        <v>1344</v>
      </c>
      <c r="E1264" t="s">
        <v>1345</v>
      </c>
      <c r="G1264" s="15" t="s">
        <v>1165</v>
      </c>
      <c r="H1264" s="14" t="s">
        <v>1165</v>
      </c>
      <c r="I1264" s="18" t="s">
        <v>1328</v>
      </c>
      <c r="J1264" s="18" t="s">
        <v>1337</v>
      </c>
      <c r="K1264" s="18" t="s">
        <v>1338</v>
      </c>
      <c r="L1264">
        <v>2000</v>
      </c>
      <c r="M1264" t="s">
        <v>1327</v>
      </c>
      <c r="O1264">
        <v>2005</v>
      </c>
      <c r="P1264">
        <v>2005</v>
      </c>
      <c r="Q1264" t="s">
        <v>1329</v>
      </c>
      <c r="R1264">
        <v>10</v>
      </c>
      <c r="T1264" t="s">
        <v>1330</v>
      </c>
      <c r="U1264" t="s">
        <v>1246</v>
      </c>
      <c r="V1264" s="9" t="s">
        <v>1332</v>
      </c>
      <c r="W1264">
        <v>70</v>
      </c>
      <c r="X1264" s="9" t="s">
        <v>1261</v>
      </c>
      <c r="Z1264">
        <v>0</v>
      </c>
      <c r="AD1264" t="s">
        <v>1165</v>
      </c>
      <c r="AF1264" t="s">
        <v>1165</v>
      </c>
      <c r="AI1264" t="s">
        <v>1165</v>
      </c>
      <c r="AJ1264" s="15" t="s">
        <v>1148</v>
      </c>
      <c r="AK1264" s="15">
        <v>31.052</v>
      </c>
      <c r="AP1264" s="15">
        <v>28</v>
      </c>
      <c r="AQ1264" s="14" t="s">
        <v>1336</v>
      </c>
      <c r="AR1264" s="15" t="s">
        <v>1335</v>
      </c>
      <c r="AS1264" t="s">
        <v>3000</v>
      </c>
    </row>
    <row r="1265" spans="1:45" x14ac:dyDescent="0.2">
      <c r="A1265" t="s">
        <v>1326</v>
      </c>
      <c r="B1265" s="15" t="s">
        <v>1146</v>
      </c>
      <c r="C1265" s="15" t="s">
        <v>1149</v>
      </c>
      <c r="D1265" t="s">
        <v>1344</v>
      </c>
      <c r="E1265" t="s">
        <v>1345</v>
      </c>
      <c r="G1265" s="15" t="s">
        <v>1165</v>
      </c>
      <c r="H1265" s="14" t="s">
        <v>1165</v>
      </c>
      <c r="I1265" s="18" t="s">
        <v>1328</v>
      </c>
      <c r="J1265" s="18" t="s">
        <v>1337</v>
      </c>
      <c r="K1265" s="18" t="s">
        <v>1338</v>
      </c>
      <c r="L1265">
        <v>2000</v>
      </c>
      <c r="M1265" t="s">
        <v>1327</v>
      </c>
      <c r="O1265">
        <v>2005</v>
      </c>
      <c r="P1265">
        <v>2005</v>
      </c>
      <c r="Q1265" t="s">
        <v>1329</v>
      </c>
      <c r="R1265">
        <v>10</v>
      </c>
      <c r="T1265" t="s">
        <v>1330</v>
      </c>
      <c r="U1265" t="s">
        <v>1246</v>
      </c>
      <c r="V1265" s="9" t="s">
        <v>1332</v>
      </c>
      <c r="W1265">
        <v>70</v>
      </c>
      <c r="X1265" s="9" t="s">
        <v>1334</v>
      </c>
      <c r="Z1265">
        <v>0</v>
      </c>
      <c r="AD1265" t="s">
        <v>1165</v>
      </c>
      <c r="AF1265" t="s">
        <v>1165</v>
      </c>
      <c r="AI1265" t="s">
        <v>1165</v>
      </c>
      <c r="AJ1265" s="15" t="s">
        <v>1148</v>
      </c>
      <c r="AK1265" s="15">
        <v>26.19</v>
      </c>
      <c r="AP1265" s="15">
        <v>28</v>
      </c>
      <c r="AQ1265" s="14" t="s">
        <v>1336</v>
      </c>
      <c r="AR1265" s="15" t="s">
        <v>1335</v>
      </c>
      <c r="AS1265" t="s">
        <v>3000</v>
      </c>
    </row>
    <row r="1266" spans="1:45" x14ac:dyDescent="0.2">
      <c r="A1266" t="s">
        <v>1326</v>
      </c>
      <c r="B1266" s="15" t="s">
        <v>1146</v>
      </c>
      <c r="C1266" s="15" t="s">
        <v>1149</v>
      </c>
      <c r="D1266" t="s">
        <v>1344</v>
      </c>
      <c r="E1266" t="s">
        <v>1345</v>
      </c>
      <c r="G1266" s="15" t="s">
        <v>1165</v>
      </c>
      <c r="H1266" s="14" t="s">
        <v>1165</v>
      </c>
      <c r="I1266" s="18" t="s">
        <v>1328</v>
      </c>
      <c r="J1266" s="18" t="s">
        <v>1337</v>
      </c>
      <c r="K1266" s="18" t="s">
        <v>1338</v>
      </c>
      <c r="L1266">
        <v>2000</v>
      </c>
      <c r="M1266" t="s">
        <v>1327</v>
      </c>
      <c r="O1266">
        <v>2005</v>
      </c>
      <c r="P1266">
        <v>2005</v>
      </c>
      <c r="Q1266" t="s">
        <v>1329</v>
      </c>
      <c r="R1266">
        <v>10</v>
      </c>
      <c r="T1266" t="s">
        <v>1330</v>
      </c>
      <c r="U1266" t="s">
        <v>1246</v>
      </c>
      <c r="V1266" s="9" t="s">
        <v>1332</v>
      </c>
      <c r="W1266">
        <v>140</v>
      </c>
      <c r="X1266" s="9" t="s">
        <v>1333</v>
      </c>
      <c r="Z1266">
        <v>12</v>
      </c>
      <c r="AD1266" t="s">
        <v>1165</v>
      </c>
      <c r="AF1266" t="s">
        <v>1165</v>
      </c>
      <c r="AI1266" t="s">
        <v>1165</v>
      </c>
      <c r="AJ1266" s="15" t="s">
        <v>1148</v>
      </c>
      <c r="AK1266" s="15">
        <v>24.702000000000002</v>
      </c>
      <c r="AP1266" s="15">
        <v>28</v>
      </c>
      <c r="AQ1266" s="14" t="s">
        <v>1336</v>
      </c>
      <c r="AR1266" s="15" t="s">
        <v>1335</v>
      </c>
      <c r="AS1266" t="s">
        <v>3000</v>
      </c>
    </row>
    <row r="1267" spans="1:45" x14ac:dyDescent="0.2">
      <c r="A1267" t="s">
        <v>1326</v>
      </c>
      <c r="B1267" s="15" t="s">
        <v>1146</v>
      </c>
      <c r="C1267" s="15" t="s">
        <v>1149</v>
      </c>
      <c r="D1267" t="s">
        <v>1344</v>
      </c>
      <c r="E1267" t="s">
        <v>1345</v>
      </c>
      <c r="G1267" s="15" t="s">
        <v>1165</v>
      </c>
      <c r="H1267" s="14" t="s">
        <v>1165</v>
      </c>
      <c r="I1267" s="18" t="s">
        <v>1328</v>
      </c>
      <c r="J1267" s="18" t="s">
        <v>1337</v>
      </c>
      <c r="K1267" s="18" t="s">
        <v>1338</v>
      </c>
      <c r="L1267">
        <v>2000</v>
      </c>
      <c r="M1267" t="s">
        <v>1327</v>
      </c>
      <c r="O1267">
        <v>2005</v>
      </c>
      <c r="P1267">
        <v>2005</v>
      </c>
      <c r="Q1267" t="s">
        <v>1329</v>
      </c>
      <c r="R1267">
        <v>10</v>
      </c>
      <c r="T1267" t="s">
        <v>1330</v>
      </c>
      <c r="U1267" t="s">
        <v>1246</v>
      </c>
      <c r="V1267" s="9" t="s">
        <v>1332</v>
      </c>
      <c r="W1267">
        <v>140</v>
      </c>
      <c r="X1267" s="9" t="s">
        <v>1264</v>
      </c>
      <c r="Z1267">
        <v>12</v>
      </c>
      <c r="AD1267" t="s">
        <v>1165</v>
      </c>
      <c r="AF1267" t="s">
        <v>1165</v>
      </c>
      <c r="AI1267" t="s">
        <v>1165</v>
      </c>
      <c r="AJ1267" s="15" t="s">
        <v>1148</v>
      </c>
      <c r="AK1267" s="15">
        <v>94.543999999999997</v>
      </c>
      <c r="AP1267" s="15">
        <v>28</v>
      </c>
      <c r="AQ1267" s="14" t="s">
        <v>1336</v>
      </c>
      <c r="AR1267" s="15" t="s">
        <v>1335</v>
      </c>
      <c r="AS1267" t="s">
        <v>3000</v>
      </c>
    </row>
    <row r="1268" spans="1:45" x14ac:dyDescent="0.2">
      <c r="A1268" t="s">
        <v>1326</v>
      </c>
      <c r="B1268" s="15" t="s">
        <v>1146</v>
      </c>
      <c r="C1268" s="15" t="s">
        <v>1149</v>
      </c>
      <c r="D1268" t="s">
        <v>1344</v>
      </c>
      <c r="E1268" t="s">
        <v>1345</v>
      </c>
      <c r="G1268" s="15" t="s">
        <v>1165</v>
      </c>
      <c r="H1268" s="14" t="s">
        <v>1165</v>
      </c>
      <c r="I1268" s="18" t="s">
        <v>1328</v>
      </c>
      <c r="J1268" s="18" t="s">
        <v>1337</v>
      </c>
      <c r="K1268" s="18" t="s">
        <v>1338</v>
      </c>
      <c r="L1268">
        <v>2000</v>
      </c>
      <c r="M1268" t="s">
        <v>1327</v>
      </c>
      <c r="O1268">
        <v>2005</v>
      </c>
      <c r="P1268">
        <v>2005</v>
      </c>
      <c r="Q1268" t="s">
        <v>1329</v>
      </c>
      <c r="R1268">
        <v>10</v>
      </c>
      <c r="T1268" t="s">
        <v>1330</v>
      </c>
      <c r="U1268" t="s">
        <v>1246</v>
      </c>
      <c r="V1268" s="9" t="s">
        <v>1332</v>
      </c>
      <c r="W1268">
        <v>140</v>
      </c>
      <c r="X1268" s="9" t="s">
        <v>1261</v>
      </c>
      <c r="Z1268">
        <v>12</v>
      </c>
      <c r="AD1268" t="s">
        <v>1165</v>
      </c>
      <c r="AF1268" t="s">
        <v>1165</v>
      </c>
      <c r="AI1268" t="s">
        <v>1165</v>
      </c>
      <c r="AJ1268" s="15" t="s">
        <v>1148</v>
      </c>
      <c r="AK1268" s="15">
        <v>100</v>
      </c>
      <c r="AP1268" s="15">
        <v>28</v>
      </c>
      <c r="AQ1268" s="14" t="s">
        <v>1336</v>
      </c>
      <c r="AR1268" s="15" t="s">
        <v>1335</v>
      </c>
      <c r="AS1268" t="s">
        <v>3000</v>
      </c>
    </row>
    <row r="1269" spans="1:45" x14ac:dyDescent="0.2">
      <c r="A1269" t="s">
        <v>1326</v>
      </c>
      <c r="B1269" s="15" t="s">
        <v>1146</v>
      </c>
      <c r="C1269" s="15" t="s">
        <v>1149</v>
      </c>
      <c r="D1269" t="s">
        <v>1344</v>
      </c>
      <c r="E1269" t="s">
        <v>1345</v>
      </c>
      <c r="G1269" s="15" t="s">
        <v>1165</v>
      </c>
      <c r="H1269" s="14" t="s">
        <v>1165</v>
      </c>
      <c r="I1269" s="18" t="s">
        <v>1328</v>
      </c>
      <c r="J1269" s="18" t="s">
        <v>1337</v>
      </c>
      <c r="K1269" s="18" t="s">
        <v>1338</v>
      </c>
      <c r="L1269">
        <v>2000</v>
      </c>
      <c r="M1269" t="s">
        <v>1327</v>
      </c>
      <c r="O1269">
        <v>2005</v>
      </c>
      <c r="P1269">
        <v>2005</v>
      </c>
      <c r="Q1269" t="s">
        <v>1329</v>
      </c>
      <c r="R1269">
        <v>10</v>
      </c>
      <c r="T1269" t="s">
        <v>1330</v>
      </c>
      <c r="U1269" t="s">
        <v>1246</v>
      </c>
      <c r="V1269" s="9" t="s">
        <v>1332</v>
      </c>
      <c r="W1269">
        <v>140</v>
      </c>
      <c r="X1269" s="9" t="s">
        <v>1334</v>
      </c>
      <c r="Z1269">
        <v>12</v>
      </c>
      <c r="AD1269" t="s">
        <v>1165</v>
      </c>
      <c r="AF1269" t="s">
        <v>1165</v>
      </c>
      <c r="AI1269" t="s">
        <v>1165</v>
      </c>
      <c r="AJ1269" s="15" t="s">
        <v>1148</v>
      </c>
      <c r="AK1269" s="4">
        <v>89.781999999999996</v>
      </c>
      <c r="AP1269" s="15">
        <v>28</v>
      </c>
      <c r="AQ1269" s="14" t="s">
        <v>1336</v>
      </c>
      <c r="AR1269" s="15" t="s">
        <v>1335</v>
      </c>
      <c r="AS1269" t="s">
        <v>3000</v>
      </c>
    </row>
    <row r="1270" spans="1:45" x14ac:dyDescent="0.2">
      <c r="A1270" t="s">
        <v>1326</v>
      </c>
      <c r="B1270" s="15" t="s">
        <v>1146</v>
      </c>
      <c r="C1270" s="15" t="s">
        <v>1149</v>
      </c>
      <c r="D1270" t="s">
        <v>1344</v>
      </c>
      <c r="E1270" t="s">
        <v>1345</v>
      </c>
      <c r="G1270" s="15" t="s">
        <v>1165</v>
      </c>
      <c r="H1270" s="14" t="s">
        <v>1165</v>
      </c>
      <c r="I1270" s="18" t="s">
        <v>1328</v>
      </c>
      <c r="J1270" s="18" t="s">
        <v>1337</v>
      </c>
      <c r="K1270" s="18" t="s">
        <v>1338</v>
      </c>
      <c r="L1270">
        <v>2000</v>
      </c>
      <c r="M1270" t="s">
        <v>1327</v>
      </c>
      <c r="O1270">
        <v>2005</v>
      </c>
      <c r="P1270">
        <v>2005</v>
      </c>
      <c r="Q1270" t="s">
        <v>1329</v>
      </c>
      <c r="R1270">
        <v>10</v>
      </c>
      <c r="T1270" t="s">
        <v>1330</v>
      </c>
      <c r="U1270" t="s">
        <v>1246</v>
      </c>
      <c r="V1270" s="9" t="s">
        <v>1332</v>
      </c>
      <c r="W1270">
        <v>140</v>
      </c>
      <c r="X1270" s="9" t="s">
        <v>1333</v>
      </c>
      <c r="Z1270">
        <v>0</v>
      </c>
      <c r="AD1270" t="s">
        <v>1165</v>
      </c>
      <c r="AF1270" t="s">
        <v>1165</v>
      </c>
      <c r="AI1270" t="s">
        <v>1165</v>
      </c>
      <c r="AJ1270" s="15" t="s">
        <v>1148</v>
      </c>
      <c r="AK1270" s="15">
        <v>10.119</v>
      </c>
      <c r="AP1270" s="15">
        <v>28</v>
      </c>
      <c r="AQ1270" s="14" t="s">
        <v>1336</v>
      </c>
      <c r="AR1270" s="15" t="s">
        <v>1335</v>
      </c>
      <c r="AS1270" t="s">
        <v>3000</v>
      </c>
    </row>
    <row r="1271" spans="1:45" x14ac:dyDescent="0.2">
      <c r="A1271" t="s">
        <v>1326</v>
      </c>
      <c r="B1271" s="15" t="s">
        <v>1146</v>
      </c>
      <c r="C1271" s="15" t="s">
        <v>1149</v>
      </c>
      <c r="D1271" t="s">
        <v>1344</v>
      </c>
      <c r="E1271" t="s">
        <v>1345</v>
      </c>
      <c r="G1271" s="15" t="s">
        <v>1165</v>
      </c>
      <c r="H1271" s="14" t="s">
        <v>1165</v>
      </c>
      <c r="I1271" s="18" t="s">
        <v>1328</v>
      </c>
      <c r="J1271" s="18" t="s">
        <v>1337</v>
      </c>
      <c r="K1271" s="18" t="s">
        <v>1338</v>
      </c>
      <c r="L1271">
        <v>2000</v>
      </c>
      <c r="M1271" t="s">
        <v>1327</v>
      </c>
      <c r="O1271">
        <v>2005</v>
      </c>
      <c r="P1271">
        <v>2005</v>
      </c>
      <c r="Q1271" t="s">
        <v>1329</v>
      </c>
      <c r="R1271">
        <v>10</v>
      </c>
      <c r="T1271" t="s">
        <v>1330</v>
      </c>
      <c r="U1271" t="s">
        <v>1246</v>
      </c>
      <c r="V1271" s="9" t="s">
        <v>1332</v>
      </c>
      <c r="W1271">
        <v>140</v>
      </c>
      <c r="X1271" s="9" t="s">
        <v>1264</v>
      </c>
      <c r="Z1271">
        <v>0</v>
      </c>
      <c r="AD1271" t="s">
        <v>1165</v>
      </c>
      <c r="AF1271" t="s">
        <v>1165</v>
      </c>
      <c r="AI1271" t="s">
        <v>1165</v>
      </c>
      <c r="AJ1271" s="15" t="s">
        <v>1148</v>
      </c>
      <c r="AK1271" s="15">
        <v>42.956000000000003</v>
      </c>
      <c r="AP1271" s="15">
        <v>28</v>
      </c>
      <c r="AQ1271" s="14" t="s">
        <v>1336</v>
      </c>
      <c r="AR1271" s="15" t="s">
        <v>1335</v>
      </c>
      <c r="AS1271" t="s">
        <v>3000</v>
      </c>
    </row>
    <row r="1272" spans="1:45" x14ac:dyDescent="0.2">
      <c r="A1272" t="s">
        <v>1326</v>
      </c>
      <c r="B1272" s="15" t="s">
        <v>1146</v>
      </c>
      <c r="C1272" s="15" t="s">
        <v>1149</v>
      </c>
      <c r="D1272" t="s">
        <v>1344</v>
      </c>
      <c r="E1272" t="s">
        <v>1345</v>
      </c>
      <c r="G1272" s="15" t="s">
        <v>1165</v>
      </c>
      <c r="H1272" s="14" t="s">
        <v>1165</v>
      </c>
      <c r="I1272" s="18" t="s">
        <v>1328</v>
      </c>
      <c r="J1272" s="18" t="s">
        <v>1337</v>
      </c>
      <c r="K1272" s="18" t="s">
        <v>1338</v>
      </c>
      <c r="L1272">
        <v>2000</v>
      </c>
      <c r="M1272" t="s">
        <v>1327</v>
      </c>
      <c r="O1272">
        <v>2005</v>
      </c>
      <c r="P1272">
        <v>2005</v>
      </c>
      <c r="Q1272" t="s">
        <v>1329</v>
      </c>
      <c r="R1272">
        <v>10</v>
      </c>
      <c r="T1272" t="s">
        <v>1330</v>
      </c>
      <c r="U1272" t="s">
        <v>1246</v>
      </c>
      <c r="V1272" s="9" t="s">
        <v>1332</v>
      </c>
      <c r="W1272">
        <v>140</v>
      </c>
      <c r="X1272" s="9" t="s">
        <v>1261</v>
      </c>
      <c r="Z1272">
        <v>0</v>
      </c>
      <c r="AD1272" t="s">
        <v>1165</v>
      </c>
      <c r="AF1272" t="s">
        <v>1165</v>
      </c>
      <c r="AI1272" t="s">
        <v>1165</v>
      </c>
      <c r="AJ1272" s="15" t="s">
        <v>1148</v>
      </c>
      <c r="AK1272" s="15">
        <v>50.893000000000001</v>
      </c>
      <c r="AP1272" s="15">
        <v>28</v>
      </c>
      <c r="AQ1272" s="14" t="s">
        <v>1336</v>
      </c>
      <c r="AR1272" s="15" t="s">
        <v>1335</v>
      </c>
      <c r="AS1272" t="s">
        <v>3000</v>
      </c>
    </row>
    <row r="1273" spans="1:45" x14ac:dyDescent="0.2">
      <c r="A1273" t="s">
        <v>1326</v>
      </c>
      <c r="B1273" s="15" t="s">
        <v>1146</v>
      </c>
      <c r="C1273" s="15" t="s">
        <v>1149</v>
      </c>
      <c r="D1273" t="s">
        <v>1344</v>
      </c>
      <c r="E1273" t="s">
        <v>1345</v>
      </c>
      <c r="G1273" s="15" t="s">
        <v>1165</v>
      </c>
      <c r="H1273" s="14" t="s">
        <v>1165</v>
      </c>
      <c r="I1273" s="18" t="s">
        <v>1328</v>
      </c>
      <c r="J1273" s="18" t="s">
        <v>1337</v>
      </c>
      <c r="K1273" s="18" t="s">
        <v>1338</v>
      </c>
      <c r="L1273">
        <v>2000</v>
      </c>
      <c r="M1273" t="s">
        <v>1327</v>
      </c>
      <c r="O1273">
        <v>2005</v>
      </c>
      <c r="P1273">
        <v>2005</v>
      </c>
      <c r="Q1273" t="s">
        <v>1329</v>
      </c>
      <c r="R1273">
        <v>10</v>
      </c>
      <c r="T1273" t="s">
        <v>1330</v>
      </c>
      <c r="U1273" t="s">
        <v>1246</v>
      </c>
      <c r="V1273" s="9" t="s">
        <v>1332</v>
      </c>
      <c r="W1273">
        <v>140</v>
      </c>
      <c r="X1273" s="9" t="s">
        <v>1334</v>
      </c>
      <c r="Z1273">
        <v>0</v>
      </c>
      <c r="AD1273" t="s">
        <v>1165</v>
      </c>
      <c r="AF1273" t="s">
        <v>1165</v>
      </c>
      <c r="AI1273" t="s">
        <v>1165</v>
      </c>
      <c r="AJ1273" s="15" t="s">
        <v>1148</v>
      </c>
      <c r="AK1273" s="15">
        <v>24.405000000000001</v>
      </c>
      <c r="AP1273" s="15">
        <v>28</v>
      </c>
      <c r="AQ1273" s="14" t="s">
        <v>1336</v>
      </c>
      <c r="AR1273" s="15" t="s">
        <v>1335</v>
      </c>
      <c r="AS1273" t="s">
        <v>3000</v>
      </c>
    </row>
    <row r="1274" spans="1:45" x14ac:dyDescent="0.2">
      <c r="A1274" t="s">
        <v>1326</v>
      </c>
      <c r="B1274" s="15" t="s">
        <v>1146</v>
      </c>
      <c r="C1274" s="15" t="s">
        <v>1149</v>
      </c>
      <c r="D1274" t="s">
        <v>1344</v>
      </c>
      <c r="E1274" t="s">
        <v>1345</v>
      </c>
      <c r="G1274" s="15" t="s">
        <v>1165</v>
      </c>
      <c r="H1274" s="14" t="s">
        <v>1165</v>
      </c>
      <c r="I1274" s="18" t="s">
        <v>1328</v>
      </c>
      <c r="J1274" s="18" t="s">
        <v>1337</v>
      </c>
      <c r="K1274" s="18" t="s">
        <v>1338</v>
      </c>
      <c r="L1274">
        <v>2000</v>
      </c>
      <c r="M1274" t="s">
        <v>1327</v>
      </c>
      <c r="O1274">
        <v>2005</v>
      </c>
      <c r="P1274">
        <v>2005</v>
      </c>
      <c r="Q1274" t="s">
        <v>1329</v>
      </c>
      <c r="R1274">
        <v>10</v>
      </c>
      <c r="T1274" t="s">
        <v>1330</v>
      </c>
      <c r="U1274" t="s">
        <v>1246</v>
      </c>
      <c r="V1274" s="9" t="s">
        <v>1332</v>
      </c>
      <c r="W1274">
        <v>210</v>
      </c>
      <c r="X1274" s="9" t="s">
        <v>1333</v>
      </c>
      <c r="Z1274">
        <v>12</v>
      </c>
      <c r="AD1274" t="s">
        <v>1165</v>
      </c>
      <c r="AF1274" t="s">
        <v>1165</v>
      </c>
      <c r="AI1274" t="s">
        <v>1165</v>
      </c>
      <c r="AJ1274" s="15" t="s">
        <v>1148</v>
      </c>
      <c r="AK1274" s="15">
        <v>32.639000000000003</v>
      </c>
      <c r="AP1274" s="15">
        <v>28</v>
      </c>
      <c r="AQ1274" s="14" t="s">
        <v>1336</v>
      </c>
      <c r="AR1274" s="15" t="s">
        <v>1335</v>
      </c>
      <c r="AS1274" t="s">
        <v>3000</v>
      </c>
    </row>
    <row r="1275" spans="1:45" x14ac:dyDescent="0.2">
      <c r="A1275" t="s">
        <v>1326</v>
      </c>
      <c r="B1275" s="15" t="s">
        <v>1146</v>
      </c>
      <c r="C1275" s="15" t="s">
        <v>1149</v>
      </c>
      <c r="D1275" t="s">
        <v>1344</v>
      </c>
      <c r="E1275" t="s">
        <v>1345</v>
      </c>
      <c r="G1275" s="15" t="s">
        <v>1165</v>
      </c>
      <c r="H1275" s="14" t="s">
        <v>1165</v>
      </c>
      <c r="I1275" s="18" t="s">
        <v>1328</v>
      </c>
      <c r="J1275" s="18" t="s">
        <v>1337</v>
      </c>
      <c r="K1275" s="18" t="s">
        <v>1338</v>
      </c>
      <c r="L1275">
        <v>2000</v>
      </c>
      <c r="M1275" t="s">
        <v>1327</v>
      </c>
      <c r="O1275">
        <v>2005</v>
      </c>
      <c r="P1275">
        <v>2005</v>
      </c>
      <c r="Q1275" t="s">
        <v>1329</v>
      </c>
      <c r="R1275">
        <v>10</v>
      </c>
      <c r="T1275" t="s">
        <v>1330</v>
      </c>
      <c r="U1275" t="s">
        <v>1246</v>
      </c>
      <c r="V1275" s="9" t="s">
        <v>1332</v>
      </c>
      <c r="W1275">
        <v>210</v>
      </c>
      <c r="X1275" s="9" t="s">
        <v>1264</v>
      </c>
      <c r="Z1275">
        <v>12</v>
      </c>
      <c r="AD1275" t="s">
        <v>1165</v>
      </c>
      <c r="AF1275" t="s">
        <v>1165</v>
      </c>
      <c r="AI1275" t="s">
        <v>1165</v>
      </c>
      <c r="AJ1275" s="15" t="s">
        <v>1148</v>
      </c>
      <c r="AK1275" s="15">
        <v>87.400999999999996</v>
      </c>
      <c r="AP1275" s="15">
        <v>28</v>
      </c>
      <c r="AQ1275" s="14" t="s">
        <v>1336</v>
      </c>
      <c r="AR1275" s="15" t="s">
        <v>1335</v>
      </c>
      <c r="AS1275" t="s">
        <v>3000</v>
      </c>
    </row>
    <row r="1276" spans="1:45" x14ac:dyDescent="0.2">
      <c r="A1276" t="s">
        <v>1326</v>
      </c>
      <c r="B1276" s="15" t="s">
        <v>1146</v>
      </c>
      <c r="C1276" s="15" t="s">
        <v>1149</v>
      </c>
      <c r="D1276" t="s">
        <v>1344</v>
      </c>
      <c r="E1276" t="s">
        <v>1345</v>
      </c>
      <c r="G1276" s="15" t="s">
        <v>1165</v>
      </c>
      <c r="H1276" s="14" t="s">
        <v>1165</v>
      </c>
      <c r="I1276" s="18" t="s">
        <v>1328</v>
      </c>
      <c r="J1276" s="18" t="s">
        <v>1337</v>
      </c>
      <c r="K1276" s="18" t="s">
        <v>1338</v>
      </c>
      <c r="L1276">
        <v>2000</v>
      </c>
      <c r="M1276" t="s">
        <v>1327</v>
      </c>
      <c r="O1276">
        <v>2005</v>
      </c>
      <c r="P1276">
        <v>2005</v>
      </c>
      <c r="Q1276" t="s">
        <v>1329</v>
      </c>
      <c r="R1276">
        <v>10</v>
      </c>
      <c r="T1276" t="s">
        <v>1330</v>
      </c>
      <c r="U1276" t="s">
        <v>1246</v>
      </c>
      <c r="V1276" s="9" t="s">
        <v>1332</v>
      </c>
      <c r="W1276">
        <v>210</v>
      </c>
      <c r="X1276" s="9" t="s">
        <v>1261</v>
      </c>
      <c r="Z1276">
        <v>12</v>
      </c>
      <c r="AD1276" t="s">
        <v>1165</v>
      </c>
      <c r="AF1276" t="s">
        <v>1165</v>
      </c>
      <c r="AI1276" t="s">
        <v>1165</v>
      </c>
      <c r="AJ1276" s="15" t="s">
        <v>1148</v>
      </c>
      <c r="AK1276" s="15">
        <v>100</v>
      </c>
      <c r="AP1276" s="15">
        <v>28</v>
      </c>
      <c r="AQ1276" s="14" t="s">
        <v>1336</v>
      </c>
      <c r="AR1276" s="15" t="s">
        <v>1335</v>
      </c>
      <c r="AS1276" t="s">
        <v>3000</v>
      </c>
    </row>
    <row r="1277" spans="1:45" x14ac:dyDescent="0.2">
      <c r="A1277" t="s">
        <v>1326</v>
      </c>
      <c r="B1277" s="15" t="s">
        <v>1146</v>
      </c>
      <c r="C1277" s="15" t="s">
        <v>1149</v>
      </c>
      <c r="D1277" t="s">
        <v>1344</v>
      </c>
      <c r="E1277" t="s">
        <v>1345</v>
      </c>
      <c r="G1277" s="15" t="s">
        <v>1165</v>
      </c>
      <c r="H1277" s="14" t="s">
        <v>1165</v>
      </c>
      <c r="I1277" s="18" t="s">
        <v>1328</v>
      </c>
      <c r="J1277" s="18" t="s">
        <v>1337</v>
      </c>
      <c r="K1277" s="18" t="s">
        <v>1338</v>
      </c>
      <c r="L1277">
        <v>2000</v>
      </c>
      <c r="M1277" t="s">
        <v>1327</v>
      </c>
      <c r="O1277">
        <v>2005</v>
      </c>
      <c r="P1277">
        <v>2005</v>
      </c>
      <c r="Q1277" t="s">
        <v>1329</v>
      </c>
      <c r="R1277">
        <v>10</v>
      </c>
      <c r="T1277" t="s">
        <v>1330</v>
      </c>
      <c r="U1277" t="s">
        <v>1246</v>
      </c>
      <c r="V1277" s="9" t="s">
        <v>1332</v>
      </c>
      <c r="W1277">
        <v>210</v>
      </c>
      <c r="X1277" s="9" t="s">
        <v>1334</v>
      </c>
      <c r="Z1277">
        <v>12</v>
      </c>
      <c r="AD1277" t="s">
        <v>1165</v>
      </c>
      <c r="AF1277" t="s">
        <v>1165</v>
      </c>
      <c r="AI1277" t="s">
        <v>1165</v>
      </c>
      <c r="AJ1277" s="15" t="s">
        <v>1148</v>
      </c>
      <c r="AK1277" s="4">
        <v>91.369</v>
      </c>
      <c r="AP1277" s="15">
        <v>28</v>
      </c>
      <c r="AQ1277" s="14" t="s">
        <v>1336</v>
      </c>
      <c r="AR1277" s="15" t="s">
        <v>1335</v>
      </c>
      <c r="AS1277" t="s">
        <v>3000</v>
      </c>
    </row>
    <row r="1278" spans="1:45" x14ac:dyDescent="0.2">
      <c r="A1278" t="s">
        <v>1326</v>
      </c>
      <c r="B1278" s="15" t="s">
        <v>1146</v>
      </c>
      <c r="C1278" s="15" t="s">
        <v>1149</v>
      </c>
      <c r="D1278" t="s">
        <v>1344</v>
      </c>
      <c r="E1278" t="s">
        <v>1345</v>
      </c>
      <c r="G1278" s="15" t="s">
        <v>1165</v>
      </c>
      <c r="H1278" s="14" t="s">
        <v>1165</v>
      </c>
      <c r="I1278" s="18" t="s">
        <v>1328</v>
      </c>
      <c r="J1278" s="18" t="s">
        <v>1337</v>
      </c>
      <c r="K1278" s="18" t="s">
        <v>1338</v>
      </c>
      <c r="L1278">
        <v>2000</v>
      </c>
      <c r="M1278" t="s">
        <v>1327</v>
      </c>
      <c r="O1278">
        <v>2005</v>
      </c>
      <c r="P1278">
        <v>2005</v>
      </c>
      <c r="Q1278" t="s">
        <v>1329</v>
      </c>
      <c r="R1278">
        <v>10</v>
      </c>
      <c r="T1278" t="s">
        <v>1330</v>
      </c>
      <c r="U1278" t="s">
        <v>1246</v>
      </c>
      <c r="V1278" s="9" t="s">
        <v>1332</v>
      </c>
      <c r="W1278">
        <v>210</v>
      </c>
      <c r="X1278" s="9" t="s">
        <v>1333</v>
      </c>
      <c r="Z1278">
        <v>0</v>
      </c>
      <c r="AD1278" t="s">
        <v>1165</v>
      </c>
      <c r="AF1278" t="s">
        <v>1165</v>
      </c>
      <c r="AI1278" t="s">
        <v>1165</v>
      </c>
      <c r="AJ1278" s="15" t="s">
        <v>1148</v>
      </c>
      <c r="AK1278" s="15">
        <v>4.8609999999999998</v>
      </c>
      <c r="AP1278" s="15">
        <v>28</v>
      </c>
      <c r="AQ1278" s="14" t="s">
        <v>1336</v>
      </c>
      <c r="AR1278" s="15" t="s">
        <v>1335</v>
      </c>
      <c r="AS1278" t="s">
        <v>3000</v>
      </c>
    </row>
    <row r="1279" spans="1:45" x14ac:dyDescent="0.2">
      <c r="A1279" t="s">
        <v>1326</v>
      </c>
      <c r="B1279" s="15" t="s">
        <v>1146</v>
      </c>
      <c r="C1279" s="15" t="s">
        <v>1149</v>
      </c>
      <c r="D1279" t="s">
        <v>1344</v>
      </c>
      <c r="E1279" t="s">
        <v>1345</v>
      </c>
      <c r="G1279" s="15" t="s">
        <v>1165</v>
      </c>
      <c r="H1279" s="14" t="s">
        <v>1165</v>
      </c>
      <c r="I1279" s="18" t="s">
        <v>1328</v>
      </c>
      <c r="J1279" s="18" t="s">
        <v>1337</v>
      </c>
      <c r="K1279" s="18" t="s">
        <v>1338</v>
      </c>
      <c r="L1279">
        <v>2000</v>
      </c>
      <c r="M1279" t="s">
        <v>1327</v>
      </c>
      <c r="O1279">
        <v>2005</v>
      </c>
      <c r="P1279">
        <v>2005</v>
      </c>
      <c r="Q1279" t="s">
        <v>1329</v>
      </c>
      <c r="R1279">
        <v>10</v>
      </c>
      <c r="T1279" t="s">
        <v>1330</v>
      </c>
      <c r="U1279" t="s">
        <v>1246</v>
      </c>
      <c r="V1279" s="9" t="s">
        <v>1332</v>
      </c>
      <c r="W1279">
        <v>210</v>
      </c>
      <c r="X1279" s="9" t="s">
        <v>1264</v>
      </c>
      <c r="Z1279">
        <v>0</v>
      </c>
      <c r="AD1279" t="s">
        <v>1165</v>
      </c>
      <c r="AF1279" t="s">
        <v>1165</v>
      </c>
      <c r="AI1279" t="s">
        <v>1165</v>
      </c>
      <c r="AJ1279" s="15" t="s">
        <v>1148</v>
      </c>
      <c r="AK1279" s="15">
        <v>44.543999999999997</v>
      </c>
      <c r="AP1279" s="15">
        <v>28</v>
      </c>
      <c r="AQ1279" s="14" t="s">
        <v>1336</v>
      </c>
      <c r="AR1279" s="15" t="s">
        <v>1335</v>
      </c>
      <c r="AS1279" t="s">
        <v>3000</v>
      </c>
    </row>
    <row r="1280" spans="1:45" x14ac:dyDescent="0.2">
      <c r="A1280" t="s">
        <v>1326</v>
      </c>
      <c r="B1280" s="15" t="s">
        <v>1146</v>
      </c>
      <c r="C1280" s="15" t="s">
        <v>1149</v>
      </c>
      <c r="D1280" t="s">
        <v>1344</v>
      </c>
      <c r="E1280" t="s">
        <v>1345</v>
      </c>
      <c r="G1280" s="15" t="s">
        <v>1165</v>
      </c>
      <c r="H1280" s="14" t="s">
        <v>1165</v>
      </c>
      <c r="I1280" s="18" t="s">
        <v>1328</v>
      </c>
      <c r="J1280" s="18" t="s">
        <v>1337</v>
      </c>
      <c r="K1280" s="18" t="s">
        <v>1338</v>
      </c>
      <c r="L1280">
        <v>2000</v>
      </c>
      <c r="M1280" t="s">
        <v>1327</v>
      </c>
      <c r="O1280">
        <v>2005</v>
      </c>
      <c r="P1280">
        <v>2005</v>
      </c>
      <c r="Q1280" t="s">
        <v>1329</v>
      </c>
      <c r="R1280">
        <v>10</v>
      </c>
      <c r="T1280" t="s">
        <v>1330</v>
      </c>
      <c r="U1280" t="s">
        <v>1246</v>
      </c>
      <c r="V1280" s="9" t="s">
        <v>1332</v>
      </c>
      <c r="W1280">
        <v>210</v>
      </c>
      <c r="X1280" s="9" t="s">
        <v>1261</v>
      </c>
      <c r="Z1280">
        <v>0</v>
      </c>
      <c r="AD1280" t="s">
        <v>1165</v>
      </c>
      <c r="AF1280" t="s">
        <v>1165</v>
      </c>
      <c r="AI1280" t="s">
        <v>1165</v>
      </c>
      <c r="AJ1280" s="15" t="s">
        <v>1148</v>
      </c>
      <c r="AK1280" s="15">
        <v>49.305999999999997</v>
      </c>
      <c r="AP1280" s="15">
        <v>28</v>
      </c>
      <c r="AQ1280" s="14" t="s">
        <v>1336</v>
      </c>
      <c r="AR1280" s="15" t="s">
        <v>1335</v>
      </c>
      <c r="AS1280" t="s">
        <v>3000</v>
      </c>
    </row>
    <row r="1281" spans="1:45" x14ac:dyDescent="0.2">
      <c r="A1281" t="s">
        <v>1326</v>
      </c>
      <c r="B1281" s="15" t="s">
        <v>1146</v>
      </c>
      <c r="C1281" s="15" t="s">
        <v>1149</v>
      </c>
      <c r="D1281" t="s">
        <v>1344</v>
      </c>
      <c r="E1281" t="s">
        <v>1345</v>
      </c>
      <c r="G1281" s="15" t="s">
        <v>1165</v>
      </c>
      <c r="H1281" s="14" t="s">
        <v>1165</v>
      </c>
      <c r="I1281" s="18" t="s">
        <v>1328</v>
      </c>
      <c r="J1281" s="18" t="s">
        <v>1337</v>
      </c>
      <c r="K1281" s="18" t="s">
        <v>1338</v>
      </c>
      <c r="L1281">
        <v>2000</v>
      </c>
      <c r="M1281" t="s">
        <v>1327</v>
      </c>
      <c r="O1281">
        <v>2005</v>
      </c>
      <c r="P1281">
        <v>2005</v>
      </c>
      <c r="Q1281" t="s">
        <v>1329</v>
      </c>
      <c r="R1281">
        <v>10</v>
      </c>
      <c r="T1281" t="s">
        <v>1330</v>
      </c>
      <c r="U1281" t="s">
        <v>1246</v>
      </c>
      <c r="V1281" s="9" t="s">
        <v>1332</v>
      </c>
      <c r="W1281">
        <v>210</v>
      </c>
      <c r="X1281" s="9" t="s">
        <v>1334</v>
      </c>
      <c r="Z1281">
        <v>0</v>
      </c>
      <c r="AD1281" t="s">
        <v>1165</v>
      </c>
      <c r="AF1281" t="s">
        <v>1165</v>
      </c>
      <c r="AI1281" t="s">
        <v>1165</v>
      </c>
      <c r="AJ1281" s="15" t="s">
        <v>1148</v>
      </c>
      <c r="AK1281" s="15">
        <v>34.225999999999999</v>
      </c>
      <c r="AP1281" s="15">
        <v>28</v>
      </c>
      <c r="AQ1281" s="14" t="s">
        <v>1336</v>
      </c>
      <c r="AR1281" s="15" t="s">
        <v>1335</v>
      </c>
      <c r="AS1281" t="s">
        <v>3000</v>
      </c>
    </row>
    <row r="1282" spans="1:45" x14ac:dyDescent="0.2">
      <c r="A1282" t="s">
        <v>1326</v>
      </c>
      <c r="B1282" s="15" t="s">
        <v>1146</v>
      </c>
      <c r="C1282" s="15" t="s">
        <v>1149</v>
      </c>
      <c r="D1282" t="s">
        <v>1344</v>
      </c>
      <c r="E1282" t="s">
        <v>1345</v>
      </c>
      <c r="G1282" s="15" t="s">
        <v>1165</v>
      </c>
      <c r="H1282" s="14" t="s">
        <v>1165</v>
      </c>
      <c r="I1282" s="18" t="s">
        <v>1328</v>
      </c>
      <c r="J1282" s="18" t="s">
        <v>1337</v>
      </c>
      <c r="K1282" s="18" t="s">
        <v>1338</v>
      </c>
      <c r="L1282">
        <v>2000</v>
      </c>
      <c r="M1282" t="s">
        <v>1327</v>
      </c>
      <c r="O1282">
        <v>2005</v>
      </c>
      <c r="P1282">
        <v>2005</v>
      </c>
      <c r="Q1282" t="s">
        <v>1329</v>
      </c>
      <c r="R1282">
        <v>10</v>
      </c>
      <c r="T1282" t="s">
        <v>1330</v>
      </c>
      <c r="U1282" t="s">
        <v>1340</v>
      </c>
      <c r="V1282" s="9" t="s">
        <v>1339</v>
      </c>
      <c r="W1282">
        <v>0</v>
      </c>
      <c r="X1282" s="9" t="s">
        <v>1333</v>
      </c>
      <c r="Z1282">
        <v>12</v>
      </c>
      <c r="AD1282" t="s">
        <v>1165</v>
      </c>
      <c r="AF1282" t="s">
        <v>1165</v>
      </c>
      <c r="AI1282" t="s">
        <v>1165</v>
      </c>
      <c r="AJ1282" s="15" t="s">
        <v>1148</v>
      </c>
      <c r="AK1282" s="15">
        <v>1.786</v>
      </c>
      <c r="AP1282" s="15">
        <v>28</v>
      </c>
      <c r="AQ1282" s="14" t="s">
        <v>1336</v>
      </c>
      <c r="AR1282" s="15" t="s">
        <v>1335</v>
      </c>
      <c r="AS1282" t="s">
        <v>3001</v>
      </c>
    </row>
    <row r="1283" spans="1:45" x14ac:dyDescent="0.2">
      <c r="A1283" t="s">
        <v>1326</v>
      </c>
      <c r="B1283" s="15" t="s">
        <v>1146</v>
      </c>
      <c r="C1283" s="15" t="s">
        <v>1149</v>
      </c>
      <c r="D1283" t="s">
        <v>1344</v>
      </c>
      <c r="E1283" t="s">
        <v>1345</v>
      </c>
      <c r="G1283" s="15" t="s">
        <v>1165</v>
      </c>
      <c r="H1283" s="14" t="s">
        <v>1165</v>
      </c>
      <c r="I1283" s="18" t="s">
        <v>1328</v>
      </c>
      <c r="J1283" s="18" t="s">
        <v>1337</v>
      </c>
      <c r="K1283" s="18" t="s">
        <v>1338</v>
      </c>
      <c r="L1283">
        <v>2000</v>
      </c>
      <c r="M1283" t="s">
        <v>1327</v>
      </c>
      <c r="O1283">
        <v>2005</v>
      </c>
      <c r="P1283">
        <v>2005</v>
      </c>
      <c r="Q1283" t="s">
        <v>1329</v>
      </c>
      <c r="R1283">
        <v>10</v>
      </c>
      <c r="T1283" t="s">
        <v>1330</v>
      </c>
      <c r="U1283" t="s">
        <v>1340</v>
      </c>
      <c r="V1283" s="9" t="s">
        <v>1339</v>
      </c>
      <c r="W1283">
        <v>0</v>
      </c>
      <c r="X1283" s="9" t="s">
        <v>1264</v>
      </c>
      <c r="Z1283">
        <v>12</v>
      </c>
      <c r="AD1283" t="s">
        <v>1165</v>
      </c>
      <c r="AF1283" t="s">
        <v>1165</v>
      </c>
      <c r="AI1283" t="s">
        <v>1165</v>
      </c>
      <c r="AJ1283" s="15" t="s">
        <v>1148</v>
      </c>
      <c r="AK1283" s="15">
        <v>11.21</v>
      </c>
      <c r="AP1283" s="15">
        <v>28</v>
      </c>
      <c r="AQ1283" s="14" t="s">
        <v>1336</v>
      </c>
      <c r="AR1283" s="15" t="s">
        <v>1335</v>
      </c>
      <c r="AS1283" t="s">
        <v>3001</v>
      </c>
    </row>
    <row r="1284" spans="1:45" x14ac:dyDescent="0.2">
      <c r="A1284" t="s">
        <v>1326</v>
      </c>
      <c r="B1284" s="15" t="s">
        <v>1146</v>
      </c>
      <c r="C1284" s="15" t="s">
        <v>1149</v>
      </c>
      <c r="D1284" t="s">
        <v>1344</v>
      </c>
      <c r="E1284" t="s">
        <v>1345</v>
      </c>
      <c r="G1284" s="15" t="s">
        <v>1165</v>
      </c>
      <c r="H1284" s="14" t="s">
        <v>1165</v>
      </c>
      <c r="I1284" s="18" t="s">
        <v>1328</v>
      </c>
      <c r="J1284" s="18" t="s">
        <v>1337</v>
      </c>
      <c r="K1284" s="18" t="s">
        <v>1338</v>
      </c>
      <c r="L1284">
        <v>2000</v>
      </c>
      <c r="M1284" t="s">
        <v>1327</v>
      </c>
      <c r="O1284">
        <v>2005</v>
      </c>
      <c r="P1284">
        <v>2005</v>
      </c>
      <c r="Q1284" t="s">
        <v>1329</v>
      </c>
      <c r="R1284">
        <v>10</v>
      </c>
      <c r="T1284" t="s">
        <v>1330</v>
      </c>
      <c r="U1284" t="s">
        <v>1340</v>
      </c>
      <c r="V1284" s="9" t="s">
        <v>1339</v>
      </c>
      <c r="W1284">
        <v>0</v>
      </c>
      <c r="X1284" s="9" t="s">
        <v>1261</v>
      </c>
      <c r="Z1284">
        <v>12</v>
      </c>
      <c r="AD1284" t="s">
        <v>1165</v>
      </c>
      <c r="AF1284" t="s">
        <v>1165</v>
      </c>
      <c r="AI1284" t="s">
        <v>1165</v>
      </c>
      <c r="AJ1284" s="15" t="s">
        <v>1148</v>
      </c>
      <c r="AK1284" s="15">
        <v>23.114999999999998</v>
      </c>
      <c r="AP1284" s="15">
        <v>28</v>
      </c>
      <c r="AQ1284" s="14" t="s">
        <v>1336</v>
      </c>
      <c r="AR1284" s="15" t="s">
        <v>1335</v>
      </c>
      <c r="AS1284" t="s">
        <v>3001</v>
      </c>
    </row>
    <row r="1285" spans="1:45" x14ac:dyDescent="0.2">
      <c r="A1285" t="s">
        <v>1326</v>
      </c>
      <c r="B1285" s="15" t="s">
        <v>1146</v>
      </c>
      <c r="C1285" s="15" t="s">
        <v>1149</v>
      </c>
      <c r="D1285" t="s">
        <v>1344</v>
      </c>
      <c r="E1285" t="s">
        <v>1345</v>
      </c>
      <c r="G1285" s="15" t="s">
        <v>1165</v>
      </c>
      <c r="H1285" s="14" t="s">
        <v>1165</v>
      </c>
      <c r="I1285" s="18" t="s">
        <v>1328</v>
      </c>
      <c r="J1285" s="18" t="s">
        <v>1337</v>
      </c>
      <c r="K1285" s="18" t="s">
        <v>1338</v>
      </c>
      <c r="L1285">
        <v>2000</v>
      </c>
      <c r="M1285" t="s">
        <v>1327</v>
      </c>
      <c r="O1285">
        <v>2005</v>
      </c>
      <c r="P1285">
        <v>2005</v>
      </c>
      <c r="Q1285" t="s">
        <v>1329</v>
      </c>
      <c r="R1285">
        <v>10</v>
      </c>
      <c r="T1285" t="s">
        <v>1330</v>
      </c>
      <c r="U1285" t="s">
        <v>1340</v>
      </c>
      <c r="V1285" s="9" t="s">
        <v>1339</v>
      </c>
      <c r="W1285">
        <v>0</v>
      </c>
      <c r="X1285" s="9" t="s">
        <v>1334</v>
      </c>
      <c r="Z1285">
        <v>12</v>
      </c>
      <c r="AD1285" t="s">
        <v>1165</v>
      </c>
      <c r="AF1285" t="s">
        <v>1165</v>
      </c>
      <c r="AI1285" t="s">
        <v>1165</v>
      </c>
      <c r="AJ1285" s="15" t="s">
        <v>1148</v>
      </c>
      <c r="AK1285" s="15">
        <v>19.146999999999998</v>
      </c>
      <c r="AP1285" s="15">
        <v>28</v>
      </c>
      <c r="AQ1285" s="14" t="s">
        <v>1336</v>
      </c>
      <c r="AR1285" s="15" t="s">
        <v>1335</v>
      </c>
      <c r="AS1285" t="s">
        <v>3001</v>
      </c>
    </row>
    <row r="1286" spans="1:45" x14ac:dyDescent="0.2">
      <c r="A1286" t="s">
        <v>1326</v>
      </c>
      <c r="B1286" s="15" t="s">
        <v>1146</v>
      </c>
      <c r="C1286" s="15" t="s">
        <v>1149</v>
      </c>
      <c r="D1286" t="s">
        <v>1344</v>
      </c>
      <c r="E1286" t="s">
        <v>1345</v>
      </c>
      <c r="G1286" s="15" t="s">
        <v>1165</v>
      </c>
      <c r="H1286" s="14" t="s">
        <v>1165</v>
      </c>
      <c r="I1286" s="18" t="s">
        <v>1328</v>
      </c>
      <c r="J1286" s="18" t="s">
        <v>1337</v>
      </c>
      <c r="K1286" s="18" t="s">
        <v>1338</v>
      </c>
      <c r="L1286">
        <v>2000</v>
      </c>
      <c r="M1286" t="s">
        <v>1327</v>
      </c>
      <c r="O1286">
        <v>2005</v>
      </c>
      <c r="P1286">
        <v>2005</v>
      </c>
      <c r="Q1286" t="s">
        <v>1329</v>
      </c>
      <c r="R1286">
        <v>10</v>
      </c>
      <c r="T1286" t="s">
        <v>1330</v>
      </c>
      <c r="U1286" t="s">
        <v>1340</v>
      </c>
      <c r="V1286" s="9" t="s">
        <v>1339</v>
      </c>
      <c r="W1286">
        <v>0</v>
      </c>
      <c r="X1286" s="9" t="s">
        <v>1333</v>
      </c>
      <c r="Z1286">
        <v>0</v>
      </c>
      <c r="AD1286" t="s">
        <v>1165</v>
      </c>
      <c r="AF1286" t="s">
        <v>1165</v>
      </c>
      <c r="AI1286" t="s">
        <v>1165</v>
      </c>
      <c r="AJ1286" s="15" t="s">
        <v>1148</v>
      </c>
      <c r="AK1286" s="15">
        <v>2.976</v>
      </c>
      <c r="AP1286" s="15">
        <v>28</v>
      </c>
      <c r="AQ1286" s="14" t="s">
        <v>1336</v>
      </c>
      <c r="AR1286" s="15" t="s">
        <v>1335</v>
      </c>
      <c r="AS1286" t="s">
        <v>3001</v>
      </c>
    </row>
    <row r="1287" spans="1:45" x14ac:dyDescent="0.2">
      <c r="A1287" t="s">
        <v>1326</v>
      </c>
      <c r="B1287" s="15" t="s">
        <v>1146</v>
      </c>
      <c r="C1287" s="15" t="s">
        <v>1149</v>
      </c>
      <c r="D1287" t="s">
        <v>1344</v>
      </c>
      <c r="E1287" t="s">
        <v>1345</v>
      </c>
      <c r="G1287" s="15" t="s">
        <v>1165</v>
      </c>
      <c r="H1287" s="14" t="s">
        <v>1165</v>
      </c>
      <c r="I1287" s="18" t="s">
        <v>1328</v>
      </c>
      <c r="J1287" s="18" t="s">
        <v>1337</v>
      </c>
      <c r="K1287" s="18" t="s">
        <v>1338</v>
      </c>
      <c r="L1287">
        <v>2000</v>
      </c>
      <c r="M1287" t="s">
        <v>1327</v>
      </c>
      <c r="O1287">
        <v>2005</v>
      </c>
      <c r="P1287">
        <v>2005</v>
      </c>
      <c r="Q1287" t="s">
        <v>1329</v>
      </c>
      <c r="R1287">
        <v>10</v>
      </c>
      <c r="T1287" t="s">
        <v>1330</v>
      </c>
      <c r="U1287" t="s">
        <v>1340</v>
      </c>
      <c r="V1287" s="9" t="s">
        <v>1339</v>
      </c>
      <c r="W1287">
        <v>0</v>
      </c>
      <c r="X1287" s="9" t="s">
        <v>1264</v>
      </c>
      <c r="Z1287">
        <v>0</v>
      </c>
      <c r="AD1287" t="s">
        <v>1165</v>
      </c>
      <c r="AF1287" t="s">
        <v>1165</v>
      </c>
      <c r="AI1287" t="s">
        <v>1165</v>
      </c>
      <c r="AJ1287" s="15" t="s">
        <v>1148</v>
      </c>
      <c r="AK1287" s="15">
        <v>0</v>
      </c>
      <c r="AP1287" s="15">
        <v>28</v>
      </c>
      <c r="AQ1287" s="14" t="s">
        <v>1336</v>
      </c>
      <c r="AR1287" s="15" t="s">
        <v>1335</v>
      </c>
      <c r="AS1287" t="s">
        <v>3001</v>
      </c>
    </row>
    <row r="1288" spans="1:45" x14ac:dyDescent="0.2">
      <c r="A1288" t="s">
        <v>1326</v>
      </c>
      <c r="B1288" s="15" t="s">
        <v>1146</v>
      </c>
      <c r="C1288" s="15" t="s">
        <v>1149</v>
      </c>
      <c r="D1288" t="s">
        <v>1344</v>
      </c>
      <c r="E1288" t="s">
        <v>1345</v>
      </c>
      <c r="G1288" s="15" t="s">
        <v>1165</v>
      </c>
      <c r="H1288" s="14" t="s">
        <v>1165</v>
      </c>
      <c r="I1288" s="18" t="s">
        <v>1328</v>
      </c>
      <c r="J1288" s="18" t="s">
        <v>1337</v>
      </c>
      <c r="K1288" s="18" t="s">
        <v>1338</v>
      </c>
      <c r="L1288">
        <v>2000</v>
      </c>
      <c r="M1288" t="s">
        <v>1327</v>
      </c>
      <c r="O1288">
        <v>2005</v>
      </c>
      <c r="P1288">
        <v>2005</v>
      </c>
      <c r="Q1288" t="s">
        <v>1329</v>
      </c>
      <c r="R1288">
        <v>10</v>
      </c>
      <c r="T1288" t="s">
        <v>1330</v>
      </c>
      <c r="U1288" t="s">
        <v>1340</v>
      </c>
      <c r="V1288" s="9" t="s">
        <v>1339</v>
      </c>
      <c r="W1288">
        <v>0</v>
      </c>
      <c r="X1288" s="9" t="s">
        <v>1261</v>
      </c>
      <c r="Z1288">
        <v>0</v>
      </c>
      <c r="AD1288" t="s">
        <v>1165</v>
      </c>
      <c r="AF1288" t="s">
        <v>1165</v>
      </c>
      <c r="AI1288" t="s">
        <v>1165</v>
      </c>
      <c r="AJ1288" s="15" t="s">
        <v>1148</v>
      </c>
      <c r="AK1288" s="15">
        <v>0</v>
      </c>
      <c r="AP1288" s="15">
        <v>28</v>
      </c>
      <c r="AQ1288" s="14" t="s">
        <v>1336</v>
      </c>
      <c r="AR1288" s="15" t="s">
        <v>1335</v>
      </c>
      <c r="AS1288" t="s">
        <v>3001</v>
      </c>
    </row>
    <row r="1289" spans="1:45" x14ac:dyDescent="0.2">
      <c r="A1289" t="s">
        <v>1326</v>
      </c>
      <c r="B1289" s="15" t="s">
        <v>1146</v>
      </c>
      <c r="C1289" s="15" t="s">
        <v>1149</v>
      </c>
      <c r="D1289" t="s">
        <v>1344</v>
      </c>
      <c r="E1289" t="s">
        <v>1345</v>
      </c>
      <c r="G1289" s="15" t="s">
        <v>1165</v>
      </c>
      <c r="H1289" s="14" t="s">
        <v>1165</v>
      </c>
      <c r="I1289" s="18" t="s">
        <v>1328</v>
      </c>
      <c r="J1289" s="18" t="s">
        <v>1337</v>
      </c>
      <c r="K1289" s="18" t="s">
        <v>1338</v>
      </c>
      <c r="L1289">
        <v>2000</v>
      </c>
      <c r="M1289" t="s">
        <v>1327</v>
      </c>
      <c r="O1289">
        <v>2005</v>
      </c>
      <c r="P1289">
        <v>2005</v>
      </c>
      <c r="Q1289" t="s">
        <v>1329</v>
      </c>
      <c r="R1289">
        <v>10</v>
      </c>
      <c r="T1289" t="s">
        <v>1330</v>
      </c>
      <c r="U1289" t="s">
        <v>1340</v>
      </c>
      <c r="V1289" s="9" t="s">
        <v>1339</v>
      </c>
      <c r="W1289">
        <v>0</v>
      </c>
      <c r="X1289" s="9" t="s">
        <v>1334</v>
      </c>
      <c r="Z1289">
        <v>0</v>
      </c>
      <c r="AD1289" t="s">
        <v>1165</v>
      </c>
      <c r="AF1289" t="s">
        <v>1165</v>
      </c>
      <c r="AI1289" t="s">
        <v>1165</v>
      </c>
      <c r="AJ1289" s="15" t="s">
        <v>1148</v>
      </c>
      <c r="AK1289" s="15">
        <v>0</v>
      </c>
      <c r="AP1289" s="15">
        <v>28</v>
      </c>
      <c r="AQ1289" s="14" t="s">
        <v>1336</v>
      </c>
      <c r="AR1289" s="15" t="s">
        <v>1335</v>
      </c>
      <c r="AS1289" t="s">
        <v>3001</v>
      </c>
    </row>
    <row r="1290" spans="1:45" x14ac:dyDescent="0.2">
      <c r="A1290" t="s">
        <v>1326</v>
      </c>
      <c r="B1290" s="15" t="s">
        <v>1146</v>
      </c>
      <c r="C1290" s="15" t="s">
        <v>1149</v>
      </c>
      <c r="D1290" t="s">
        <v>1344</v>
      </c>
      <c r="E1290" t="s">
        <v>1345</v>
      </c>
      <c r="G1290" s="15" t="s">
        <v>1165</v>
      </c>
      <c r="H1290" s="14" t="s">
        <v>1165</v>
      </c>
      <c r="I1290" s="18" t="s">
        <v>1328</v>
      </c>
      <c r="J1290" s="18" t="s">
        <v>1337</v>
      </c>
      <c r="K1290" s="18" t="s">
        <v>1338</v>
      </c>
      <c r="L1290">
        <v>2000</v>
      </c>
      <c r="M1290" t="s">
        <v>1327</v>
      </c>
      <c r="O1290">
        <v>2005</v>
      </c>
      <c r="P1290">
        <v>2005</v>
      </c>
      <c r="Q1290" t="s">
        <v>1329</v>
      </c>
      <c r="R1290">
        <v>10</v>
      </c>
      <c r="T1290" t="s">
        <v>1330</v>
      </c>
      <c r="U1290" t="s">
        <v>1340</v>
      </c>
      <c r="V1290" s="9" t="s">
        <v>1339</v>
      </c>
      <c r="W1290">
        <v>17.5</v>
      </c>
      <c r="X1290" s="9" t="s">
        <v>1333</v>
      </c>
      <c r="Z1290">
        <v>12</v>
      </c>
      <c r="AD1290" t="s">
        <v>1165</v>
      </c>
      <c r="AF1290" t="s">
        <v>1165</v>
      </c>
      <c r="AI1290" t="s">
        <v>1165</v>
      </c>
      <c r="AJ1290" s="15" t="s">
        <v>1148</v>
      </c>
      <c r="AK1290" s="15">
        <v>1.6859999999999999</v>
      </c>
      <c r="AP1290" s="15">
        <v>28</v>
      </c>
      <c r="AQ1290" s="14" t="s">
        <v>1336</v>
      </c>
      <c r="AR1290" s="15" t="s">
        <v>1335</v>
      </c>
      <c r="AS1290" t="s">
        <v>3001</v>
      </c>
    </row>
    <row r="1291" spans="1:45" x14ac:dyDescent="0.2">
      <c r="A1291" t="s">
        <v>1326</v>
      </c>
      <c r="B1291" s="15" t="s">
        <v>1146</v>
      </c>
      <c r="C1291" s="15" t="s">
        <v>1149</v>
      </c>
      <c r="D1291" t="s">
        <v>1344</v>
      </c>
      <c r="E1291" t="s">
        <v>1345</v>
      </c>
      <c r="G1291" s="15" t="s">
        <v>1165</v>
      </c>
      <c r="H1291" s="14" t="s">
        <v>1165</v>
      </c>
      <c r="I1291" s="18" t="s">
        <v>1328</v>
      </c>
      <c r="J1291" s="18" t="s">
        <v>1337</v>
      </c>
      <c r="K1291" s="18" t="s">
        <v>1338</v>
      </c>
      <c r="L1291">
        <v>2000</v>
      </c>
      <c r="M1291" t="s">
        <v>1327</v>
      </c>
      <c r="O1291">
        <v>2005</v>
      </c>
      <c r="P1291">
        <v>2005</v>
      </c>
      <c r="Q1291" t="s">
        <v>1329</v>
      </c>
      <c r="R1291">
        <v>10</v>
      </c>
      <c r="T1291" t="s">
        <v>1330</v>
      </c>
      <c r="U1291" t="s">
        <v>1340</v>
      </c>
      <c r="V1291" s="9" t="s">
        <v>1339</v>
      </c>
      <c r="W1291">
        <v>17.5</v>
      </c>
      <c r="X1291" s="9" t="s">
        <v>1264</v>
      </c>
      <c r="Z1291">
        <v>12</v>
      </c>
      <c r="AD1291" t="s">
        <v>1165</v>
      </c>
      <c r="AF1291" t="s">
        <v>1165</v>
      </c>
      <c r="AI1291" t="s">
        <v>1165</v>
      </c>
      <c r="AJ1291" s="15" t="s">
        <v>1148</v>
      </c>
      <c r="AK1291" s="15">
        <v>20.734000000000002</v>
      </c>
      <c r="AP1291" s="15">
        <v>28</v>
      </c>
      <c r="AQ1291" s="14" t="s">
        <v>1336</v>
      </c>
      <c r="AR1291" s="15" t="s">
        <v>1335</v>
      </c>
      <c r="AS1291" t="s">
        <v>3001</v>
      </c>
    </row>
    <row r="1292" spans="1:45" x14ac:dyDescent="0.2">
      <c r="A1292" t="s">
        <v>1326</v>
      </c>
      <c r="B1292" s="15" t="s">
        <v>1146</v>
      </c>
      <c r="C1292" s="15" t="s">
        <v>1149</v>
      </c>
      <c r="D1292" t="s">
        <v>1344</v>
      </c>
      <c r="E1292" t="s">
        <v>1345</v>
      </c>
      <c r="G1292" s="15" t="s">
        <v>1165</v>
      </c>
      <c r="H1292" s="14" t="s">
        <v>1165</v>
      </c>
      <c r="I1292" s="18" t="s">
        <v>1328</v>
      </c>
      <c r="J1292" s="18" t="s">
        <v>1337</v>
      </c>
      <c r="K1292" s="18" t="s">
        <v>1338</v>
      </c>
      <c r="L1292">
        <v>2000</v>
      </c>
      <c r="M1292" t="s">
        <v>1327</v>
      </c>
      <c r="O1292">
        <v>2005</v>
      </c>
      <c r="P1292">
        <v>2005</v>
      </c>
      <c r="Q1292" t="s">
        <v>1329</v>
      </c>
      <c r="R1292">
        <v>10</v>
      </c>
      <c r="T1292" t="s">
        <v>1330</v>
      </c>
      <c r="U1292" t="s">
        <v>1340</v>
      </c>
      <c r="V1292" s="9" t="s">
        <v>1339</v>
      </c>
      <c r="W1292">
        <v>17.5</v>
      </c>
      <c r="X1292" s="9" t="s">
        <v>1261</v>
      </c>
      <c r="Z1292">
        <v>12</v>
      </c>
      <c r="AD1292" t="s">
        <v>1165</v>
      </c>
      <c r="AF1292" t="s">
        <v>1165</v>
      </c>
      <c r="AI1292" t="s">
        <v>1165</v>
      </c>
      <c r="AJ1292" s="15" t="s">
        <v>1148</v>
      </c>
      <c r="AK1292" s="15">
        <v>24.702000000000002</v>
      </c>
      <c r="AP1292" s="15">
        <v>28</v>
      </c>
      <c r="AQ1292" s="14" t="s">
        <v>1336</v>
      </c>
      <c r="AR1292" s="15" t="s">
        <v>1335</v>
      </c>
      <c r="AS1292" t="s">
        <v>3001</v>
      </c>
    </row>
    <row r="1293" spans="1:45" x14ac:dyDescent="0.2">
      <c r="A1293" t="s">
        <v>1326</v>
      </c>
      <c r="B1293" s="15" t="s">
        <v>1146</v>
      </c>
      <c r="C1293" s="15" t="s">
        <v>1149</v>
      </c>
      <c r="D1293" t="s">
        <v>1344</v>
      </c>
      <c r="E1293" t="s">
        <v>1345</v>
      </c>
      <c r="G1293" s="15" t="s">
        <v>1165</v>
      </c>
      <c r="H1293" s="14" t="s">
        <v>1165</v>
      </c>
      <c r="I1293" s="18" t="s">
        <v>1328</v>
      </c>
      <c r="J1293" s="18" t="s">
        <v>1337</v>
      </c>
      <c r="K1293" s="18" t="s">
        <v>1338</v>
      </c>
      <c r="L1293">
        <v>2000</v>
      </c>
      <c r="M1293" t="s">
        <v>1327</v>
      </c>
      <c r="O1293">
        <v>2005</v>
      </c>
      <c r="P1293">
        <v>2005</v>
      </c>
      <c r="Q1293" t="s">
        <v>1329</v>
      </c>
      <c r="R1293">
        <v>10</v>
      </c>
      <c r="T1293" t="s">
        <v>1330</v>
      </c>
      <c r="U1293" t="s">
        <v>1340</v>
      </c>
      <c r="V1293" s="9" t="s">
        <v>1339</v>
      </c>
      <c r="W1293">
        <v>17.5</v>
      </c>
      <c r="X1293" s="9" t="s">
        <v>1334</v>
      </c>
      <c r="Z1293">
        <v>12</v>
      </c>
      <c r="AD1293" t="s">
        <v>1165</v>
      </c>
      <c r="AF1293" t="s">
        <v>1165</v>
      </c>
      <c r="AI1293" t="s">
        <v>1165</v>
      </c>
      <c r="AJ1293" s="15" t="s">
        <v>1148</v>
      </c>
      <c r="AK1293" s="4">
        <v>11.21</v>
      </c>
      <c r="AP1293" s="15">
        <v>28</v>
      </c>
      <c r="AQ1293" s="14" t="s">
        <v>1336</v>
      </c>
      <c r="AR1293" s="15" t="s">
        <v>1335</v>
      </c>
      <c r="AS1293" t="s">
        <v>3001</v>
      </c>
    </row>
    <row r="1294" spans="1:45" x14ac:dyDescent="0.2">
      <c r="A1294" t="s">
        <v>1326</v>
      </c>
      <c r="B1294" s="15" t="s">
        <v>1146</v>
      </c>
      <c r="C1294" s="15" t="s">
        <v>1149</v>
      </c>
      <c r="D1294" t="s">
        <v>1344</v>
      </c>
      <c r="E1294" t="s">
        <v>1345</v>
      </c>
      <c r="G1294" s="15" t="s">
        <v>1165</v>
      </c>
      <c r="H1294" s="14" t="s">
        <v>1165</v>
      </c>
      <c r="I1294" s="18" t="s">
        <v>1328</v>
      </c>
      <c r="J1294" s="18" t="s">
        <v>1337</v>
      </c>
      <c r="K1294" s="18" t="s">
        <v>1338</v>
      </c>
      <c r="L1294">
        <v>2000</v>
      </c>
      <c r="M1294" t="s">
        <v>1327</v>
      </c>
      <c r="O1294">
        <v>2005</v>
      </c>
      <c r="P1294">
        <v>2005</v>
      </c>
      <c r="Q1294" t="s">
        <v>1329</v>
      </c>
      <c r="R1294">
        <v>10</v>
      </c>
      <c r="T1294" t="s">
        <v>1330</v>
      </c>
      <c r="U1294" t="s">
        <v>1340</v>
      </c>
      <c r="V1294" s="9" t="s">
        <v>1339</v>
      </c>
      <c r="W1294">
        <v>17.5</v>
      </c>
      <c r="X1294" s="9" t="s">
        <v>1333</v>
      </c>
      <c r="Z1294">
        <v>0</v>
      </c>
      <c r="AD1294" t="s">
        <v>1165</v>
      </c>
      <c r="AF1294" t="s">
        <v>1165</v>
      </c>
      <c r="AI1294" t="s">
        <v>1165</v>
      </c>
      <c r="AJ1294" s="15" t="s">
        <v>1148</v>
      </c>
      <c r="AK1294" s="15">
        <v>0</v>
      </c>
      <c r="AP1294" s="15">
        <v>28</v>
      </c>
      <c r="AQ1294" s="14" t="s">
        <v>1336</v>
      </c>
      <c r="AR1294" s="15" t="s">
        <v>1335</v>
      </c>
      <c r="AS1294" t="s">
        <v>3001</v>
      </c>
    </row>
    <row r="1295" spans="1:45" x14ac:dyDescent="0.2">
      <c r="A1295" t="s">
        <v>1326</v>
      </c>
      <c r="B1295" s="15" t="s">
        <v>1146</v>
      </c>
      <c r="C1295" s="15" t="s">
        <v>1149</v>
      </c>
      <c r="D1295" t="s">
        <v>1344</v>
      </c>
      <c r="E1295" t="s">
        <v>1345</v>
      </c>
      <c r="G1295" s="15" t="s">
        <v>1165</v>
      </c>
      <c r="H1295" s="14" t="s">
        <v>1165</v>
      </c>
      <c r="I1295" s="18" t="s">
        <v>1328</v>
      </c>
      <c r="J1295" s="18" t="s">
        <v>1337</v>
      </c>
      <c r="K1295" s="18" t="s">
        <v>1338</v>
      </c>
      <c r="L1295">
        <v>2000</v>
      </c>
      <c r="M1295" t="s">
        <v>1327</v>
      </c>
      <c r="O1295">
        <v>2005</v>
      </c>
      <c r="P1295">
        <v>2005</v>
      </c>
      <c r="Q1295" t="s">
        <v>1329</v>
      </c>
      <c r="R1295">
        <v>10</v>
      </c>
      <c r="T1295" t="s">
        <v>1330</v>
      </c>
      <c r="U1295" t="s">
        <v>1340</v>
      </c>
      <c r="V1295" s="9" t="s">
        <v>1339</v>
      </c>
      <c r="W1295">
        <v>17.5</v>
      </c>
      <c r="X1295" s="9" t="s">
        <v>1264</v>
      </c>
      <c r="Z1295">
        <v>0</v>
      </c>
      <c r="AD1295" t="s">
        <v>1165</v>
      </c>
      <c r="AF1295" t="s">
        <v>1165</v>
      </c>
      <c r="AI1295" t="s">
        <v>1165</v>
      </c>
      <c r="AJ1295" s="15" t="s">
        <v>1148</v>
      </c>
      <c r="AK1295" s="15">
        <v>0</v>
      </c>
      <c r="AP1295" s="15">
        <v>28</v>
      </c>
      <c r="AQ1295" s="14" t="s">
        <v>1336</v>
      </c>
      <c r="AR1295" s="15" t="s">
        <v>1335</v>
      </c>
      <c r="AS1295" t="s">
        <v>3001</v>
      </c>
    </row>
    <row r="1296" spans="1:45" x14ac:dyDescent="0.2">
      <c r="A1296" t="s">
        <v>1326</v>
      </c>
      <c r="B1296" s="15" t="s">
        <v>1146</v>
      </c>
      <c r="C1296" s="15" t="s">
        <v>1149</v>
      </c>
      <c r="D1296" t="s">
        <v>1344</v>
      </c>
      <c r="E1296" t="s">
        <v>1345</v>
      </c>
      <c r="G1296" s="15" t="s">
        <v>1165</v>
      </c>
      <c r="H1296" s="14" t="s">
        <v>1165</v>
      </c>
      <c r="I1296" s="18" t="s">
        <v>1328</v>
      </c>
      <c r="J1296" s="18" t="s">
        <v>1337</v>
      </c>
      <c r="K1296" s="18" t="s">
        <v>1338</v>
      </c>
      <c r="L1296">
        <v>2000</v>
      </c>
      <c r="M1296" t="s">
        <v>1327</v>
      </c>
      <c r="O1296">
        <v>2005</v>
      </c>
      <c r="P1296">
        <v>2005</v>
      </c>
      <c r="Q1296" t="s">
        <v>1329</v>
      </c>
      <c r="R1296">
        <v>10</v>
      </c>
      <c r="T1296" t="s">
        <v>1330</v>
      </c>
      <c r="U1296" t="s">
        <v>1340</v>
      </c>
      <c r="V1296" s="9" t="s">
        <v>1339</v>
      </c>
      <c r="W1296">
        <v>17.5</v>
      </c>
      <c r="X1296" s="9" t="s">
        <v>1261</v>
      </c>
      <c r="Z1296">
        <v>0</v>
      </c>
      <c r="AD1296" t="s">
        <v>1165</v>
      </c>
      <c r="AF1296" t="s">
        <v>1165</v>
      </c>
      <c r="AI1296" t="s">
        <v>1165</v>
      </c>
      <c r="AJ1296" s="15" t="s">
        <v>1148</v>
      </c>
      <c r="AK1296" s="15">
        <v>0</v>
      </c>
      <c r="AP1296" s="15">
        <v>28</v>
      </c>
      <c r="AQ1296" s="14" t="s">
        <v>1336</v>
      </c>
      <c r="AR1296" s="15" t="s">
        <v>1335</v>
      </c>
      <c r="AS1296" t="s">
        <v>3001</v>
      </c>
    </row>
    <row r="1297" spans="1:45" x14ac:dyDescent="0.2">
      <c r="A1297" t="s">
        <v>1326</v>
      </c>
      <c r="B1297" s="15" t="s">
        <v>1146</v>
      </c>
      <c r="C1297" s="15" t="s">
        <v>1149</v>
      </c>
      <c r="D1297" t="s">
        <v>1344</v>
      </c>
      <c r="E1297" t="s">
        <v>1345</v>
      </c>
      <c r="G1297" s="15" t="s">
        <v>1165</v>
      </c>
      <c r="H1297" s="14" t="s">
        <v>1165</v>
      </c>
      <c r="I1297" s="18" t="s">
        <v>1328</v>
      </c>
      <c r="J1297" s="18" t="s">
        <v>1337</v>
      </c>
      <c r="K1297" s="18" t="s">
        <v>1338</v>
      </c>
      <c r="L1297">
        <v>2000</v>
      </c>
      <c r="M1297" t="s">
        <v>1327</v>
      </c>
      <c r="O1297">
        <v>2005</v>
      </c>
      <c r="P1297">
        <v>2005</v>
      </c>
      <c r="Q1297" t="s">
        <v>1329</v>
      </c>
      <c r="R1297">
        <v>10</v>
      </c>
      <c r="T1297" t="s">
        <v>1330</v>
      </c>
      <c r="U1297" t="s">
        <v>1340</v>
      </c>
      <c r="V1297" s="9" t="s">
        <v>1339</v>
      </c>
      <c r="W1297">
        <v>17.5</v>
      </c>
      <c r="X1297" s="9" t="s">
        <v>1334</v>
      </c>
      <c r="Z1297">
        <v>0</v>
      </c>
      <c r="AD1297" t="s">
        <v>1165</v>
      </c>
      <c r="AF1297" t="s">
        <v>1165</v>
      </c>
      <c r="AI1297" t="s">
        <v>1165</v>
      </c>
      <c r="AJ1297" s="15" t="s">
        <v>1148</v>
      </c>
      <c r="AK1297" s="15">
        <v>0</v>
      </c>
      <c r="AP1297" s="15">
        <v>28</v>
      </c>
      <c r="AQ1297" s="14" t="s">
        <v>1336</v>
      </c>
      <c r="AR1297" s="15" t="s">
        <v>1335</v>
      </c>
      <c r="AS1297" t="s">
        <v>3001</v>
      </c>
    </row>
    <row r="1298" spans="1:45" x14ac:dyDescent="0.2">
      <c r="A1298" t="s">
        <v>1326</v>
      </c>
      <c r="B1298" s="15" t="s">
        <v>1146</v>
      </c>
      <c r="C1298" s="15" t="s">
        <v>1149</v>
      </c>
      <c r="D1298" t="s">
        <v>1344</v>
      </c>
      <c r="E1298" t="s">
        <v>1345</v>
      </c>
      <c r="G1298" s="15" t="s">
        <v>1165</v>
      </c>
      <c r="H1298" s="14" t="s">
        <v>1165</v>
      </c>
      <c r="I1298" s="18" t="s">
        <v>1328</v>
      </c>
      <c r="J1298" s="18" t="s">
        <v>1337</v>
      </c>
      <c r="K1298" s="18" t="s">
        <v>1338</v>
      </c>
      <c r="L1298">
        <v>2000</v>
      </c>
      <c r="M1298" t="s">
        <v>1327</v>
      </c>
      <c r="O1298">
        <v>2005</v>
      </c>
      <c r="P1298">
        <v>2005</v>
      </c>
      <c r="Q1298" t="s">
        <v>1329</v>
      </c>
      <c r="R1298">
        <v>10</v>
      </c>
      <c r="T1298" t="s">
        <v>1330</v>
      </c>
      <c r="U1298" t="s">
        <v>1340</v>
      </c>
      <c r="V1298" s="9" t="s">
        <v>1339</v>
      </c>
      <c r="W1298">
        <v>35</v>
      </c>
      <c r="X1298" s="9" t="s">
        <v>1333</v>
      </c>
      <c r="Z1298">
        <v>12</v>
      </c>
      <c r="AD1298" t="s">
        <v>1165</v>
      </c>
      <c r="AF1298" t="s">
        <v>1165</v>
      </c>
      <c r="AI1298" t="s">
        <v>1165</v>
      </c>
      <c r="AJ1298" s="15" t="s">
        <v>1148</v>
      </c>
      <c r="AK1298" s="15">
        <v>13.590999999999999</v>
      </c>
      <c r="AP1298" s="15">
        <v>28</v>
      </c>
      <c r="AQ1298" s="14" t="s">
        <v>1336</v>
      </c>
      <c r="AR1298" s="15" t="s">
        <v>1335</v>
      </c>
      <c r="AS1298" t="s">
        <v>3001</v>
      </c>
    </row>
    <row r="1299" spans="1:45" x14ac:dyDescent="0.2">
      <c r="A1299" t="s">
        <v>1326</v>
      </c>
      <c r="B1299" s="15" t="s">
        <v>1146</v>
      </c>
      <c r="C1299" s="15" t="s">
        <v>1149</v>
      </c>
      <c r="D1299" t="s">
        <v>1344</v>
      </c>
      <c r="E1299" t="s">
        <v>1345</v>
      </c>
      <c r="G1299" s="15" t="s">
        <v>1165</v>
      </c>
      <c r="H1299" s="14" t="s">
        <v>1165</v>
      </c>
      <c r="I1299" s="18" t="s">
        <v>1328</v>
      </c>
      <c r="J1299" s="18" t="s">
        <v>1337</v>
      </c>
      <c r="K1299" s="18" t="s">
        <v>1338</v>
      </c>
      <c r="L1299">
        <v>2000</v>
      </c>
      <c r="M1299" t="s">
        <v>1327</v>
      </c>
      <c r="O1299">
        <v>2005</v>
      </c>
      <c r="P1299">
        <v>2005</v>
      </c>
      <c r="Q1299" t="s">
        <v>1329</v>
      </c>
      <c r="R1299">
        <v>10</v>
      </c>
      <c r="T1299" t="s">
        <v>1330</v>
      </c>
      <c r="U1299" t="s">
        <v>1340</v>
      </c>
      <c r="V1299" s="9" t="s">
        <v>1339</v>
      </c>
      <c r="W1299">
        <v>35</v>
      </c>
      <c r="X1299" s="9" t="s">
        <v>1264</v>
      </c>
      <c r="Z1299">
        <v>12</v>
      </c>
      <c r="AD1299" t="s">
        <v>1165</v>
      </c>
      <c r="AF1299" t="s">
        <v>1165</v>
      </c>
      <c r="AI1299" t="s">
        <v>1165</v>
      </c>
      <c r="AJ1299" s="15" t="s">
        <v>1148</v>
      </c>
      <c r="AK1299" s="15">
        <v>34.225999999999999</v>
      </c>
      <c r="AP1299" s="15">
        <v>28</v>
      </c>
      <c r="AQ1299" s="14" t="s">
        <v>1336</v>
      </c>
      <c r="AR1299" s="15" t="s">
        <v>1335</v>
      </c>
      <c r="AS1299" t="s">
        <v>3001</v>
      </c>
    </row>
    <row r="1300" spans="1:45" x14ac:dyDescent="0.2">
      <c r="A1300" t="s">
        <v>1326</v>
      </c>
      <c r="B1300" s="15" t="s">
        <v>1146</v>
      </c>
      <c r="C1300" s="15" t="s">
        <v>1149</v>
      </c>
      <c r="D1300" t="s">
        <v>1344</v>
      </c>
      <c r="E1300" t="s">
        <v>1345</v>
      </c>
      <c r="G1300" s="15" t="s">
        <v>1165</v>
      </c>
      <c r="H1300" s="14" t="s">
        <v>1165</v>
      </c>
      <c r="I1300" s="18" t="s">
        <v>1328</v>
      </c>
      <c r="J1300" s="18" t="s">
        <v>1337</v>
      </c>
      <c r="K1300" s="18" t="s">
        <v>1338</v>
      </c>
      <c r="L1300">
        <v>2000</v>
      </c>
      <c r="M1300" t="s">
        <v>1327</v>
      </c>
      <c r="O1300">
        <v>2005</v>
      </c>
      <c r="P1300">
        <v>2005</v>
      </c>
      <c r="Q1300" t="s">
        <v>1329</v>
      </c>
      <c r="R1300">
        <v>10</v>
      </c>
      <c r="T1300" t="s">
        <v>1330</v>
      </c>
      <c r="U1300" t="s">
        <v>1340</v>
      </c>
      <c r="V1300" s="9" t="s">
        <v>1339</v>
      </c>
      <c r="W1300">
        <v>35</v>
      </c>
      <c r="X1300" s="9" t="s">
        <v>1261</v>
      </c>
      <c r="Z1300">
        <v>12</v>
      </c>
      <c r="AD1300" t="s">
        <v>1165</v>
      </c>
      <c r="AF1300" t="s">
        <v>1165</v>
      </c>
      <c r="AI1300" t="s">
        <v>1165</v>
      </c>
      <c r="AJ1300" s="15" t="s">
        <v>1148</v>
      </c>
      <c r="AK1300" s="15">
        <v>50.098999999999997</v>
      </c>
      <c r="AP1300" s="15">
        <v>28</v>
      </c>
      <c r="AQ1300" s="14" t="s">
        <v>1336</v>
      </c>
      <c r="AR1300" s="15" t="s">
        <v>1335</v>
      </c>
      <c r="AS1300" t="s">
        <v>3001</v>
      </c>
    </row>
    <row r="1301" spans="1:45" x14ac:dyDescent="0.2">
      <c r="A1301" t="s">
        <v>1326</v>
      </c>
      <c r="B1301" s="15" t="s">
        <v>1146</v>
      </c>
      <c r="C1301" s="15" t="s">
        <v>1149</v>
      </c>
      <c r="D1301" t="s">
        <v>1344</v>
      </c>
      <c r="E1301" t="s">
        <v>1345</v>
      </c>
      <c r="G1301" s="15" t="s">
        <v>1165</v>
      </c>
      <c r="H1301" s="14" t="s">
        <v>1165</v>
      </c>
      <c r="I1301" s="18" t="s">
        <v>1328</v>
      </c>
      <c r="J1301" s="18" t="s">
        <v>1337</v>
      </c>
      <c r="K1301" s="18" t="s">
        <v>1338</v>
      </c>
      <c r="L1301">
        <v>2000</v>
      </c>
      <c r="M1301" t="s">
        <v>1327</v>
      </c>
      <c r="O1301">
        <v>2005</v>
      </c>
      <c r="P1301">
        <v>2005</v>
      </c>
      <c r="Q1301" t="s">
        <v>1329</v>
      </c>
      <c r="R1301">
        <v>10</v>
      </c>
      <c r="T1301" t="s">
        <v>1330</v>
      </c>
      <c r="U1301" t="s">
        <v>1340</v>
      </c>
      <c r="V1301" s="9" t="s">
        <v>1339</v>
      </c>
      <c r="W1301">
        <v>35</v>
      </c>
      <c r="X1301" s="9" t="s">
        <v>1334</v>
      </c>
      <c r="Z1301">
        <v>12</v>
      </c>
      <c r="AD1301" t="s">
        <v>1165</v>
      </c>
      <c r="AF1301" t="s">
        <v>1165</v>
      </c>
      <c r="AI1301" t="s">
        <v>1165</v>
      </c>
      <c r="AJ1301" s="15" t="s">
        <v>1148</v>
      </c>
      <c r="AK1301" s="4">
        <v>15.972</v>
      </c>
      <c r="AP1301" s="15">
        <v>28</v>
      </c>
      <c r="AQ1301" s="14" t="s">
        <v>1336</v>
      </c>
      <c r="AR1301" s="15" t="s">
        <v>1335</v>
      </c>
      <c r="AS1301" t="s">
        <v>3001</v>
      </c>
    </row>
    <row r="1302" spans="1:45" x14ac:dyDescent="0.2">
      <c r="A1302" t="s">
        <v>1326</v>
      </c>
      <c r="B1302" s="15" t="s">
        <v>1146</v>
      </c>
      <c r="C1302" s="15" t="s">
        <v>1149</v>
      </c>
      <c r="D1302" t="s">
        <v>1344</v>
      </c>
      <c r="E1302" t="s">
        <v>1345</v>
      </c>
      <c r="G1302" s="15" t="s">
        <v>1165</v>
      </c>
      <c r="H1302" s="14" t="s">
        <v>1165</v>
      </c>
      <c r="I1302" s="18" t="s">
        <v>1328</v>
      </c>
      <c r="J1302" s="18" t="s">
        <v>1337</v>
      </c>
      <c r="K1302" s="18" t="s">
        <v>1338</v>
      </c>
      <c r="L1302">
        <v>2000</v>
      </c>
      <c r="M1302" t="s">
        <v>1327</v>
      </c>
      <c r="O1302">
        <v>2005</v>
      </c>
      <c r="P1302">
        <v>2005</v>
      </c>
      <c r="Q1302" t="s">
        <v>1329</v>
      </c>
      <c r="R1302">
        <v>10</v>
      </c>
      <c r="T1302" t="s">
        <v>1330</v>
      </c>
      <c r="U1302" t="s">
        <v>1340</v>
      </c>
      <c r="V1302" s="9" t="s">
        <v>1339</v>
      </c>
      <c r="W1302">
        <v>35</v>
      </c>
      <c r="X1302" s="9" t="s">
        <v>1333</v>
      </c>
      <c r="Z1302">
        <v>0</v>
      </c>
      <c r="AD1302" t="s">
        <v>1165</v>
      </c>
      <c r="AF1302" t="s">
        <v>1165</v>
      </c>
      <c r="AI1302" t="s">
        <v>1165</v>
      </c>
      <c r="AJ1302" s="15" t="s">
        <v>1148</v>
      </c>
      <c r="AK1302" s="15">
        <v>0</v>
      </c>
      <c r="AP1302" s="15">
        <v>28</v>
      </c>
      <c r="AQ1302" s="14" t="s">
        <v>1336</v>
      </c>
      <c r="AR1302" s="15" t="s">
        <v>1335</v>
      </c>
      <c r="AS1302" t="s">
        <v>3001</v>
      </c>
    </row>
    <row r="1303" spans="1:45" x14ac:dyDescent="0.2">
      <c r="A1303" t="s">
        <v>1326</v>
      </c>
      <c r="B1303" s="15" t="s">
        <v>1146</v>
      </c>
      <c r="C1303" s="15" t="s">
        <v>1149</v>
      </c>
      <c r="D1303" t="s">
        <v>1344</v>
      </c>
      <c r="E1303" t="s">
        <v>1345</v>
      </c>
      <c r="G1303" s="15" t="s">
        <v>1165</v>
      </c>
      <c r="H1303" s="14" t="s">
        <v>1165</v>
      </c>
      <c r="I1303" s="18" t="s">
        <v>1328</v>
      </c>
      <c r="J1303" s="18" t="s">
        <v>1337</v>
      </c>
      <c r="K1303" s="18" t="s">
        <v>1338</v>
      </c>
      <c r="L1303">
        <v>2000</v>
      </c>
      <c r="M1303" t="s">
        <v>1327</v>
      </c>
      <c r="O1303">
        <v>2005</v>
      </c>
      <c r="P1303">
        <v>2005</v>
      </c>
      <c r="Q1303" t="s">
        <v>1329</v>
      </c>
      <c r="R1303">
        <v>10</v>
      </c>
      <c r="T1303" t="s">
        <v>1330</v>
      </c>
      <c r="U1303" t="s">
        <v>1340</v>
      </c>
      <c r="V1303" s="9" t="s">
        <v>1339</v>
      </c>
      <c r="W1303">
        <v>35</v>
      </c>
      <c r="X1303" s="9" t="s">
        <v>1264</v>
      </c>
      <c r="Z1303">
        <v>0</v>
      </c>
      <c r="AD1303" t="s">
        <v>1165</v>
      </c>
      <c r="AF1303" t="s">
        <v>1165</v>
      </c>
      <c r="AI1303" t="s">
        <v>1165</v>
      </c>
      <c r="AJ1303" s="15" t="s">
        <v>1148</v>
      </c>
      <c r="AK1303" s="15">
        <v>0</v>
      </c>
      <c r="AP1303" s="15">
        <v>28</v>
      </c>
      <c r="AQ1303" s="14" t="s">
        <v>1336</v>
      </c>
      <c r="AR1303" s="15" t="s">
        <v>1335</v>
      </c>
      <c r="AS1303" t="s">
        <v>3001</v>
      </c>
    </row>
    <row r="1304" spans="1:45" x14ac:dyDescent="0.2">
      <c r="A1304" t="s">
        <v>1326</v>
      </c>
      <c r="B1304" s="15" t="s">
        <v>1146</v>
      </c>
      <c r="C1304" s="15" t="s">
        <v>1149</v>
      </c>
      <c r="D1304" t="s">
        <v>1344</v>
      </c>
      <c r="E1304" t="s">
        <v>1345</v>
      </c>
      <c r="G1304" s="15" t="s">
        <v>1165</v>
      </c>
      <c r="H1304" s="14" t="s">
        <v>1165</v>
      </c>
      <c r="I1304" s="18" t="s">
        <v>1328</v>
      </c>
      <c r="J1304" s="18" t="s">
        <v>1337</v>
      </c>
      <c r="K1304" s="18" t="s">
        <v>1338</v>
      </c>
      <c r="L1304">
        <v>2000</v>
      </c>
      <c r="M1304" t="s">
        <v>1327</v>
      </c>
      <c r="O1304">
        <v>2005</v>
      </c>
      <c r="P1304">
        <v>2005</v>
      </c>
      <c r="Q1304" t="s">
        <v>1329</v>
      </c>
      <c r="R1304">
        <v>10</v>
      </c>
      <c r="T1304" t="s">
        <v>1330</v>
      </c>
      <c r="U1304" t="s">
        <v>1340</v>
      </c>
      <c r="V1304" s="9" t="s">
        <v>1339</v>
      </c>
      <c r="W1304">
        <v>35</v>
      </c>
      <c r="X1304" s="9" t="s">
        <v>1261</v>
      </c>
      <c r="Z1304">
        <v>0</v>
      </c>
      <c r="AD1304" t="s">
        <v>1165</v>
      </c>
      <c r="AF1304" t="s">
        <v>1165</v>
      </c>
      <c r="AI1304" t="s">
        <v>1165</v>
      </c>
      <c r="AJ1304" s="15" t="s">
        <v>1148</v>
      </c>
      <c r="AK1304" s="15">
        <v>0</v>
      </c>
      <c r="AP1304" s="15">
        <v>28</v>
      </c>
      <c r="AQ1304" s="14" t="s">
        <v>1336</v>
      </c>
      <c r="AR1304" s="15" t="s">
        <v>1335</v>
      </c>
      <c r="AS1304" t="s">
        <v>3001</v>
      </c>
    </row>
    <row r="1305" spans="1:45" x14ac:dyDescent="0.2">
      <c r="A1305" t="s">
        <v>1326</v>
      </c>
      <c r="B1305" s="15" t="s">
        <v>1146</v>
      </c>
      <c r="C1305" s="15" t="s">
        <v>1149</v>
      </c>
      <c r="D1305" t="s">
        <v>1344</v>
      </c>
      <c r="E1305" t="s">
        <v>1345</v>
      </c>
      <c r="G1305" s="15" t="s">
        <v>1165</v>
      </c>
      <c r="H1305" s="14" t="s">
        <v>1165</v>
      </c>
      <c r="I1305" s="18" t="s">
        <v>1328</v>
      </c>
      <c r="J1305" s="18" t="s">
        <v>1337</v>
      </c>
      <c r="K1305" s="18" t="s">
        <v>1338</v>
      </c>
      <c r="L1305">
        <v>2000</v>
      </c>
      <c r="M1305" t="s">
        <v>1327</v>
      </c>
      <c r="O1305">
        <v>2005</v>
      </c>
      <c r="P1305">
        <v>2005</v>
      </c>
      <c r="Q1305" t="s">
        <v>1329</v>
      </c>
      <c r="R1305">
        <v>10</v>
      </c>
      <c r="T1305" t="s">
        <v>1330</v>
      </c>
      <c r="U1305" t="s">
        <v>1340</v>
      </c>
      <c r="V1305" s="9" t="s">
        <v>1339</v>
      </c>
      <c r="W1305">
        <v>35</v>
      </c>
      <c r="X1305" s="9" t="s">
        <v>1334</v>
      </c>
      <c r="Z1305">
        <v>0</v>
      </c>
      <c r="AD1305" t="s">
        <v>1165</v>
      </c>
      <c r="AF1305" t="s">
        <v>1165</v>
      </c>
      <c r="AI1305" t="s">
        <v>1165</v>
      </c>
      <c r="AJ1305" s="15" t="s">
        <v>1148</v>
      </c>
      <c r="AK1305" s="15">
        <v>0</v>
      </c>
      <c r="AP1305" s="15">
        <v>28</v>
      </c>
      <c r="AQ1305" s="14" t="s">
        <v>1336</v>
      </c>
      <c r="AR1305" s="15" t="s">
        <v>1335</v>
      </c>
      <c r="AS1305" t="s">
        <v>3001</v>
      </c>
    </row>
    <row r="1306" spans="1:45" x14ac:dyDescent="0.2">
      <c r="A1306" t="s">
        <v>1326</v>
      </c>
      <c r="B1306" s="15" t="s">
        <v>1146</v>
      </c>
      <c r="C1306" s="15" t="s">
        <v>1149</v>
      </c>
      <c r="D1306" t="s">
        <v>1344</v>
      </c>
      <c r="E1306" t="s">
        <v>1345</v>
      </c>
      <c r="G1306" s="15" t="s">
        <v>1165</v>
      </c>
      <c r="H1306" s="14" t="s">
        <v>1165</v>
      </c>
      <c r="I1306" s="18" t="s">
        <v>1328</v>
      </c>
      <c r="J1306" s="18" t="s">
        <v>1337</v>
      </c>
      <c r="K1306" s="18" t="s">
        <v>1338</v>
      </c>
      <c r="L1306">
        <v>2000</v>
      </c>
      <c r="M1306" t="s">
        <v>1327</v>
      </c>
      <c r="O1306">
        <v>2005</v>
      </c>
      <c r="P1306">
        <v>2005</v>
      </c>
      <c r="Q1306" t="s">
        <v>1329</v>
      </c>
      <c r="R1306">
        <v>10</v>
      </c>
      <c r="T1306" t="s">
        <v>1330</v>
      </c>
      <c r="U1306" t="s">
        <v>1340</v>
      </c>
      <c r="V1306" s="9" t="s">
        <v>1339</v>
      </c>
      <c r="W1306">
        <v>70</v>
      </c>
      <c r="X1306" s="9" t="s">
        <v>1333</v>
      </c>
      <c r="Z1306">
        <v>12</v>
      </c>
      <c r="AD1306" t="s">
        <v>1165</v>
      </c>
      <c r="AF1306" t="s">
        <v>1165</v>
      </c>
      <c r="AI1306" t="s">
        <v>1165</v>
      </c>
      <c r="AJ1306" s="15" t="s">
        <v>1148</v>
      </c>
      <c r="AK1306" s="15">
        <v>14.881</v>
      </c>
      <c r="AP1306" s="15">
        <v>28</v>
      </c>
      <c r="AQ1306" s="14" t="s">
        <v>1336</v>
      </c>
      <c r="AR1306" s="15" t="s">
        <v>1335</v>
      </c>
      <c r="AS1306" t="s">
        <v>3001</v>
      </c>
    </row>
    <row r="1307" spans="1:45" x14ac:dyDescent="0.2">
      <c r="A1307" t="s">
        <v>1326</v>
      </c>
      <c r="B1307" s="15" t="s">
        <v>1146</v>
      </c>
      <c r="C1307" s="15" t="s">
        <v>1149</v>
      </c>
      <c r="D1307" t="s">
        <v>1344</v>
      </c>
      <c r="E1307" t="s">
        <v>1345</v>
      </c>
      <c r="G1307" s="15" t="s">
        <v>1165</v>
      </c>
      <c r="H1307" s="14" t="s">
        <v>1165</v>
      </c>
      <c r="I1307" s="18" t="s">
        <v>1328</v>
      </c>
      <c r="J1307" s="18" t="s">
        <v>1337</v>
      </c>
      <c r="K1307" s="18" t="s">
        <v>1338</v>
      </c>
      <c r="L1307">
        <v>2000</v>
      </c>
      <c r="M1307" t="s">
        <v>1327</v>
      </c>
      <c r="O1307">
        <v>2005</v>
      </c>
      <c r="P1307">
        <v>2005</v>
      </c>
      <c r="Q1307" t="s">
        <v>1329</v>
      </c>
      <c r="R1307">
        <v>10</v>
      </c>
      <c r="T1307" t="s">
        <v>1330</v>
      </c>
      <c r="U1307" t="s">
        <v>1340</v>
      </c>
      <c r="V1307" s="9" t="s">
        <v>1339</v>
      </c>
      <c r="W1307">
        <v>70</v>
      </c>
      <c r="X1307" s="9" t="s">
        <v>1264</v>
      </c>
      <c r="Z1307">
        <v>12</v>
      </c>
      <c r="AD1307" t="s">
        <v>1165</v>
      </c>
      <c r="AF1307" t="s">
        <v>1165</v>
      </c>
      <c r="AI1307" t="s">
        <v>1165</v>
      </c>
      <c r="AJ1307" s="15" t="s">
        <v>1148</v>
      </c>
      <c r="AK1307" s="15">
        <v>53.274000000000001</v>
      </c>
      <c r="AP1307" s="15">
        <v>28</v>
      </c>
      <c r="AQ1307" s="14" t="s">
        <v>1336</v>
      </c>
      <c r="AR1307" s="15" t="s">
        <v>1335</v>
      </c>
      <c r="AS1307" t="s">
        <v>3001</v>
      </c>
    </row>
    <row r="1308" spans="1:45" x14ac:dyDescent="0.2">
      <c r="A1308" t="s">
        <v>1326</v>
      </c>
      <c r="B1308" s="15" t="s">
        <v>1146</v>
      </c>
      <c r="C1308" s="15" t="s">
        <v>1149</v>
      </c>
      <c r="D1308" t="s">
        <v>1344</v>
      </c>
      <c r="E1308" t="s">
        <v>1345</v>
      </c>
      <c r="G1308" s="15" t="s">
        <v>1165</v>
      </c>
      <c r="H1308" s="14" t="s">
        <v>1165</v>
      </c>
      <c r="I1308" s="18" t="s">
        <v>1328</v>
      </c>
      <c r="J1308" s="18" t="s">
        <v>1337</v>
      </c>
      <c r="K1308" s="18" t="s">
        <v>1338</v>
      </c>
      <c r="L1308">
        <v>2000</v>
      </c>
      <c r="M1308" t="s">
        <v>1327</v>
      </c>
      <c r="O1308">
        <v>2005</v>
      </c>
      <c r="P1308">
        <v>2005</v>
      </c>
      <c r="Q1308" t="s">
        <v>1329</v>
      </c>
      <c r="R1308">
        <v>10</v>
      </c>
      <c r="T1308" t="s">
        <v>1330</v>
      </c>
      <c r="U1308" t="s">
        <v>1340</v>
      </c>
      <c r="V1308" s="9" t="s">
        <v>1339</v>
      </c>
      <c r="W1308">
        <v>70</v>
      </c>
      <c r="X1308" s="9" t="s">
        <v>1261</v>
      </c>
      <c r="Z1308">
        <v>12</v>
      </c>
      <c r="AD1308" t="s">
        <v>1165</v>
      </c>
      <c r="AF1308" t="s">
        <v>1165</v>
      </c>
      <c r="AI1308" t="s">
        <v>1165</v>
      </c>
      <c r="AJ1308" s="15" t="s">
        <v>1148</v>
      </c>
      <c r="AK1308" s="15">
        <v>77.876999999999995</v>
      </c>
      <c r="AP1308" s="15">
        <v>28</v>
      </c>
      <c r="AQ1308" s="14" t="s">
        <v>1336</v>
      </c>
      <c r="AR1308" s="15" t="s">
        <v>1335</v>
      </c>
      <c r="AS1308" t="s">
        <v>3001</v>
      </c>
    </row>
    <row r="1309" spans="1:45" x14ac:dyDescent="0.2">
      <c r="A1309" t="s">
        <v>1326</v>
      </c>
      <c r="B1309" s="15" t="s">
        <v>1146</v>
      </c>
      <c r="C1309" s="15" t="s">
        <v>1149</v>
      </c>
      <c r="D1309" t="s">
        <v>1344</v>
      </c>
      <c r="E1309" t="s">
        <v>1345</v>
      </c>
      <c r="G1309" s="15" t="s">
        <v>1165</v>
      </c>
      <c r="H1309" s="14" t="s">
        <v>1165</v>
      </c>
      <c r="I1309" s="18" t="s">
        <v>1328</v>
      </c>
      <c r="J1309" s="18" t="s">
        <v>1337</v>
      </c>
      <c r="K1309" s="18" t="s">
        <v>1338</v>
      </c>
      <c r="L1309">
        <v>2000</v>
      </c>
      <c r="M1309" t="s">
        <v>1327</v>
      </c>
      <c r="O1309">
        <v>2005</v>
      </c>
      <c r="P1309">
        <v>2005</v>
      </c>
      <c r="Q1309" t="s">
        <v>1329</v>
      </c>
      <c r="R1309">
        <v>10</v>
      </c>
      <c r="T1309" t="s">
        <v>1330</v>
      </c>
      <c r="U1309" t="s">
        <v>1340</v>
      </c>
      <c r="V1309" s="9" t="s">
        <v>1339</v>
      </c>
      <c r="W1309">
        <v>70</v>
      </c>
      <c r="X1309" s="9" t="s">
        <v>1334</v>
      </c>
      <c r="Z1309">
        <v>12</v>
      </c>
      <c r="AD1309" t="s">
        <v>1165</v>
      </c>
      <c r="AF1309" t="s">
        <v>1165</v>
      </c>
      <c r="AI1309" t="s">
        <v>1165</v>
      </c>
      <c r="AJ1309" s="15" t="s">
        <v>1148</v>
      </c>
      <c r="AK1309" s="15">
        <v>36.606999999999999</v>
      </c>
      <c r="AP1309" s="15">
        <v>28</v>
      </c>
      <c r="AQ1309" s="14" t="s">
        <v>1336</v>
      </c>
      <c r="AR1309" s="15" t="s">
        <v>1335</v>
      </c>
      <c r="AS1309" t="s">
        <v>3001</v>
      </c>
    </row>
    <row r="1310" spans="1:45" x14ac:dyDescent="0.2">
      <c r="A1310" t="s">
        <v>1326</v>
      </c>
      <c r="B1310" s="15" t="s">
        <v>1146</v>
      </c>
      <c r="C1310" s="15" t="s">
        <v>1149</v>
      </c>
      <c r="D1310" t="s">
        <v>1344</v>
      </c>
      <c r="E1310" t="s">
        <v>1345</v>
      </c>
      <c r="G1310" s="15" t="s">
        <v>1165</v>
      </c>
      <c r="H1310" s="14" t="s">
        <v>1165</v>
      </c>
      <c r="I1310" s="18" t="s">
        <v>1328</v>
      </c>
      <c r="J1310" s="18" t="s">
        <v>1337</v>
      </c>
      <c r="K1310" s="18" t="s">
        <v>1338</v>
      </c>
      <c r="L1310">
        <v>2000</v>
      </c>
      <c r="M1310" t="s">
        <v>1327</v>
      </c>
      <c r="O1310">
        <v>2005</v>
      </c>
      <c r="P1310">
        <v>2005</v>
      </c>
      <c r="Q1310" t="s">
        <v>1329</v>
      </c>
      <c r="R1310">
        <v>10</v>
      </c>
      <c r="T1310" t="s">
        <v>1330</v>
      </c>
      <c r="U1310" t="s">
        <v>1340</v>
      </c>
      <c r="V1310" s="9" t="s">
        <v>1339</v>
      </c>
      <c r="W1310">
        <v>70</v>
      </c>
      <c r="X1310" s="9" t="s">
        <v>1333</v>
      </c>
      <c r="Z1310">
        <v>0</v>
      </c>
      <c r="AD1310" t="s">
        <v>1165</v>
      </c>
      <c r="AF1310" t="s">
        <v>1165</v>
      </c>
      <c r="AI1310" t="s">
        <v>1165</v>
      </c>
      <c r="AJ1310" s="15" t="s">
        <v>1148</v>
      </c>
      <c r="AK1310" s="15">
        <v>4.0670000000000002</v>
      </c>
      <c r="AP1310" s="15">
        <v>28</v>
      </c>
      <c r="AQ1310" s="14" t="s">
        <v>1336</v>
      </c>
      <c r="AR1310" s="15" t="s">
        <v>1335</v>
      </c>
      <c r="AS1310" t="s">
        <v>3001</v>
      </c>
    </row>
    <row r="1311" spans="1:45" x14ac:dyDescent="0.2">
      <c r="A1311" t="s">
        <v>1326</v>
      </c>
      <c r="B1311" s="15" t="s">
        <v>1146</v>
      </c>
      <c r="C1311" s="15" t="s">
        <v>1149</v>
      </c>
      <c r="D1311" t="s">
        <v>1344</v>
      </c>
      <c r="E1311" t="s">
        <v>1345</v>
      </c>
      <c r="G1311" s="15" t="s">
        <v>1165</v>
      </c>
      <c r="H1311" s="14" t="s">
        <v>1165</v>
      </c>
      <c r="I1311" s="18" t="s">
        <v>1328</v>
      </c>
      <c r="J1311" s="18" t="s">
        <v>1337</v>
      </c>
      <c r="K1311" s="18" t="s">
        <v>1338</v>
      </c>
      <c r="L1311">
        <v>2000</v>
      </c>
      <c r="M1311" t="s">
        <v>1327</v>
      </c>
      <c r="O1311">
        <v>2005</v>
      </c>
      <c r="P1311">
        <v>2005</v>
      </c>
      <c r="Q1311" t="s">
        <v>1329</v>
      </c>
      <c r="R1311">
        <v>10</v>
      </c>
      <c r="T1311" t="s">
        <v>1330</v>
      </c>
      <c r="U1311" t="s">
        <v>1340</v>
      </c>
      <c r="V1311" s="9" t="s">
        <v>1339</v>
      </c>
      <c r="W1311">
        <v>70</v>
      </c>
      <c r="X1311" s="9" t="s">
        <v>1264</v>
      </c>
      <c r="Z1311">
        <v>0</v>
      </c>
      <c r="AD1311" t="s">
        <v>1165</v>
      </c>
      <c r="AF1311" t="s">
        <v>1165</v>
      </c>
      <c r="AI1311" t="s">
        <v>1165</v>
      </c>
      <c r="AJ1311" s="15" t="s">
        <v>1148</v>
      </c>
      <c r="AK1311" s="15">
        <v>0</v>
      </c>
      <c r="AP1311" s="15">
        <v>28</v>
      </c>
      <c r="AQ1311" s="14" t="s">
        <v>1336</v>
      </c>
      <c r="AR1311" s="15" t="s">
        <v>1335</v>
      </c>
      <c r="AS1311" t="s">
        <v>3001</v>
      </c>
    </row>
    <row r="1312" spans="1:45" x14ac:dyDescent="0.2">
      <c r="A1312" t="s">
        <v>1326</v>
      </c>
      <c r="B1312" s="15" t="s">
        <v>1146</v>
      </c>
      <c r="C1312" s="15" t="s">
        <v>1149</v>
      </c>
      <c r="D1312" t="s">
        <v>1344</v>
      </c>
      <c r="E1312" t="s">
        <v>1345</v>
      </c>
      <c r="G1312" s="15" t="s">
        <v>1165</v>
      </c>
      <c r="H1312" s="14" t="s">
        <v>1165</v>
      </c>
      <c r="I1312" s="18" t="s">
        <v>1328</v>
      </c>
      <c r="J1312" s="18" t="s">
        <v>1337</v>
      </c>
      <c r="K1312" s="18" t="s">
        <v>1338</v>
      </c>
      <c r="L1312">
        <v>2000</v>
      </c>
      <c r="M1312" t="s">
        <v>1327</v>
      </c>
      <c r="O1312">
        <v>2005</v>
      </c>
      <c r="P1312">
        <v>2005</v>
      </c>
      <c r="Q1312" t="s">
        <v>1329</v>
      </c>
      <c r="R1312">
        <v>10</v>
      </c>
      <c r="T1312" t="s">
        <v>1330</v>
      </c>
      <c r="U1312" t="s">
        <v>1340</v>
      </c>
      <c r="V1312" s="9" t="s">
        <v>1339</v>
      </c>
      <c r="W1312">
        <v>70</v>
      </c>
      <c r="X1312" s="9" t="s">
        <v>1261</v>
      </c>
      <c r="Z1312">
        <v>0</v>
      </c>
      <c r="AD1312" t="s">
        <v>1165</v>
      </c>
      <c r="AF1312" t="s">
        <v>1165</v>
      </c>
      <c r="AI1312" t="s">
        <v>1165</v>
      </c>
      <c r="AJ1312" s="15" t="s">
        <v>1148</v>
      </c>
      <c r="AK1312" s="15">
        <v>0</v>
      </c>
      <c r="AP1312" s="15">
        <v>28</v>
      </c>
      <c r="AQ1312" s="14" t="s">
        <v>1336</v>
      </c>
      <c r="AR1312" s="15" t="s">
        <v>1335</v>
      </c>
      <c r="AS1312" t="s">
        <v>3001</v>
      </c>
    </row>
    <row r="1313" spans="1:45" x14ac:dyDescent="0.2">
      <c r="A1313" t="s">
        <v>1326</v>
      </c>
      <c r="B1313" s="15" t="s">
        <v>1146</v>
      </c>
      <c r="C1313" s="15" t="s">
        <v>1149</v>
      </c>
      <c r="D1313" t="s">
        <v>1344</v>
      </c>
      <c r="E1313" t="s">
        <v>1345</v>
      </c>
      <c r="G1313" s="15" t="s">
        <v>1165</v>
      </c>
      <c r="H1313" s="14" t="s">
        <v>1165</v>
      </c>
      <c r="I1313" s="18" t="s">
        <v>1328</v>
      </c>
      <c r="J1313" s="18" t="s">
        <v>1337</v>
      </c>
      <c r="K1313" s="18" t="s">
        <v>1338</v>
      </c>
      <c r="L1313">
        <v>2000</v>
      </c>
      <c r="M1313" t="s">
        <v>1327</v>
      </c>
      <c r="O1313">
        <v>2005</v>
      </c>
      <c r="P1313">
        <v>2005</v>
      </c>
      <c r="Q1313" t="s">
        <v>1329</v>
      </c>
      <c r="R1313">
        <v>10</v>
      </c>
      <c r="T1313" t="s">
        <v>1330</v>
      </c>
      <c r="U1313" t="s">
        <v>1340</v>
      </c>
      <c r="V1313" s="9" t="s">
        <v>1339</v>
      </c>
      <c r="W1313">
        <v>70</v>
      </c>
      <c r="X1313" s="9" t="s">
        <v>1334</v>
      </c>
      <c r="Z1313">
        <v>0</v>
      </c>
      <c r="AD1313" t="s">
        <v>1165</v>
      </c>
      <c r="AF1313" t="s">
        <v>1165</v>
      </c>
      <c r="AI1313" t="s">
        <v>1165</v>
      </c>
      <c r="AJ1313" s="15" t="s">
        <v>1148</v>
      </c>
      <c r="AK1313" s="15">
        <v>0</v>
      </c>
      <c r="AP1313" s="15">
        <v>28</v>
      </c>
      <c r="AQ1313" s="14" t="s">
        <v>1336</v>
      </c>
      <c r="AR1313" s="15" t="s">
        <v>1335</v>
      </c>
      <c r="AS1313" t="s">
        <v>3001</v>
      </c>
    </row>
    <row r="1314" spans="1:45" x14ac:dyDescent="0.2">
      <c r="A1314" t="s">
        <v>1326</v>
      </c>
      <c r="B1314" s="15" t="s">
        <v>1146</v>
      </c>
      <c r="C1314" s="15" t="s">
        <v>1149</v>
      </c>
      <c r="D1314" t="s">
        <v>1344</v>
      </c>
      <c r="E1314" t="s">
        <v>1345</v>
      </c>
      <c r="G1314" s="15" t="s">
        <v>1165</v>
      </c>
      <c r="H1314" s="14" t="s">
        <v>1165</v>
      </c>
      <c r="I1314" s="18" t="s">
        <v>1328</v>
      </c>
      <c r="J1314" s="18" t="s">
        <v>1337</v>
      </c>
      <c r="K1314" s="18" t="s">
        <v>1338</v>
      </c>
      <c r="L1314">
        <v>2000</v>
      </c>
      <c r="M1314" t="s">
        <v>1327</v>
      </c>
      <c r="O1314">
        <v>2005</v>
      </c>
      <c r="P1314">
        <v>2005</v>
      </c>
      <c r="Q1314" t="s">
        <v>1329</v>
      </c>
      <c r="R1314">
        <v>10</v>
      </c>
      <c r="T1314" t="s">
        <v>1330</v>
      </c>
      <c r="U1314" t="s">
        <v>1340</v>
      </c>
      <c r="V1314" s="9" t="s">
        <v>1339</v>
      </c>
      <c r="W1314">
        <v>140</v>
      </c>
      <c r="X1314" s="9" t="s">
        <v>1333</v>
      </c>
      <c r="Z1314">
        <v>12</v>
      </c>
      <c r="AD1314" t="s">
        <v>1165</v>
      </c>
      <c r="AF1314" t="s">
        <v>1165</v>
      </c>
      <c r="AI1314" t="s">
        <v>1165</v>
      </c>
      <c r="AJ1314" s="15" t="s">
        <v>1148</v>
      </c>
      <c r="AK1314" s="15">
        <v>11.21</v>
      </c>
      <c r="AP1314" s="15">
        <v>28</v>
      </c>
      <c r="AQ1314" s="14" t="s">
        <v>1336</v>
      </c>
      <c r="AR1314" s="15" t="s">
        <v>1335</v>
      </c>
      <c r="AS1314" t="s">
        <v>3001</v>
      </c>
    </row>
    <row r="1315" spans="1:45" x14ac:dyDescent="0.2">
      <c r="A1315" t="s">
        <v>1326</v>
      </c>
      <c r="B1315" s="15" t="s">
        <v>1146</v>
      </c>
      <c r="C1315" s="15" t="s">
        <v>1149</v>
      </c>
      <c r="D1315" t="s">
        <v>1344</v>
      </c>
      <c r="E1315" t="s">
        <v>1345</v>
      </c>
      <c r="G1315" s="15" t="s">
        <v>1165</v>
      </c>
      <c r="H1315" s="14" t="s">
        <v>1165</v>
      </c>
      <c r="I1315" s="18" t="s">
        <v>1328</v>
      </c>
      <c r="J1315" s="18" t="s">
        <v>1337</v>
      </c>
      <c r="K1315" s="18" t="s">
        <v>1338</v>
      </c>
      <c r="L1315">
        <v>2000</v>
      </c>
      <c r="M1315" t="s">
        <v>1327</v>
      </c>
      <c r="O1315">
        <v>2005</v>
      </c>
      <c r="P1315">
        <v>2005</v>
      </c>
      <c r="Q1315" t="s">
        <v>1329</v>
      </c>
      <c r="R1315">
        <v>10</v>
      </c>
      <c r="T1315" t="s">
        <v>1330</v>
      </c>
      <c r="U1315" t="s">
        <v>1340</v>
      </c>
      <c r="V1315" s="9" t="s">
        <v>1339</v>
      </c>
      <c r="W1315">
        <v>140</v>
      </c>
      <c r="X1315" s="9" t="s">
        <v>1264</v>
      </c>
      <c r="Z1315">
        <v>12</v>
      </c>
      <c r="AD1315" t="s">
        <v>1165</v>
      </c>
      <c r="AF1315" t="s">
        <v>1165</v>
      </c>
      <c r="AI1315" t="s">
        <v>1165</v>
      </c>
      <c r="AJ1315" s="15" t="s">
        <v>1148</v>
      </c>
      <c r="AK1315" s="15">
        <v>69.94</v>
      </c>
      <c r="AP1315" s="15">
        <v>28</v>
      </c>
      <c r="AQ1315" s="14" t="s">
        <v>1336</v>
      </c>
      <c r="AR1315" s="15" t="s">
        <v>1335</v>
      </c>
      <c r="AS1315" t="s">
        <v>3001</v>
      </c>
    </row>
    <row r="1316" spans="1:45" x14ac:dyDescent="0.2">
      <c r="A1316" t="s">
        <v>1326</v>
      </c>
      <c r="B1316" s="15" t="s">
        <v>1146</v>
      </c>
      <c r="C1316" s="15" t="s">
        <v>1149</v>
      </c>
      <c r="D1316" t="s">
        <v>1344</v>
      </c>
      <c r="E1316" t="s">
        <v>1345</v>
      </c>
      <c r="G1316" s="15" t="s">
        <v>1165</v>
      </c>
      <c r="H1316" s="14" t="s">
        <v>1165</v>
      </c>
      <c r="I1316" s="18" t="s">
        <v>1328</v>
      </c>
      <c r="J1316" s="18" t="s">
        <v>1337</v>
      </c>
      <c r="K1316" s="18" t="s">
        <v>1338</v>
      </c>
      <c r="L1316">
        <v>2000</v>
      </c>
      <c r="M1316" t="s">
        <v>1327</v>
      </c>
      <c r="O1316">
        <v>2005</v>
      </c>
      <c r="P1316">
        <v>2005</v>
      </c>
      <c r="Q1316" t="s">
        <v>1329</v>
      </c>
      <c r="R1316">
        <v>10</v>
      </c>
      <c r="T1316" t="s">
        <v>1330</v>
      </c>
      <c r="U1316" t="s">
        <v>1340</v>
      </c>
      <c r="V1316" s="9" t="s">
        <v>1339</v>
      </c>
      <c r="W1316">
        <v>140</v>
      </c>
      <c r="X1316" s="9" t="s">
        <v>1261</v>
      </c>
      <c r="Z1316">
        <v>12</v>
      </c>
      <c r="AD1316" t="s">
        <v>1165</v>
      </c>
      <c r="AF1316" t="s">
        <v>1165</v>
      </c>
      <c r="AI1316" t="s">
        <v>1165</v>
      </c>
      <c r="AJ1316" s="15" t="s">
        <v>1148</v>
      </c>
      <c r="AK1316" s="15">
        <v>93.75</v>
      </c>
      <c r="AP1316" s="15">
        <v>28</v>
      </c>
      <c r="AQ1316" s="14" t="s">
        <v>1336</v>
      </c>
      <c r="AR1316" s="15" t="s">
        <v>1335</v>
      </c>
      <c r="AS1316" t="s">
        <v>3001</v>
      </c>
    </row>
    <row r="1317" spans="1:45" x14ac:dyDescent="0.2">
      <c r="A1317" t="s">
        <v>1326</v>
      </c>
      <c r="B1317" s="15" t="s">
        <v>1146</v>
      </c>
      <c r="C1317" s="15" t="s">
        <v>1149</v>
      </c>
      <c r="D1317" t="s">
        <v>1344</v>
      </c>
      <c r="E1317" t="s">
        <v>1345</v>
      </c>
      <c r="G1317" s="15" t="s">
        <v>1165</v>
      </c>
      <c r="H1317" s="14" t="s">
        <v>1165</v>
      </c>
      <c r="I1317" s="18" t="s">
        <v>1328</v>
      </c>
      <c r="J1317" s="18" t="s">
        <v>1337</v>
      </c>
      <c r="K1317" s="18" t="s">
        <v>1338</v>
      </c>
      <c r="L1317">
        <v>2000</v>
      </c>
      <c r="M1317" t="s">
        <v>1327</v>
      </c>
      <c r="O1317">
        <v>2005</v>
      </c>
      <c r="P1317">
        <v>2005</v>
      </c>
      <c r="Q1317" t="s">
        <v>1329</v>
      </c>
      <c r="R1317">
        <v>10</v>
      </c>
      <c r="T1317" t="s">
        <v>1330</v>
      </c>
      <c r="U1317" t="s">
        <v>1340</v>
      </c>
      <c r="V1317" s="9" t="s">
        <v>1339</v>
      </c>
      <c r="W1317">
        <v>140</v>
      </c>
      <c r="X1317" s="9" t="s">
        <v>1334</v>
      </c>
      <c r="Z1317">
        <v>12</v>
      </c>
      <c r="AD1317" t="s">
        <v>1165</v>
      </c>
      <c r="AF1317" t="s">
        <v>1165</v>
      </c>
      <c r="AI1317" t="s">
        <v>1165</v>
      </c>
      <c r="AJ1317" s="15" t="s">
        <v>1148</v>
      </c>
      <c r="AK1317" s="4">
        <v>47.718000000000004</v>
      </c>
      <c r="AP1317" s="15">
        <v>28</v>
      </c>
      <c r="AQ1317" s="14" t="s">
        <v>1336</v>
      </c>
      <c r="AR1317" s="15" t="s">
        <v>1335</v>
      </c>
      <c r="AS1317" t="s">
        <v>3001</v>
      </c>
    </row>
    <row r="1318" spans="1:45" x14ac:dyDescent="0.2">
      <c r="A1318" t="s">
        <v>1326</v>
      </c>
      <c r="B1318" s="15" t="s">
        <v>1146</v>
      </c>
      <c r="C1318" s="15" t="s">
        <v>1149</v>
      </c>
      <c r="D1318" t="s">
        <v>1344</v>
      </c>
      <c r="E1318" t="s">
        <v>1345</v>
      </c>
      <c r="G1318" s="15" t="s">
        <v>1165</v>
      </c>
      <c r="H1318" s="14" t="s">
        <v>1165</v>
      </c>
      <c r="I1318" s="18" t="s">
        <v>1328</v>
      </c>
      <c r="J1318" s="18" t="s">
        <v>1337</v>
      </c>
      <c r="K1318" s="18" t="s">
        <v>1338</v>
      </c>
      <c r="L1318">
        <v>2000</v>
      </c>
      <c r="M1318" t="s">
        <v>1327</v>
      </c>
      <c r="O1318">
        <v>2005</v>
      </c>
      <c r="P1318">
        <v>2005</v>
      </c>
      <c r="Q1318" t="s">
        <v>1329</v>
      </c>
      <c r="R1318">
        <v>10</v>
      </c>
      <c r="T1318" t="s">
        <v>1330</v>
      </c>
      <c r="U1318" t="s">
        <v>1340</v>
      </c>
      <c r="V1318" s="9" t="s">
        <v>1339</v>
      </c>
      <c r="W1318">
        <v>140</v>
      </c>
      <c r="X1318" s="9" t="s">
        <v>1333</v>
      </c>
      <c r="Z1318">
        <v>0</v>
      </c>
      <c r="AD1318" t="s">
        <v>1165</v>
      </c>
      <c r="AF1318" t="s">
        <v>1165</v>
      </c>
      <c r="AI1318" t="s">
        <v>1165</v>
      </c>
      <c r="AJ1318" s="15" t="s">
        <v>1148</v>
      </c>
      <c r="AK1318" s="15">
        <v>10.02</v>
      </c>
      <c r="AP1318" s="15">
        <v>28</v>
      </c>
      <c r="AQ1318" s="14" t="s">
        <v>1336</v>
      </c>
      <c r="AR1318" s="15" t="s">
        <v>1335</v>
      </c>
      <c r="AS1318" t="s">
        <v>3001</v>
      </c>
    </row>
    <row r="1319" spans="1:45" x14ac:dyDescent="0.2">
      <c r="A1319" t="s">
        <v>1326</v>
      </c>
      <c r="B1319" s="15" t="s">
        <v>1146</v>
      </c>
      <c r="C1319" s="15" t="s">
        <v>1149</v>
      </c>
      <c r="D1319" t="s">
        <v>1344</v>
      </c>
      <c r="E1319" t="s">
        <v>1345</v>
      </c>
      <c r="G1319" s="15" t="s">
        <v>1165</v>
      </c>
      <c r="H1319" s="14" t="s">
        <v>1165</v>
      </c>
      <c r="I1319" s="18" t="s">
        <v>1328</v>
      </c>
      <c r="J1319" s="18" t="s">
        <v>1337</v>
      </c>
      <c r="K1319" s="18" t="s">
        <v>1338</v>
      </c>
      <c r="L1319">
        <v>2000</v>
      </c>
      <c r="M1319" t="s">
        <v>1327</v>
      </c>
      <c r="O1319">
        <v>2005</v>
      </c>
      <c r="P1319">
        <v>2005</v>
      </c>
      <c r="Q1319" t="s">
        <v>1329</v>
      </c>
      <c r="R1319">
        <v>10</v>
      </c>
      <c r="T1319" t="s">
        <v>1330</v>
      </c>
      <c r="U1319" t="s">
        <v>1340</v>
      </c>
      <c r="V1319" s="9" t="s">
        <v>1339</v>
      </c>
      <c r="W1319">
        <v>140</v>
      </c>
      <c r="X1319" s="9" t="s">
        <v>1264</v>
      </c>
      <c r="Z1319">
        <v>0</v>
      </c>
      <c r="AD1319" t="s">
        <v>1165</v>
      </c>
      <c r="AF1319" t="s">
        <v>1165</v>
      </c>
      <c r="AI1319" t="s">
        <v>1165</v>
      </c>
      <c r="AJ1319" s="15" t="s">
        <v>1148</v>
      </c>
      <c r="AK1319" s="15">
        <v>0</v>
      </c>
      <c r="AP1319" s="15">
        <v>28</v>
      </c>
      <c r="AQ1319" s="14" t="s">
        <v>1336</v>
      </c>
      <c r="AR1319" s="15" t="s">
        <v>1335</v>
      </c>
      <c r="AS1319" t="s">
        <v>3001</v>
      </c>
    </row>
    <row r="1320" spans="1:45" x14ac:dyDescent="0.2">
      <c r="A1320" t="s">
        <v>1326</v>
      </c>
      <c r="B1320" s="15" t="s">
        <v>1146</v>
      </c>
      <c r="C1320" s="15" t="s">
        <v>1149</v>
      </c>
      <c r="D1320" t="s">
        <v>1344</v>
      </c>
      <c r="E1320" t="s">
        <v>1345</v>
      </c>
      <c r="G1320" s="15" t="s">
        <v>1165</v>
      </c>
      <c r="H1320" s="14" t="s">
        <v>1165</v>
      </c>
      <c r="I1320" s="18" t="s">
        <v>1328</v>
      </c>
      <c r="J1320" s="18" t="s">
        <v>1337</v>
      </c>
      <c r="K1320" s="18" t="s">
        <v>1338</v>
      </c>
      <c r="L1320">
        <v>2000</v>
      </c>
      <c r="M1320" t="s">
        <v>1327</v>
      </c>
      <c r="O1320">
        <v>2005</v>
      </c>
      <c r="P1320">
        <v>2005</v>
      </c>
      <c r="Q1320" t="s">
        <v>1329</v>
      </c>
      <c r="R1320">
        <v>10</v>
      </c>
      <c r="T1320" t="s">
        <v>1330</v>
      </c>
      <c r="U1320" t="s">
        <v>1340</v>
      </c>
      <c r="V1320" s="9" t="s">
        <v>1339</v>
      </c>
      <c r="W1320">
        <v>140</v>
      </c>
      <c r="X1320" s="9" t="s">
        <v>1261</v>
      </c>
      <c r="Z1320">
        <v>0</v>
      </c>
      <c r="AD1320" t="s">
        <v>1165</v>
      </c>
      <c r="AF1320" t="s">
        <v>1165</v>
      </c>
      <c r="AI1320" t="s">
        <v>1165</v>
      </c>
      <c r="AJ1320" s="15" t="s">
        <v>1148</v>
      </c>
      <c r="AK1320" s="15">
        <v>0</v>
      </c>
      <c r="AP1320" s="15">
        <v>28</v>
      </c>
      <c r="AQ1320" s="14" t="s">
        <v>1336</v>
      </c>
      <c r="AR1320" s="15" t="s">
        <v>1335</v>
      </c>
      <c r="AS1320" t="s">
        <v>3001</v>
      </c>
    </row>
    <row r="1321" spans="1:45" x14ac:dyDescent="0.2">
      <c r="A1321" t="s">
        <v>1326</v>
      </c>
      <c r="B1321" s="15" t="s">
        <v>1146</v>
      </c>
      <c r="C1321" s="15" t="s">
        <v>1149</v>
      </c>
      <c r="D1321" t="s">
        <v>1344</v>
      </c>
      <c r="E1321" t="s">
        <v>1345</v>
      </c>
      <c r="G1321" s="15" t="s">
        <v>1165</v>
      </c>
      <c r="H1321" s="14" t="s">
        <v>1165</v>
      </c>
      <c r="I1321" s="18" t="s">
        <v>1328</v>
      </c>
      <c r="J1321" s="18" t="s">
        <v>1337</v>
      </c>
      <c r="K1321" s="18" t="s">
        <v>1338</v>
      </c>
      <c r="L1321">
        <v>2000</v>
      </c>
      <c r="M1321" t="s">
        <v>1327</v>
      </c>
      <c r="O1321">
        <v>2005</v>
      </c>
      <c r="P1321">
        <v>2005</v>
      </c>
      <c r="Q1321" t="s">
        <v>1329</v>
      </c>
      <c r="R1321">
        <v>10</v>
      </c>
      <c r="T1321" t="s">
        <v>1330</v>
      </c>
      <c r="U1321" t="s">
        <v>1340</v>
      </c>
      <c r="V1321" s="9" t="s">
        <v>1339</v>
      </c>
      <c r="W1321">
        <v>140</v>
      </c>
      <c r="X1321" s="9" t="s">
        <v>1334</v>
      </c>
      <c r="Z1321">
        <v>0</v>
      </c>
      <c r="AD1321" t="s">
        <v>1165</v>
      </c>
      <c r="AF1321" t="s">
        <v>1165</v>
      </c>
      <c r="AI1321" t="s">
        <v>1165</v>
      </c>
      <c r="AJ1321" s="15" t="s">
        <v>1148</v>
      </c>
      <c r="AK1321" s="15">
        <v>0</v>
      </c>
      <c r="AP1321" s="15">
        <v>28</v>
      </c>
      <c r="AQ1321" s="14" t="s">
        <v>1336</v>
      </c>
      <c r="AR1321" s="15" t="s">
        <v>1335</v>
      </c>
      <c r="AS1321" t="s">
        <v>3001</v>
      </c>
    </row>
    <row r="1322" spans="1:45" x14ac:dyDescent="0.2">
      <c r="A1322" t="s">
        <v>1326</v>
      </c>
      <c r="B1322" s="15" t="s">
        <v>1146</v>
      </c>
      <c r="C1322" s="15" t="s">
        <v>1149</v>
      </c>
      <c r="D1322" t="s">
        <v>1344</v>
      </c>
      <c r="E1322" t="s">
        <v>1345</v>
      </c>
      <c r="G1322" s="15" t="s">
        <v>1165</v>
      </c>
      <c r="H1322" s="14" t="s">
        <v>1165</v>
      </c>
      <c r="I1322" s="18" t="s">
        <v>1328</v>
      </c>
      <c r="J1322" s="18" t="s">
        <v>1337</v>
      </c>
      <c r="K1322" s="18" t="s">
        <v>1338</v>
      </c>
      <c r="L1322">
        <v>2000</v>
      </c>
      <c r="M1322" t="s">
        <v>1327</v>
      </c>
      <c r="O1322">
        <v>2005</v>
      </c>
      <c r="P1322">
        <v>2005</v>
      </c>
      <c r="Q1322" t="s">
        <v>1329</v>
      </c>
      <c r="R1322">
        <v>10</v>
      </c>
      <c r="T1322" t="s">
        <v>1330</v>
      </c>
      <c r="U1322" t="s">
        <v>1340</v>
      </c>
      <c r="V1322" s="9" t="s">
        <v>1339</v>
      </c>
      <c r="W1322">
        <v>210</v>
      </c>
      <c r="X1322" s="9" t="s">
        <v>1333</v>
      </c>
      <c r="Z1322">
        <v>12</v>
      </c>
      <c r="AD1322" t="s">
        <v>1165</v>
      </c>
      <c r="AF1322" t="s">
        <v>1165</v>
      </c>
      <c r="AI1322" t="s">
        <v>1165</v>
      </c>
      <c r="AJ1322" s="15" t="s">
        <v>1148</v>
      </c>
      <c r="AK1322" s="15">
        <v>40.972000000000001</v>
      </c>
      <c r="AP1322" s="15">
        <v>28</v>
      </c>
      <c r="AQ1322" s="14" t="s">
        <v>1336</v>
      </c>
      <c r="AR1322" s="15" t="s">
        <v>1335</v>
      </c>
      <c r="AS1322" t="s">
        <v>3001</v>
      </c>
    </row>
    <row r="1323" spans="1:45" x14ac:dyDescent="0.2">
      <c r="A1323" t="s">
        <v>1326</v>
      </c>
      <c r="B1323" s="15" t="s">
        <v>1146</v>
      </c>
      <c r="C1323" s="15" t="s">
        <v>1149</v>
      </c>
      <c r="D1323" t="s">
        <v>1344</v>
      </c>
      <c r="E1323" t="s">
        <v>1345</v>
      </c>
      <c r="G1323" s="15" t="s">
        <v>1165</v>
      </c>
      <c r="H1323" s="14" t="s">
        <v>1165</v>
      </c>
      <c r="I1323" s="18" t="s">
        <v>1328</v>
      </c>
      <c r="J1323" s="18" t="s">
        <v>1337</v>
      </c>
      <c r="K1323" s="18" t="s">
        <v>1338</v>
      </c>
      <c r="L1323">
        <v>2000</v>
      </c>
      <c r="M1323" t="s">
        <v>1327</v>
      </c>
      <c r="O1323">
        <v>2005</v>
      </c>
      <c r="P1323">
        <v>2005</v>
      </c>
      <c r="Q1323" t="s">
        <v>1329</v>
      </c>
      <c r="R1323">
        <v>10</v>
      </c>
      <c r="T1323" t="s">
        <v>1330</v>
      </c>
      <c r="U1323" t="s">
        <v>1340</v>
      </c>
      <c r="V1323" s="9" t="s">
        <v>1339</v>
      </c>
      <c r="W1323">
        <v>210</v>
      </c>
      <c r="X1323" s="9" t="s">
        <v>1264</v>
      </c>
      <c r="Z1323">
        <v>12</v>
      </c>
      <c r="AD1323" t="s">
        <v>1165</v>
      </c>
      <c r="AF1323" t="s">
        <v>1165</v>
      </c>
      <c r="AI1323" t="s">
        <v>1165</v>
      </c>
      <c r="AJ1323" s="15" t="s">
        <v>1148</v>
      </c>
      <c r="AK1323" s="15">
        <v>87.798000000000002</v>
      </c>
      <c r="AP1323" s="15">
        <v>28</v>
      </c>
      <c r="AQ1323" s="14" t="s">
        <v>1336</v>
      </c>
      <c r="AR1323" s="15" t="s">
        <v>1335</v>
      </c>
      <c r="AS1323" t="s">
        <v>3001</v>
      </c>
    </row>
    <row r="1324" spans="1:45" x14ac:dyDescent="0.2">
      <c r="A1324" t="s">
        <v>1326</v>
      </c>
      <c r="B1324" s="15" t="s">
        <v>1146</v>
      </c>
      <c r="C1324" s="15" t="s">
        <v>1149</v>
      </c>
      <c r="D1324" t="s">
        <v>1344</v>
      </c>
      <c r="E1324" t="s">
        <v>1345</v>
      </c>
      <c r="G1324" s="15" t="s">
        <v>1165</v>
      </c>
      <c r="H1324" s="14" t="s">
        <v>1165</v>
      </c>
      <c r="I1324" s="18" t="s">
        <v>1328</v>
      </c>
      <c r="J1324" s="18" t="s">
        <v>1337</v>
      </c>
      <c r="K1324" s="18" t="s">
        <v>1338</v>
      </c>
      <c r="L1324">
        <v>2000</v>
      </c>
      <c r="M1324" t="s">
        <v>1327</v>
      </c>
      <c r="O1324">
        <v>2005</v>
      </c>
      <c r="P1324">
        <v>2005</v>
      </c>
      <c r="Q1324" t="s">
        <v>1329</v>
      </c>
      <c r="R1324">
        <v>10</v>
      </c>
      <c r="T1324" t="s">
        <v>1330</v>
      </c>
      <c r="U1324" t="s">
        <v>1340</v>
      </c>
      <c r="V1324" s="9" t="s">
        <v>1339</v>
      </c>
      <c r="W1324">
        <v>210</v>
      </c>
      <c r="X1324" s="9" t="s">
        <v>1261</v>
      </c>
      <c r="Z1324">
        <v>12</v>
      </c>
      <c r="AD1324" t="s">
        <v>1165</v>
      </c>
      <c r="AF1324" t="s">
        <v>1165</v>
      </c>
      <c r="AI1324" t="s">
        <v>1165</v>
      </c>
      <c r="AJ1324" s="15" t="s">
        <v>1148</v>
      </c>
      <c r="AK1324" s="15">
        <v>99.701999999999998</v>
      </c>
      <c r="AP1324" s="15">
        <v>28</v>
      </c>
      <c r="AQ1324" s="14" t="s">
        <v>1336</v>
      </c>
      <c r="AR1324" s="15" t="s">
        <v>1335</v>
      </c>
      <c r="AS1324" t="s">
        <v>3001</v>
      </c>
    </row>
    <row r="1325" spans="1:45" x14ac:dyDescent="0.2">
      <c r="A1325" t="s">
        <v>1326</v>
      </c>
      <c r="B1325" s="15" t="s">
        <v>1146</v>
      </c>
      <c r="C1325" s="15" t="s">
        <v>1149</v>
      </c>
      <c r="D1325" t="s">
        <v>1344</v>
      </c>
      <c r="E1325" t="s">
        <v>1345</v>
      </c>
      <c r="G1325" s="15" t="s">
        <v>1165</v>
      </c>
      <c r="H1325" s="14" t="s">
        <v>1165</v>
      </c>
      <c r="I1325" s="18" t="s">
        <v>1328</v>
      </c>
      <c r="J1325" s="18" t="s">
        <v>1337</v>
      </c>
      <c r="K1325" s="18" t="s">
        <v>1338</v>
      </c>
      <c r="L1325">
        <v>2000</v>
      </c>
      <c r="M1325" t="s">
        <v>1327</v>
      </c>
      <c r="O1325">
        <v>2005</v>
      </c>
      <c r="P1325">
        <v>2005</v>
      </c>
      <c r="Q1325" t="s">
        <v>1329</v>
      </c>
      <c r="R1325">
        <v>10</v>
      </c>
      <c r="T1325" t="s">
        <v>1330</v>
      </c>
      <c r="U1325" t="s">
        <v>1340</v>
      </c>
      <c r="V1325" s="9" t="s">
        <v>1339</v>
      </c>
      <c r="W1325">
        <v>210</v>
      </c>
      <c r="X1325" s="9" t="s">
        <v>1334</v>
      </c>
      <c r="Z1325">
        <v>12</v>
      </c>
      <c r="AD1325" t="s">
        <v>1165</v>
      </c>
      <c r="AF1325" t="s">
        <v>1165</v>
      </c>
      <c r="AI1325" t="s">
        <v>1165</v>
      </c>
      <c r="AJ1325" s="15" t="s">
        <v>1148</v>
      </c>
      <c r="AK1325" s="4">
        <v>78.274000000000001</v>
      </c>
      <c r="AP1325" s="15">
        <v>28</v>
      </c>
      <c r="AQ1325" s="14" t="s">
        <v>1336</v>
      </c>
      <c r="AR1325" s="15" t="s">
        <v>1335</v>
      </c>
      <c r="AS1325" t="s">
        <v>3001</v>
      </c>
    </row>
    <row r="1326" spans="1:45" x14ac:dyDescent="0.2">
      <c r="A1326" t="s">
        <v>1326</v>
      </c>
      <c r="B1326" s="15" t="s">
        <v>1146</v>
      </c>
      <c r="C1326" s="15" t="s">
        <v>1149</v>
      </c>
      <c r="D1326" t="s">
        <v>1344</v>
      </c>
      <c r="E1326" t="s">
        <v>1345</v>
      </c>
      <c r="G1326" s="15" t="s">
        <v>1165</v>
      </c>
      <c r="H1326" s="14" t="s">
        <v>1165</v>
      </c>
      <c r="I1326" s="18" t="s">
        <v>1328</v>
      </c>
      <c r="J1326" s="18" t="s">
        <v>1337</v>
      </c>
      <c r="K1326" s="18" t="s">
        <v>1338</v>
      </c>
      <c r="L1326">
        <v>2000</v>
      </c>
      <c r="M1326" t="s">
        <v>1327</v>
      </c>
      <c r="O1326">
        <v>2005</v>
      </c>
      <c r="P1326">
        <v>2005</v>
      </c>
      <c r="Q1326" t="s">
        <v>1329</v>
      </c>
      <c r="R1326">
        <v>10</v>
      </c>
      <c r="T1326" t="s">
        <v>1330</v>
      </c>
      <c r="U1326" t="s">
        <v>1340</v>
      </c>
      <c r="V1326" s="9" t="s">
        <v>1339</v>
      </c>
      <c r="W1326">
        <v>210</v>
      </c>
      <c r="X1326" s="9" t="s">
        <v>1333</v>
      </c>
      <c r="Z1326">
        <v>0</v>
      </c>
      <c r="AD1326" t="s">
        <v>1165</v>
      </c>
      <c r="AF1326" t="s">
        <v>1165</v>
      </c>
      <c r="AI1326" t="s">
        <v>1165</v>
      </c>
      <c r="AJ1326" s="15" t="s">
        <v>1148</v>
      </c>
      <c r="AK1326" s="15">
        <v>8.4329999999999998</v>
      </c>
      <c r="AP1326" s="15">
        <v>28</v>
      </c>
      <c r="AQ1326" s="14" t="s">
        <v>1336</v>
      </c>
      <c r="AR1326" s="15" t="s">
        <v>1335</v>
      </c>
      <c r="AS1326" t="s">
        <v>3001</v>
      </c>
    </row>
    <row r="1327" spans="1:45" x14ac:dyDescent="0.2">
      <c r="A1327" t="s">
        <v>1326</v>
      </c>
      <c r="B1327" s="15" t="s">
        <v>1146</v>
      </c>
      <c r="C1327" s="15" t="s">
        <v>1149</v>
      </c>
      <c r="D1327" t="s">
        <v>1344</v>
      </c>
      <c r="E1327" t="s">
        <v>1345</v>
      </c>
      <c r="G1327" s="15" t="s">
        <v>1165</v>
      </c>
      <c r="H1327" s="14" t="s">
        <v>1165</v>
      </c>
      <c r="I1327" s="18" t="s">
        <v>1328</v>
      </c>
      <c r="J1327" s="18" t="s">
        <v>1337</v>
      </c>
      <c r="K1327" s="18" t="s">
        <v>1338</v>
      </c>
      <c r="L1327">
        <v>2000</v>
      </c>
      <c r="M1327" t="s">
        <v>1327</v>
      </c>
      <c r="O1327">
        <v>2005</v>
      </c>
      <c r="P1327">
        <v>2005</v>
      </c>
      <c r="Q1327" t="s">
        <v>1329</v>
      </c>
      <c r="R1327">
        <v>10</v>
      </c>
      <c r="T1327" t="s">
        <v>1330</v>
      </c>
      <c r="U1327" t="s">
        <v>1340</v>
      </c>
      <c r="V1327" s="9" t="s">
        <v>1339</v>
      </c>
      <c r="W1327">
        <v>210</v>
      </c>
      <c r="X1327" s="9" t="s">
        <v>1264</v>
      </c>
      <c r="Z1327">
        <v>0</v>
      </c>
      <c r="AD1327" t="s">
        <v>1165</v>
      </c>
      <c r="AF1327" t="s">
        <v>1165</v>
      </c>
      <c r="AI1327" t="s">
        <v>1165</v>
      </c>
      <c r="AJ1327" s="15" t="s">
        <v>1148</v>
      </c>
      <c r="AK1327" s="15">
        <v>1.29</v>
      </c>
      <c r="AP1327" s="15">
        <v>28</v>
      </c>
      <c r="AQ1327" s="14" t="s">
        <v>1336</v>
      </c>
      <c r="AR1327" s="15" t="s">
        <v>1335</v>
      </c>
      <c r="AS1327" t="s">
        <v>3001</v>
      </c>
    </row>
    <row r="1328" spans="1:45" x14ac:dyDescent="0.2">
      <c r="A1328" t="s">
        <v>1326</v>
      </c>
      <c r="B1328" s="15" t="s">
        <v>1146</v>
      </c>
      <c r="C1328" s="15" t="s">
        <v>1149</v>
      </c>
      <c r="D1328" t="s">
        <v>1344</v>
      </c>
      <c r="E1328" t="s">
        <v>1345</v>
      </c>
      <c r="G1328" s="15" t="s">
        <v>1165</v>
      </c>
      <c r="H1328" s="14" t="s">
        <v>1165</v>
      </c>
      <c r="I1328" s="18" t="s">
        <v>1328</v>
      </c>
      <c r="J1328" s="18" t="s">
        <v>1337</v>
      </c>
      <c r="K1328" s="18" t="s">
        <v>1338</v>
      </c>
      <c r="L1328">
        <v>2000</v>
      </c>
      <c r="M1328" t="s">
        <v>1327</v>
      </c>
      <c r="O1328">
        <v>2005</v>
      </c>
      <c r="P1328">
        <v>2005</v>
      </c>
      <c r="Q1328" t="s">
        <v>1329</v>
      </c>
      <c r="R1328">
        <v>10</v>
      </c>
      <c r="T1328" t="s">
        <v>1330</v>
      </c>
      <c r="U1328" t="s">
        <v>1340</v>
      </c>
      <c r="V1328" s="9" t="s">
        <v>1339</v>
      </c>
      <c r="W1328">
        <v>210</v>
      </c>
      <c r="X1328" s="9" t="s">
        <v>1261</v>
      </c>
      <c r="Z1328">
        <v>0</v>
      </c>
      <c r="AD1328" t="s">
        <v>1165</v>
      </c>
      <c r="AF1328" t="s">
        <v>1165</v>
      </c>
      <c r="AI1328" t="s">
        <v>1165</v>
      </c>
      <c r="AJ1328" s="15" t="s">
        <v>1148</v>
      </c>
      <c r="AK1328" s="15">
        <v>5.258</v>
      </c>
      <c r="AP1328" s="15">
        <v>28</v>
      </c>
      <c r="AQ1328" s="14" t="s">
        <v>1336</v>
      </c>
      <c r="AR1328" s="15" t="s">
        <v>1335</v>
      </c>
      <c r="AS1328" t="s">
        <v>3001</v>
      </c>
    </row>
    <row r="1329" spans="1:45" x14ac:dyDescent="0.2">
      <c r="A1329" t="s">
        <v>1326</v>
      </c>
      <c r="B1329" s="15" t="s">
        <v>1146</v>
      </c>
      <c r="C1329" s="15" t="s">
        <v>1149</v>
      </c>
      <c r="D1329" t="s">
        <v>1344</v>
      </c>
      <c r="E1329" t="s">
        <v>1345</v>
      </c>
      <c r="G1329" s="15" t="s">
        <v>1165</v>
      </c>
      <c r="H1329" s="14" t="s">
        <v>1165</v>
      </c>
      <c r="I1329" s="18" t="s">
        <v>1328</v>
      </c>
      <c r="J1329" s="18" t="s">
        <v>1337</v>
      </c>
      <c r="K1329" s="18" t="s">
        <v>1338</v>
      </c>
      <c r="L1329">
        <v>2000</v>
      </c>
      <c r="M1329" t="s">
        <v>1327</v>
      </c>
      <c r="O1329">
        <v>2005</v>
      </c>
      <c r="P1329">
        <v>2005</v>
      </c>
      <c r="Q1329" t="s">
        <v>1329</v>
      </c>
      <c r="R1329">
        <v>10</v>
      </c>
      <c r="T1329" t="s">
        <v>1330</v>
      </c>
      <c r="U1329" t="s">
        <v>1340</v>
      </c>
      <c r="V1329" s="9" t="s">
        <v>1339</v>
      </c>
      <c r="W1329">
        <v>210</v>
      </c>
      <c r="X1329" s="9" t="s">
        <v>1334</v>
      </c>
      <c r="Z1329">
        <v>0</v>
      </c>
      <c r="AD1329" t="s">
        <v>1165</v>
      </c>
      <c r="AF1329" t="s">
        <v>1165</v>
      </c>
      <c r="AI1329" t="s">
        <v>1165</v>
      </c>
      <c r="AJ1329" s="15" t="s">
        <v>1148</v>
      </c>
      <c r="AK1329" s="15">
        <v>0</v>
      </c>
      <c r="AP1329" s="15">
        <v>28</v>
      </c>
      <c r="AQ1329" s="14" t="s">
        <v>1336</v>
      </c>
      <c r="AR1329" s="15" t="s">
        <v>1335</v>
      </c>
      <c r="AS1329" t="s">
        <v>3001</v>
      </c>
    </row>
    <row r="1330" spans="1:45" s="14" customFormat="1" x14ac:dyDescent="0.2">
      <c r="A1330" s="14" t="s">
        <v>1326</v>
      </c>
      <c r="B1330" s="15" t="s">
        <v>1146</v>
      </c>
      <c r="C1330" s="15" t="s">
        <v>1149</v>
      </c>
      <c r="D1330" s="14" t="s">
        <v>1344</v>
      </c>
      <c r="E1330" s="14" t="s">
        <v>1345</v>
      </c>
      <c r="G1330" s="15" t="s">
        <v>1165</v>
      </c>
      <c r="H1330" s="14" t="s">
        <v>1165</v>
      </c>
      <c r="I1330" s="18" t="s">
        <v>1328</v>
      </c>
      <c r="J1330" s="18" t="s">
        <v>1337</v>
      </c>
      <c r="K1330" s="18" t="s">
        <v>1338</v>
      </c>
      <c r="L1330" s="14">
        <v>2000</v>
      </c>
      <c r="M1330" s="14" t="s">
        <v>1327</v>
      </c>
      <c r="O1330" s="14">
        <v>2005</v>
      </c>
      <c r="P1330" s="14">
        <v>2005</v>
      </c>
      <c r="Q1330" s="14" t="s">
        <v>1329</v>
      </c>
      <c r="R1330" s="14">
        <v>10</v>
      </c>
      <c r="T1330" s="14" t="s">
        <v>1330</v>
      </c>
      <c r="U1330" s="14" t="s">
        <v>1341</v>
      </c>
      <c r="V1330" s="12"/>
      <c r="W1330" s="14">
        <v>0</v>
      </c>
      <c r="X1330" s="12" t="s">
        <v>1333</v>
      </c>
      <c r="Y1330" s="14" t="s">
        <v>2994</v>
      </c>
      <c r="Z1330" s="14">
        <v>12</v>
      </c>
      <c r="AD1330" s="14" t="s">
        <v>1165</v>
      </c>
      <c r="AF1330" s="14" t="s">
        <v>1165</v>
      </c>
      <c r="AI1330" s="14" t="s">
        <v>1165</v>
      </c>
      <c r="AJ1330" s="15" t="s">
        <v>1148</v>
      </c>
      <c r="AK1330" s="15">
        <v>1.6859999999999999</v>
      </c>
      <c r="AP1330" s="15">
        <v>28</v>
      </c>
      <c r="AQ1330" s="14" t="s">
        <v>1336</v>
      </c>
      <c r="AR1330" s="15" t="s">
        <v>1335</v>
      </c>
      <c r="AS1330" s="14" t="s">
        <v>3002</v>
      </c>
    </row>
    <row r="1331" spans="1:45" s="14" customFormat="1" x14ac:dyDescent="0.2">
      <c r="A1331" s="14" t="s">
        <v>1326</v>
      </c>
      <c r="B1331" s="15" t="s">
        <v>1146</v>
      </c>
      <c r="C1331" s="15" t="s">
        <v>1149</v>
      </c>
      <c r="D1331" s="14" t="s">
        <v>1344</v>
      </c>
      <c r="E1331" s="14" t="s">
        <v>1345</v>
      </c>
      <c r="G1331" s="15" t="s">
        <v>1165</v>
      </c>
      <c r="H1331" s="14" t="s">
        <v>1165</v>
      </c>
      <c r="I1331" s="18" t="s">
        <v>1328</v>
      </c>
      <c r="J1331" s="18" t="s">
        <v>1337</v>
      </c>
      <c r="K1331" s="18" t="s">
        <v>1338</v>
      </c>
      <c r="L1331" s="14">
        <v>2000</v>
      </c>
      <c r="M1331" s="14" t="s">
        <v>1327</v>
      </c>
      <c r="O1331" s="14">
        <v>2005</v>
      </c>
      <c r="P1331" s="14">
        <v>2005</v>
      </c>
      <c r="Q1331" s="14" t="s">
        <v>1329</v>
      </c>
      <c r="R1331" s="14">
        <v>10</v>
      </c>
      <c r="T1331" s="14" t="s">
        <v>1330</v>
      </c>
      <c r="U1331" s="14" t="s">
        <v>1341</v>
      </c>
      <c r="V1331" s="12"/>
      <c r="W1331" s="14">
        <v>0</v>
      </c>
      <c r="X1331" s="12" t="s">
        <v>1264</v>
      </c>
      <c r="Y1331" s="14" t="s">
        <v>2994</v>
      </c>
      <c r="Z1331" s="14">
        <v>12</v>
      </c>
      <c r="AD1331" s="14" t="s">
        <v>1165</v>
      </c>
      <c r="AF1331" s="14" t="s">
        <v>1165</v>
      </c>
      <c r="AI1331" s="14" t="s">
        <v>1165</v>
      </c>
      <c r="AJ1331" s="15" t="s">
        <v>1148</v>
      </c>
      <c r="AK1331" s="15">
        <v>12.004</v>
      </c>
      <c r="AP1331" s="15">
        <v>28</v>
      </c>
      <c r="AQ1331" s="14" t="s">
        <v>1336</v>
      </c>
      <c r="AR1331" s="15" t="s">
        <v>1335</v>
      </c>
      <c r="AS1331" s="14" t="s">
        <v>3002</v>
      </c>
    </row>
    <row r="1332" spans="1:45" s="14" customFormat="1" x14ac:dyDescent="0.2">
      <c r="A1332" s="14" t="s">
        <v>1326</v>
      </c>
      <c r="B1332" s="15" t="s">
        <v>1146</v>
      </c>
      <c r="C1332" s="15" t="s">
        <v>1149</v>
      </c>
      <c r="D1332" s="14" t="s">
        <v>1344</v>
      </c>
      <c r="E1332" s="14" t="s">
        <v>1345</v>
      </c>
      <c r="G1332" s="15" t="s">
        <v>1165</v>
      </c>
      <c r="H1332" s="14" t="s">
        <v>1165</v>
      </c>
      <c r="I1332" s="18" t="s">
        <v>1328</v>
      </c>
      <c r="J1332" s="18" t="s">
        <v>1337</v>
      </c>
      <c r="K1332" s="18" t="s">
        <v>1338</v>
      </c>
      <c r="L1332" s="14">
        <v>2000</v>
      </c>
      <c r="M1332" s="14" t="s">
        <v>1327</v>
      </c>
      <c r="O1332" s="14">
        <v>2005</v>
      </c>
      <c r="P1332" s="14">
        <v>2005</v>
      </c>
      <c r="Q1332" s="14" t="s">
        <v>1329</v>
      </c>
      <c r="R1332" s="14">
        <v>10</v>
      </c>
      <c r="T1332" s="14" t="s">
        <v>1330</v>
      </c>
      <c r="U1332" s="14" t="s">
        <v>1341</v>
      </c>
      <c r="V1332" s="12"/>
      <c r="W1332" s="14">
        <v>0</v>
      </c>
      <c r="X1332" s="12" t="s">
        <v>1261</v>
      </c>
      <c r="Y1332" s="14" t="s">
        <v>2994</v>
      </c>
      <c r="Z1332" s="14">
        <v>12</v>
      </c>
      <c r="AD1332" s="14" t="s">
        <v>1165</v>
      </c>
      <c r="AF1332" s="14" t="s">
        <v>1165</v>
      </c>
      <c r="AI1332" s="14" t="s">
        <v>1165</v>
      </c>
      <c r="AJ1332" s="15" t="s">
        <v>1148</v>
      </c>
      <c r="AK1332" s="15">
        <v>23.114999999999998</v>
      </c>
      <c r="AP1332" s="15">
        <v>28</v>
      </c>
      <c r="AQ1332" s="14" t="s">
        <v>1336</v>
      </c>
      <c r="AR1332" s="15" t="s">
        <v>1335</v>
      </c>
      <c r="AS1332" s="14" t="s">
        <v>3002</v>
      </c>
    </row>
    <row r="1333" spans="1:45" s="14" customFormat="1" x14ac:dyDescent="0.2">
      <c r="A1333" s="14" t="s">
        <v>1326</v>
      </c>
      <c r="B1333" s="15" t="s">
        <v>1146</v>
      </c>
      <c r="C1333" s="15" t="s">
        <v>1149</v>
      </c>
      <c r="D1333" s="14" t="s">
        <v>1344</v>
      </c>
      <c r="E1333" s="14" t="s">
        <v>1345</v>
      </c>
      <c r="G1333" s="15" t="s">
        <v>1165</v>
      </c>
      <c r="H1333" s="14" t="s">
        <v>1165</v>
      </c>
      <c r="I1333" s="18" t="s">
        <v>1328</v>
      </c>
      <c r="J1333" s="18" t="s">
        <v>1337</v>
      </c>
      <c r="K1333" s="18" t="s">
        <v>1338</v>
      </c>
      <c r="L1333" s="14">
        <v>2000</v>
      </c>
      <c r="M1333" s="14" t="s">
        <v>1327</v>
      </c>
      <c r="O1333" s="14">
        <v>2005</v>
      </c>
      <c r="P1333" s="14">
        <v>2005</v>
      </c>
      <c r="Q1333" s="14" t="s">
        <v>1329</v>
      </c>
      <c r="R1333" s="14">
        <v>10</v>
      </c>
      <c r="T1333" s="14" t="s">
        <v>1330</v>
      </c>
      <c r="U1333" s="14" t="s">
        <v>1341</v>
      </c>
      <c r="V1333" s="12"/>
      <c r="W1333" s="14">
        <v>0</v>
      </c>
      <c r="X1333" s="12" t="s">
        <v>1334</v>
      </c>
      <c r="Y1333" s="14" t="s">
        <v>2994</v>
      </c>
      <c r="Z1333" s="14">
        <v>12</v>
      </c>
      <c r="AD1333" s="14" t="s">
        <v>1165</v>
      </c>
      <c r="AF1333" s="14" t="s">
        <v>1165</v>
      </c>
      <c r="AI1333" s="14" t="s">
        <v>1165</v>
      </c>
      <c r="AJ1333" s="15" t="s">
        <v>1148</v>
      </c>
      <c r="AK1333" s="15">
        <v>19.146999999999998</v>
      </c>
      <c r="AP1333" s="15">
        <v>28</v>
      </c>
      <c r="AQ1333" s="14" t="s">
        <v>1336</v>
      </c>
      <c r="AR1333" s="15" t="s">
        <v>1335</v>
      </c>
      <c r="AS1333" s="14" t="s">
        <v>3002</v>
      </c>
    </row>
    <row r="1334" spans="1:45" s="14" customFormat="1" x14ac:dyDescent="0.2">
      <c r="A1334" s="14" t="s">
        <v>1326</v>
      </c>
      <c r="B1334" s="15" t="s">
        <v>1146</v>
      </c>
      <c r="C1334" s="15" t="s">
        <v>1149</v>
      </c>
      <c r="D1334" s="14" t="s">
        <v>1344</v>
      </c>
      <c r="E1334" s="14" t="s">
        <v>1345</v>
      </c>
      <c r="G1334" s="15" t="s">
        <v>1165</v>
      </c>
      <c r="H1334" s="14" t="s">
        <v>1165</v>
      </c>
      <c r="I1334" s="18" t="s">
        <v>1328</v>
      </c>
      <c r="J1334" s="18" t="s">
        <v>1337</v>
      </c>
      <c r="K1334" s="18" t="s">
        <v>1338</v>
      </c>
      <c r="L1334" s="14">
        <v>2000</v>
      </c>
      <c r="M1334" s="14" t="s">
        <v>1327</v>
      </c>
      <c r="O1334" s="14">
        <v>2005</v>
      </c>
      <c r="P1334" s="14">
        <v>2005</v>
      </c>
      <c r="Q1334" s="14" t="s">
        <v>1329</v>
      </c>
      <c r="R1334" s="14">
        <v>10</v>
      </c>
      <c r="T1334" s="14" t="s">
        <v>1330</v>
      </c>
      <c r="U1334" s="14" t="s">
        <v>1341</v>
      </c>
      <c r="V1334" s="12"/>
      <c r="W1334" s="14">
        <v>0</v>
      </c>
      <c r="X1334" s="12" t="s">
        <v>1333</v>
      </c>
      <c r="Y1334" s="14" t="s">
        <v>2994</v>
      </c>
      <c r="Z1334" s="14">
        <v>0</v>
      </c>
      <c r="AD1334" s="14" t="s">
        <v>1165</v>
      </c>
      <c r="AF1334" s="14" t="s">
        <v>1165</v>
      </c>
      <c r="AI1334" s="14" t="s">
        <v>1165</v>
      </c>
      <c r="AJ1334" s="15" t="s">
        <v>1148</v>
      </c>
      <c r="AK1334" s="15">
        <v>2.48</v>
      </c>
      <c r="AP1334" s="15">
        <v>28</v>
      </c>
      <c r="AQ1334" s="14" t="s">
        <v>1336</v>
      </c>
      <c r="AR1334" s="15" t="s">
        <v>1335</v>
      </c>
      <c r="AS1334" s="14" t="s">
        <v>3002</v>
      </c>
    </row>
    <row r="1335" spans="1:45" s="14" customFormat="1" x14ac:dyDescent="0.2">
      <c r="A1335" s="14" t="s">
        <v>1326</v>
      </c>
      <c r="B1335" s="15" t="s">
        <v>1146</v>
      </c>
      <c r="C1335" s="15" t="s">
        <v>1149</v>
      </c>
      <c r="D1335" s="14" t="s">
        <v>1344</v>
      </c>
      <c r="E1335" s="14" t="s">
        <v>1345</v>
      </c>
      <c r="G1335" s="15" t="s">
        <v>1165</v>
      </c>
      <c r="H1335" s="14" t="s">
        <v>1165</v>
      </c>
      <c r="I1335" s="18" t="s">
        <v>1328</v>
      </c>
      <c r="J1335" s="18" t="s">
        <v>1337</v>
      </c>
      <c r="K1335" s="18" t="s">
        <v>1338</v>
      </c>
      <c r="L1335" s="14">
        <v>2000</v>
      </c>
      <c r="M1335" s="14" t="s">
        <v>1327</v>
      </c>
      <c r="O1335" s="14">
        <v>2005</v>
      </c>
      <c r="P1335" s="14">
        <v>2005</v>
      </c>
      <c r="Q1335" s="14" t="s">
        <v>1329</v>
      </c>
      <c r="R1335" s="14">
        <v>10</v>
      </c>
      <c r="T1335" s="14" t="s">
        <v>1330</v>
      </c>
      <c r="U1335" s="14" t="s">
        <v>1341</v>
      </c>
      <c r="V1335" s="12"/>
      <c r="W1335" s="14">
        <v>0</v>
      </c>
      <c r="X1335" s="12" t="s">
        <v>1264</v>
      </c>
      <c r="Y1335" s="14" t="s">
        <v>2994</v>
      </c>
      <c r="Z1335" s="14">
        <v>0</v>
      </c>
      <c r="AD1335" s="14" t="s">
        <v>1165</v>
      </c>
      <c r="AF1335" s="14" t="s">
        <v>1165</v>
      </c>
      <c r="AI1335" s="14" t="s">
        <v>1165</v>
      </c>
      <c r="AJ1335" s="15" t="s">
        <v>1148</v>
      </c>
      <c r="AK1335" s="15">
        <v>0</v>
      </c>
      <c r="AP1335" s="15">
        <v>28</v>
      </c>
      <c r="AQ1335" s="14" t="s">
        <v>1336</v>
      </c>
      <c r="AR1335" s="15" t="s">
        <v>1335</v>
      </c>
      <c r="AS1335" s="14" t="s">
        <v>3002</v>
      </c>
    </row>
    <row r="1336" spans="1:45" s="14" customFormat="1" x14ac:dyDescent="0.2">
      <c r="A1336" s="14" t="s">
        <v>1326</v>
      </c>
      <c r="B1336" s="15" t="s">
        <v>1146</v>
      </c>
      <c r="C1336" s="15" t="s">
        <v>1149</v>
      </c>
      <c r="D1336" s="14" t="s">
        <v>1344</v>
      </c>
      <c r="E1336" s="14" t="s">
        <v>1345</v>
      </c>
      <c r="G1336" s="15" t="s">
        <v>1165</v>
      </c>
      <c r="H1336" s="14" t="s">
        <v>1165</v>
      </c>
      <c r="I1336" s="18" t="s">
        <v>1328</v>
      </c>
      <c r="J1336" s="18" t="s">
        <v>1337</v>
      </c>
      <c r="K1336" s="18" t="s">
        <v>1338</v>
      </c>
      <c r="L1336" s="14">
        <v>2000</v>
      </c>
      <c r="M1336" s="14" t="s">
        <v>1327</v>
      </c>
      <c r="O1336" s="14">
        <v>2005</v>
      </c>
      <c r="P1336" s="14">
        <v>2005</v>
      </c>
      <c r="Q1336" s="14" t="s">
        <v>1329</v>
      </c>
      <c r="R1336" s="14">
        <v>10</v>
      </c>
      <c r="T1336" s="14" t="s">
        <v>1330</v>
      </c>
      <c r="U1336" s="14" t="s">
        <v>1341</v>
      </c>
      <c r="V1336" s="12"/>
      <c r="W1336" s="14">
        <v>0</v>
      </c>
      <c r="X1336" s="12" t="s">
        <v>1261</v>
      </c>
      <c r="Y1336" s="14" t="s">
        <v>2994</v>
      </c>
      <c r="Z1336" s="14">
        <v>0</v>
      </c>
      <c r="AD1336" s="14" t="s">
        <v>1165</v>
      </c>
      <c r="AF1336" s="14" t="s">
        <v>1165</v>
      </c>
      <c r="AI1336" s="14" t="s">
        <v>1165</v>
      </c>
      <c r="AJ1336" s="15" t="s">
        <v>1148</v>
      </c>
      <c r="AK1336" s="15">
        <v>0</v>
      </c>
      <c r="AP1336" s="15">
        <v>28</v>
      </c>
      <c r="AQ1336" s="14" t="s">
        <v>1336</v>
      </c>
      <c r="AR1336" s="15" t="s">
        <v>1335</v>
      </c>
      <c r="AS1336" s="14" t="s">
        <v>3002</v>
      </c>
    </row>
    <row r="1337" spans="1:45" s="14" customFormat="1" x14ac:dyDescent="0.2">
      <c r="A1337" s="14" t="s">
        <v>1326</v>
      </c>
      <c r="B1337" s="15" t="s">
        <v>1146</v>
      </c>
      <c r="C1337" s="15" t="s">
        <v>1149</v>
      </c>
      <c r="D1337" s="14" t="s">
        <v>1344</v>
      </c>
      <c r="E1337" s="14" t="s">
        <v>1345</v>
      </c>
      <c r="G1337" s="15" t="s">
        <v>1165</v>
      </c>
      <c r="H1337" s="14" t="s">
        <v>1165</v>
      </c>
      <c r="I1337" s="18" t="s">
        <v>1328</v>
      </c>
      <c r="J1337" s="18" t="s">
        <v>1337</v>
      </c>
      <c r="K1337" s="18" t="s">
        <v>1338</v>
      </c>
      <c r="L1337" s="14">
        <v>2000</v>
      </c>
      <c r="M1337" s="14" t="s">
        <v>1327</v>
      </c>
      <c r="O1337" s="14">
        <v>2005</v>
      </c>
      <c r="P1337" s="14">
        <v>2005</v>
      </c>
      <c r="Q1337" s="14" t="s">
        <v>1329</v>
      </c>
      <c r="R1337" s="14">
        <v>10</v>
      </c>
      <c r="T1337" s="14" t="s">
        <v>1330</v>
      </c>
      <c r="U1337" s="14" t="s">
        <v>1341</v>
      </c>
      <c r="V1337" s="12"/>
      <c r="W1337" s="14">
        <v>0</v>
      </c>
      <c r="X1337" s="12" t="s">
        <v>1334</v>
      </c>
      <c r="Y1337" s="14" t="s">
        <v>2994</v>
      </c>
      <c r="Z1337" s="14">
        <v>0</v>
      </c>
      <c r="AD1337" s="14" t="s">
        <v>1165</v>
      </c>
      <c r="AF1337" s="14" t="s">
        <v>1165</v>
      </c>
      <c r="AI1337" s="14" t="s">
        <v>1165</v>
      </c>
      <c r="AJ1337" s="15" t="s">
        <v>1148</v>
      </c>
      <c r="AK1337" s="15">
        <v>0</v>
      </c>
      <c r="AP1337" s="15">
        <v>28</v>
      </c>
      <c r="AQ1337" s="14" t="s">
        <v>1336</v>
      </c>
      <c r="AR1337" s="15" t="s">
        <v>1335</v>
      </c>
      <c r="AS1337" s="14" t="s">
        <v>3002</v>
      </c>
    </row>
    <row r="1338" spans="1:45" s="14" customFormat="1" x14ac:dyDescent="0.2">
      <c r="A1338" s="14" t="s">
        <v>1326</v>
      </c>
      <c r="B1338" s="15" t="s">
        <v>1146</v>
      </c>
      <c r="C1338" s="15" t="s">
        <v>1149</v>
      </c>
      <c r="D1338" s="14" t="s">
        <v>1344</v>
      </c>
      <c r="E1338" s="14" t="s">
        <v>1345</v>
      </c>
      <c r="G1338" s="15" t="s">
        <v>1165</v>
      </c>
      <c r="H1338" s="14" t="s">
        <v>1165</v>
      </c>
      <c r="I1338" s="18" t="s">
        <v>1328</v>
      </c>
      <c r="J1338" s="18" t="s">
        <v>1337</v>
      </c>
      <c r="K1338" s="18" t="s">
        <v>1338</v>
      </c>
      <c r="L1338" s="14">
        <v>2000</v>
      </c>
      <c r="M1338" s="14" t="s">
        <v>1327</v>
      </c>
      <c r="O1338" s="14">
        <v>2005</v>
      </c>
      <c r="P1338" s="14">
        <v>2005</v>
      </c>
      <c r="Q1338" s="14" t="s">
        <v>1329</v>
      </c>
      <c r="R1338" s="14">
        <v>10</v>
      </c>
      <c r="T1338" s="14" t="s">
        <v>1330</v>
      </c>
      <c r="U1338" s="14" t="s">
        <v>1341</v>
      </c>
      <c r="V1338" s="12"/>
      <c r="W1338" s="14">
        <v>17.5</v>
      </c>
      <c r="X1338" s="12" t="s">
        <v>1333</v>
      </c>
      <c r="Y1338" s="14" t="s">
        <v>2995</v>
      </c>
      <c r="Z1338" s="14">
        <v>12</v>
      </c>
      <c r="AD1338" s="14" t="s">
        <v>1165</v>
      </c>
      <c r="AF1338" s="14" t="s">
        <v>1165</v>
      </c>
      <c r="AI1338" s="14" t="s">
        <v>1165</v>
      </c>
      <c r="AJ1338" s="15" t="s">
        <v>1148</v>
      </c>
      <c r="AK1338" s="15">
        <v>1.6859999999999999</v>
      </c>
      <c r="AP1338" s="15">
        <v>28</v>
      </c>
      <c r="AQ1338" s="14" t="s">
        <v>1336</v>
      </c>
      <c r="AR1338" s="15" t="s">
        <v>1335</v>
      </c>
      <c r="AS1338" s="14" t="s">
        <v>3002</v>
      </c>
    </row>
    <row r="1339" spans="1:45" s="14" customFormat="1" x14ac:dyDescent="0.2">
      <c r="A1339" s="14" t="s">
        <v>1326</v>
      </c>
      <c r="B1339" s="15" t="s">
        <v>1146</v>
      </c>
      <c r="C1339" s="15" t="s">
        <v>1149</v>
      </c>
      <c r="D1339" s="14" t="s">
        <v>1344</v>
      </c>
      <c r="E1339" s="14" t="s">
        <v>1345</v>
      </c>
      <c r="G1339" s="15" t="s">
        <v>1165</v>
      </c>
      <c r="H1339" s="14" t="s">
        <v>1165</v>
      </c>
      <c r="I1339" s="18" t="s">
        <v>1328</v>
      </c>
      <c r="J1339" s="18" t="s">
        <v>1337</v>
      </c>
      <c r="K1339" s="18" t="s">
        <v>1338</v>
      </c>
      <c r="L1339" s="14">
        <v>2000</v>
      </c>
      <c r="M1339" s="14" t="s">
        <v>1327</v>
      </c>
      <c r="O1339" s="14">
        <v>2005</v>
      </c>
      <c r="P1339" s="14">
        <v>2005</v>
      </c>
      <c r="Q1339" s="14" t="s">
        <v>1329</v>
      </c>
      <c r="R1339" s="14">
        <v>10</v>
      </c>
      <c r="T1339" s="14" t="s">
        <v>1330</v>
      </c>
      <c r="U1339" s="14" t="s">
        <v>1341</v>
      </c>
      <c r="V1339" s="12"/>
      <c r="W1339" s="14">
        <v>17.5</v>
      </c>
      <c r="X1339" s="12" t="s">
        <v>1264</v>
      </c>
      <c r="Y1339" s="14" t="s">
        <v>2995</v>
      </c>
      <c r="Z1339" s="14">
        <v>12</v>
      </c>
      <c r="AD1339" s="14" t="s">
        <v>1165</v>
      </c>
      <c r="AF1339" s="14" t="s">
        <v>1165</v>
      </c>
      <c r="AI1339" s="14" t="s">
        <v>1165</v>
      </c>
      <c r="AJ1339" s="15" t="s">
        <v>1148</v>
      </c>
      <c r="AK1339" s="15">
        <v>15.972</v>
      </c>
      <c r="AP1339" s="15">
        <v>28</v>
      </c>
      <c r="AQ1339" s="14" t="s">
        <v>1336</v>
      </c>
      <c r="AR1339" s="15" t="s">
        <v>1335</v>
      </c>
      <c r="AS1339" s="14" t="s">
        <v>3002</v>
      </c>
    </row>
    <row r="1340" spans="1:45" s="14" customFormat="1" x14ac:dyDescent="0.2">
      <c r="A1340" s="14" t="s">
        <v>1326</v>
      </c>
      <c r="B1340" s="15" t="s">
        <v>1146</v>
      </c>
      <c r="C1340" s="15" t="s">
        <v>1149</v>
      </c>
      <c r="D1340" s="14" t="s">
        <v>1344</v>
      </c>
      <c r="E1340" s="14" t="s">
        <v>1345</v>
      </c>
      <c r="G1340" s="15" t="s">
        <v>1165</v>
      </c>
      <c r="H1340" s="14" t="s">
        <v>1165</v>
      </c>
      <c r="I1340" s="18" t="s">
        <v>1328</v>
      </c>
      <c r="J1340" s="18" t="s">
        <v>1337</v>
      </c>
      <c r="K1340" s="18" t="s">
        <v>1338</v>
      </c>
      <c r="L1340" s="14">
        <v>2000</v>
      </c>
      <c r="M1340" s="14" t="s">
        <v>1327</v>
      </c>
      <c r="O1340" s="14">
        <v>2005</v>
      </c>
      <c r="P1340" s="14">
        <v>2005</v>
      </c>
      <c r="Q1340" s="14" t="s">
        <v>1329</v>
      </c>
      <c r="R1340" s="14">
        <v>10</v>
      </c>
      <c r="T1340" s="14" t="s">
        <v>1330</v>
      </c>
      <c r="U1340" s="14" t="s">
        <v>1341</v>
      </c>
      <c r="V1340" s="12"/>
      <c r="W1340" s="14">
        <v>17.5</v>
      </c>
      <c r="X1340" s="12" t="s">
        <v>1261</v>
      </c>
      <c r="Y1340" s="14" t="s">
        <v>2995</v>
      </c>
      <c r="Z1340" s="14">
        <v>12</v>
      </c>
      <c r="AD1340" s="14" t="s">
        <v>1165</v>
      </c>
      <c r="AF1340" s="14" t="s">
        <v>1165</v>
      </c>
      <c r="AI1340" s="14" t="s">
        <v>1165</v>
      </c>
      <c r="AJ1340" s="15" t="s">
        <v>1148</v>
      </c>
      <c r="AK1340" s="15">
        <v>33.433</v>
      </c>
      <c r="AP1340" s="15">
        <v>28</v>
      </c>
      <c r="AQ1340" s="14" t="s">
        <v>1336</v>
      </c>
      <c r="AR1340" s="15" t="s">
        <v>1335</v>
      </c>
      <c r="AS1340" s="14" t="s">
        <v>3002</v>
      </c>
    </row>
    <row r="1341" spans="1:45" s="14" customFormat="1" x14ac:dyDescent="0.2">
      <c r="A1341" s="14" t="s">
        <v>1326</v>
      </c>
      <c r="B1341" s="15" t="s">
        <v>1146</v>
      </c>
      <c r="C1341" s="15" t="s">
        <v>1149</v>
      </c>
      <c r="D1341" s="14" t="s">
        <v>1344</v>
      </c>
      <c r="E1341" s="14" t="s">
        <v>1345</v>
      </c>
      <c r="G1341" s="15" t="s">
        <v>1165</v>
      </c>
      <c r="H1341" s="14" t="s">
        <v>1165</v>
      </c>
      <c r="I1341" s="18" t="s">
        <v>1328</v>
      </c>
      <c r="J1341" s="18" t="s">
        <v>1337</v>
      </c>
      <c r="K1341" s="18" t="s">
        <v>1338</v>
      </c>
      <c r="L1341" s="14">
        <v>2000</v>
      </c>
      <c r="M1341" s="14" t="s">
        <v>1327</v>
      </c>
      <c r="O1341" s="14">
        <v>2005</v>
      </c>
      <c r="P1341" s="14">
        <v>2005</v>
      </c>
      <c r="Q1341" s="14" t="s">
        <v>1329</v>
      </c>
      <c r="R1341" s="14">
        <v>10</v>
      </c>
      <c r="T1341" s="14" t="s">
        <v>1330</v>
      </c>
      <c r="U1341" s="14" t="s">
        <v>1341</v>
      </c>
      <c r="V1341" s="12"/>
      <c r="W1341" s="14">
        <v>17.5</v>
      </c>
      <c r="X1341" s="12" t="s">
        <v>1334</v>
      </c>
      <c r="Y1341" s="14" t="s">
        <v>2995</v>
      </c>
      <c r="Z1341" s="14">
        <v>12</v>
      </c>
      <c r="AD1341" s="14" t="s">
        <v>1165</v>
      </c>
      <c r="AF1341" s="14" t="s">
        <v>1165</v>
      </c>
      <c r="AI1341" s="14" t="s">
        <v>1165</v>
      </c>
      <c r="AJ1341" s="15" t="s">
        <v>1148</v>
      </c>
      <c r="AK1341" s="15">
        <v>9.6229999999999993</v>
      </c>
      <c r="AP1341" s="15">
        <v>28</v>
      </c>
      <c r="AQ1341" s="14" t="s">
        <v>1336</v>
      </c>
      <c r="AR1341" s="15" t="s">
        <v>1335</v>
      </c>
      <c r="AS1341" s="14" t="s">
        <v>3002</v>
      </c>
    </row>
    <row r="1342" spans="1:45" s="14" customFormat="1" x14ac:dyDescent="0.2">
      <c r="A1342" s="14" t="s">
        <v>1326</v>
      </c>
      <c r="B1342" s="15" t="s">
        <v>1146</v>
      </c>
      <c r="C1342" s="15" t="s">
        <v>1149</v>
      </c>
      <c r="D1342" s="14" t="s">
        <v>1344</v>
      </c>
      <c r="E1342" s="14" t="s">
        <v>1345</v>
      </c>
      <c r="G1342" s="15" t="s">
        <v>1165</v>
      </c>
      <c r="H1342" s="14" t="s">
        <v>1165</v>
      </c>
      <c r="I1342" s="18" t="s">
        <v>1328</v>
      </c>
      <c r="J1342" s="18" t="s">
        <v>1337</v>
      </c>
      <c r="K1342" s="18" t="s">
        <v>1338</v>
      </c>
      <c r="L1342" s="14">
        <v>2000</v>
      </c>
      <c r="M1342" s="14" t="s">
        <v>1327</v>
      </c>
      <c r="O1342" s="14">
        <v>2005</v>
      </c>
      <c r="P1342" s="14">
        <v>2005</v>
      </c>
      <c r="Q1342" s="14" t="s">
        <v>1329</v>
      </c>
      <c r="R1342" s="14">
        <v>10</v>
      </c>
      <c r="T1342" s="14" t="s">
        <v>1330</v>
      </c>
      <c r="U1342" s="14" t="s">
        <v>1341</v>
      </c>
      <c r="V1342" s="12"/>
      <c r="W1342" s="14">
        <v>17.5</v>
      </c>
      <c r="X1342" s="12" t="s">
        <v>1333</v>
      </c>
      <c r="Y1342" s="14" t="s">
        <v>2995</v>
      </c>
      <c r="Z1342" s="14">
        <v>0</v>
      </c>
      <c r="AD1342" s="14" t="s">
        <v>1165</v>
      </c>
      <c r="AF1342" s="14" t="s">
        <v>1165</v>
      </c>
      <c r="AI1342" s="14" t="s">
        <v>1165</v>
      </c>
      <c r="AJ1342" s="15" t="s">
        <v>1148</v>
      </c>
      <c r="AK1342" s="15">
        <v>0</v>
      </c>
      <c r="AP1342" s="15">
        <v>28</v>
      </c>
      <c r="AQ1342" s="14" t="s">
        <v>1336</v>
      </c>
      <c r="AR1342" s="15" t="s">
        <v>1335</v>
      </c>
      <c r="AS1342" s="14" t="s">
        <v>3002</v>
      </c>
    </row>
    <row r="1343" spans="1:45" s="14" customFormat="1" x14ac:dyDescent="0.2">
      <c r="A1343" s="14" t="s">
        <v>1326</v>
      </c>
      <c r="B1343" s="15" t="s">
        <v>1146</v>
      </c>
      <c r="C1343" s="15" t="s">
        <v>1149</v>
      </c>
      <c r="D1343" s="14" t="s">
        <v>1344</v>
      </c>
      <c r="E1343" s="14" t="s">
        <v>1345</v>
      </c>
      <c r="G1343" s="15" t="s">
        <v>1165</v>
      </c>
      <c r="H1343" s="14" t="s">
        <v>1165</v>
      </c>
      <c r="I1343" s="18" t="s">
        <v>1328</v>
      </c>
      <c r="J1343" s="18" t="s">
        <v>1337</v>
      </c>
      <c r="K1343" s="18" t="s">
        <v>1338</v>
      </c>
      <c r="L1343" s="14">
        <v>2000</v>
      </c>
      <c r="M1343" s="14" t="s">
        <v>1327</v>
      </c>
      <c r="O1343" s="14">
        <v>2005</v>
      </c>
      <c r="P1343" s="14">
        <v>2005</v>
      </c>
      <c r="Q1343" s="14" t="s">
        <v>1329</v>
      </c>
      <c r="R1343" s="14">
        <v>10</v>
      </c>
      <c r="T1343" s="14" t="s">
        <v>1330</v>
      </c>
      <c r="U1343" s="14" t="s">
        <v>1341</v>
      </c>
      <c r="V1343" s="12"/>
      <c r="W1343" s="14">
        <v>17.5</v>
      </c>
      <c r="X1343" s="12" t="s">
        <v>1264</v>
      </c>
      <c r="Y1343" s="14" t="s">
        <v>2995</v>
      </c>
      <c r="Z1343" s="14">
        <v>0</v>
      </c>
      <c r="AD1343" s="14" t="s">
        <v>1165</v>
      </c>
      <c r="AF1343" s="14" t="s">
        <v>1165</v>
      </c>
      <c r="AI1343" s="14" t="s">
        <v>1165</v>
      </c>
      <c r="AJ1343" s="15" t="s">
        <v>1148</v>
      </c>
      <c r="AK1343" s="15">
        <v>0</v>
      </c>
      <c r="AP1343" s="15">
        <v>28</v>
      </c>
      <c r="AQ1343" s="14" t="s">
        <v>1336</v>
      </c>
      <c r="AR1343" s="15" t="s">
        <v>1335</v>
      </c>
      <c r="AS1343" s="14" t="s">
        <v>3002</v>
      </c>
    </row>
    <row r="1344" spans="1:45" s="14" customFormat="1" x14ac:dyDescent="0.2">
      <c r="A1344" s="14" t="s">
        <v>1326</v>
      </c>
      <c r="B1344" s="15" t="s">
        <v>1146</v>
      </c>
      <c r="C1344" s="15" t="s">
        <v>1149</v>
      </c>
      <c r="D1344" s="14" t="s">
        <v>1344</v>
      </c>
      <c r="E1344" s="14" t="s">
        <v>1345</v>
      </c>
      <c r="G1344" s="15" t="s">
        <v>1165</v>
      </c>
      <c r="H1344" s="14" t="s">
        <v>1165</v>
      </c>
      <c r="I1344" s="18" t="s">
        <v>1328</v>
      </c>
      <c r="J1344" s="18" t="s">
        <v>1337</v>
      </c>
      <c r="K1344" s="18" t="s">
        <v>1338</v>
      </c>
      <c r="L1344" s="14">
        <v>2000</v>
      </c>
      <c r="M1344" s="14" t="s">
        <v>1327</v>
      </c>
      <c r="O1344" s="14">
        <v>2005</v>
      </c>
      <c r="P1344" s="14">
        <v>2005</v>
      </c>
      <c r="Q1344" s="14" t="s">
        <v>1329</v>
      </c>
      <c r="R1344" s="14">
        <v>10</v>
      </c>
      <c r="T1344" s="14" t="s">
        <v>1330</v>
      </c>
      <c r="U1344" s="14" t="s">
        <v>1341</v>
      </c>
      <c r="V1344" s="12"/>
      <c r="W1344" s="14">
        <v>17.5</v>
      </c>
      <c r="X1344" s="12" t="s">
        <v>1261</v>
      </c>
      <c r="Y1344" s="14" t="s">
        <v>2995</v>
      </c>
      <c r="Z1344" s="14">
        <v>0</v>
      </c>
      <c r="AD1344" s="14" t="s">
        <v>1165</v>
      </c>
      <c r="AF1344" s="14" t="s">
        <v>1165</v>
      </c>
      <c r="AI1344" s="14" t="s">
        <v>1165</v>
      </c>
      <c r="AJ1344" s="15" t="s">
        <v>1148</v>
      </c>
      <c r="AK1344" s="15">
        <v>0</v>
      </c>
      <c r="AP1344" s="15">
        <v>28</v>
      </c>
      <c r="AQ1344" s="14" t="s">
        <v>1336</v>
      </c>
      <c r="AR1344" s="15" t="s">
        <v>1335</v>
      </c>
      <c r="AS1344" s="14" t="s">
        <v>3002</v>
      </c>
    </row>
    <row r="1345" spans="1:45" s="14" customFormat="1" x14ac:dyDescent="0.2">
      <c r="A1345" s="14" t="s">
        <v>1326</v>
      </c>
      <c r="B1345" s="15" t="s">
        <v>1146</v>
      </c>
      <c r="C1345" s="15" t="s">
        <v>1149</v>
      </c>
      <c r="D1345" s="14" t="s">
        <v>1344</v>
      </c>
      <c r="E1345" s="14" t="s">
        <v>1345</v>
      </c>
      <c r="G1345" s="15" t="s">
        <v>1165</v>
      </c>
      <c r="H1345" s="14" t="s">
        <v>1165</v>
      </c>
      <c r="I1345" s="18" t="s">
        <v>1328</v>
      </c>
      <c r="J1345" s="18" t="s">
        <v>1337</v>
      </c>
      <c r="K1345" s="18" t="s">
        <v>1338</v>
      </c>
      <c r="L1345" s="14">
        <v>2000</v>
      </c>
      <c r="M1345" s="14" t="s">
        <v>1327</v>
      </c>
      <c r="O1345" s="14">
        <v>2005</v>
      </c>
      <c r="P1345" s="14">
        <v>2005</v>
      </c>
      <c r="Q1345" s="14" t="s">
        <v>1329</v>
      </c>
      <c r="R1345" s="14">
        <v>10</v>
      </c>
      <c r="T1345" s="14" t="s">
        <v>1330</v>
      </c>
      <c r="U1345" s="14" t="s">
        <v>1341</v>
      </c>
      <c r="V1345" s="12"/>
      <c r="W1345" s="14">
        <v>17.5</v>
      </c>
      <c r="X1345" s="12" t="s">
        <v>1334</v>
      </c>
      <c r="Y1345" s="14" t="s">
        <v>2995</v>
      </c>
      <c r="Z1345" s="14">
        <v>0</v>
      </c>
      <c r="AD1345" s="14" t="s">
        <v>1165</v>
      </c>
      <c r="AF1345" s="14" t="s">
        <v>1165</v>
      </c>
      <c r="AI1345" s="14" t="s">
        <v>1165</v>
      </c>
      <c r="AJ1345" s="15" t="s">
        <v>1148</v>
      </c>
      <c r="AK1345" s="15">
        <v>0</v>
      </c>
      <c r="AP1345" s="15">
        <v>28</v>
      </c>
      <c r="AQ1345" s="14" t="s">
        <v>1336</v>
      </c>
      <c r="AR1345" s="15" t="s">
        <v>1335</v>
      </c>
      <c r="AS1345" s="14" t="s">
        <v>3002</v>
      </c>
    </row>
    <row r="1346" spans="1:45" s="14" customFormat="1" x14ac:dyDescent="0.2">
      <c r="A1346" s="14" t="s">
        <v>1326</v>
      </c>
      <c r="B1346" s="15" t="s">
        <v>1146</v>
      </c>
      <c r="C1346" s="15" t="s">
        <v>1149</v>
      </c>
      <c r="D1346" s="14" t="s">
        <v>1344</v>
      </c>
      <c r="E1346" s="14" t="s">
        <v>1345</v>
      </c>
      <c r="G1346" s="15" t="s">
        <v>1165</v>
      </c>
      <c r="H1346" s="14" t="s">
        <v>1165</v>
      </c>
      <c r="I1346" s="18" t="s">
        <v>1328</v>
      </c>
      <c r="J1346" s="18" t="s">
        <v>1337</v>
      </c>
      <c r="K1346" s="18" t="s">
        <v>1338</v>
      </c>
      <c r="L1346" s="14">
        <v>2000</v>
      </c>
      <c r="M1346" s="14" t="s">
        <v>1327</v>
      </c>
      <c r="O1346" s="14">
        <v>2005</v>
      </c>
      <c r="P1346" s="14">
        <v>2005</v>
      </c>
      <c r="Q1346" s="14" t="s">
        <v>1329</v>
      </c>
      <c r="R1346" s="14">
        <v>10</v>
      </c>
      <c r="T1346" s="14" t="s">
        <v>1330</v>
      </c>
      <c r="U1346" s="14" t="s">
        <v>1341</v>
      </c>
      <c r="V1346" s="12"/>
      <c r="W1346" s="14">
        <v>35</v>
      </c>
      <c r="X1346" s="12" t="s">
        <v>1333</v>
      </c>
      <c r="Y1346" s="14" t="s">
        <v>2996</v>
      </c>
      <c r="Z1346" s="14">
        <v>12</v>
      </c>
      <c r="AD1346" s="14" t="s">
        <v>1165</v>
      </c>
      <c r="AF1346" s="14" t="s">
        <v>1165</v>
      </c>
      <c r="AI1346" s="14" t="s">
        <v>1165</v>
      </c>
      <c r="AJ1346" s="15" t="s">
        <v>1148</v>
      </c>
      <c r="AK1346" s="15">
        <v>0</v>
      </c>
      <c r="AP1346" s="15">
        <v>28</v>
      </c>
      <c r="AQ1346" s="14" t="s">
        <v>1336</v>
      </c>
      <c r="AR1346" s="15" t="s">
        <v>1335</v>
      </c>
      <c r="AS1346" s="14" t="s">
        <v>3002</v>
      </c>
    </row>
    <row r="1347" spans="1:45" s="14" customFormat="1" x14ac:dyDescent="0.2">
      <c r="A1347" s="14" t="s">
        <v>1326</v>
      </c>
      <c r="B1347" s="15" t="s">
        <v>1146</v>
      </c>
      <c r="C1347" s="15" t="s">
        <v>1149</v>
      </c>
      <c r="D1347" s="14" t="s">
        <v>1344</v>
      </c>
      <c r="E1347" s="14" t="s">
        <v>1345</v>
      </c>
      <c r="G1347" s="15" t="s">
        <v>1165</v>
      </c>
      <c r="H1347" s="14" t="s">
        <v>1165</v>
      </c>
      <c r="I1347" s="18" t="s">
        <v>1328</v>
      </c>
      <c r="J1347" s="18" t="s">
        <v>1337</v>
      </c>
      <c r="K1347" s="18" t="s">
        <v>1338</v>
      </c>
      <c r="L1347" s="14">
        <v>2000</v>
      </c>
      <c r="M1347" s="14" t="s">
        <v>1327</v>
      </c>
      <c r="O1347" s="14">
        <v>2005</v>
      </c>
      <c r="P1347" s="14">
        <v>2005</v>
      </c>
      <c r="Q1347" s="14" t="s">
        <v>1329</v>
      </c>
      <c r="R1347" s="14">
        <v>10</v>
      </c>
      <c r="T1347" s="14" t="s">
        <v>1330</v>
      </c>
      <c r="U1347" s="14" t="s">
        <v>1341</v>
      </c>
      <c r="V1347" s="12"/>
      <c r="W1347" s="14">
        <v>35</v>
      </c>
      <c r="X1347" s="12" t="s">
        <v>1264</v>
      </c>
      <c r="Y1347" s="14" t="s">
        <v>2996</v>
      </c>
      <c r="Z1347" s="14">
        <v>12</v>
      </c>
      <c r="AD1347" s="14" t="s">
        <v>1165</v>
      </c>
      <c r="AF1347" s="14" t="s">
        <v>1165</v>
      </c>
      <c r="AI1347" s="14" t="s">
        <v>1165</v>
      </c>
      <c r="AJ1347" s="15" t="s">
        <v>1148</v>
      </c>
      <c r="AK1347" s="15">
        <v>19.940000000000001</v>
      </c>
      <c r="AP1347" s="15">
        <v>28</v>
      </c>
      <c r="AQ1347" s="14" t="s">
        <v>1336</v>
      </c>
      <c r="AR1347" s="15" t="s">
        <v>1335</v>
      </c>
      <c r="AS1347" s="14" t="s">
        <v>3002</v>
      </c>
    </row>
    <row r="1348" spans="1:45" s="14" customFormat="1" x14ac:dyDescent="0.2">
      <c r="A1348" s="14" t="s">
        <v>1326</v>
      </c>
      <c r="B1348" s="15" t="s">
        <v>1146</v>
      </c>
      <c r="C1348" s="15" t="s">
        <v>1149</v>
      </c>
      <c r="D1348" s="14" t="s">
        <v>1344</v>
      </c>
      <c r="E1348" s="14" t="s">
        <v>1345</v>
      </c>
      <c r="G1348" s="15" t="s">
        <v>1165</v>
      </c>
      <c r="H1348" s="14" t="s">
        <v>1165</v>
      </c>
      <c r="I1348" s="18" t="s">
        <v>1328</v>
      </c>
      <c r="J1348" s="18" t="s">
        <v>1337</v>
      </c>
      <c r="K1348" s="18" t="s">
        <v>1338</v>
      </c>
      <c r="L1348" s="14">
        <v>2000</v>
      </c>
      <c r="M1348" s="14" t="s">
        <v>1327</v>
      </c>
      <c r="O1348" s="14">
        <v>2005</v>
      </c>
      <c r="P1348" s="14">
        <v>2005</v>
      </c>
      <c r="Q1348" s="14" t="s">
        <v>1329</v>
      </c>
      <c r="R1348" s="14">
        <v>10</v>
      </c>
      <c r="T1348" s="14" t="s">
        <v>1330</v>
      </c>
      <c r="U1348" s="14" t="s">
        <v>1341</v>
      </c>
      <c r="V1348" s="12"/>
      <c r="W1348" s="14">
        <v>35</v>
      </c>
      <c r="X1348" s="12" t="s">
        <v>1261</v>
      </c>
      <c r="Y1348" s="14" t="s">
        <v>2996</v>
      </c>
      <c r="Z1348" s="14">
        <v>12</v>
      </c>
      <c r="AD1348" s="14" t="s">
        <v>1165</v>
      </c>
      <c r="AF1348" s="14" t="s">
        <v>1165</v>
      </c>
      <c r="AI1348" s="14" t="s">
        <v>1165</v>
      </c>
      <c r="AJ1348" s="15" t="s">
        <v>1148</v>
      </c>
      <c r="AK1348" s="15">
        <v>42.956000000000003</v>
      </c>
      <c r="AP1348" s="15">
        <v>28</v>
      </c>
      <c r="AQ1348" s="14" t="s">
        <v>1336</v>
      </c>
      <c r="AR1348" s="15" t="s">
        <v>1335</v>
      </c>
      <c r="AS1348" s="14" t="s">
        <v>3002</v>
      </c>
    </row>
    <row r="1349" spans="1:45" s="14" customFormat="1" x14ac:dyDescent="0.2">
      <c r="A1349" s="14" t="s">
        <v>1326</v>
      </c>
      <c r="B1349" s="15" t="s">
        <v>1146</v>
      </c>
      <c r="C1349" s="15" t="s">
        <v>1149</v>
      </c>
      <c r="D1349" s="14" t="s">
        <v>1344</v>
      </c>
      <c r="E1349" s="14" t="s">
        <v>1345</v>
      </c>
      <c r="G1349" s="15" t="s">
        <v>1165</v>
      </c>
      <c r="H1349" s="14" t="s">
        <v>1165</v>
      </c>
      <c r="I1349" s="18" t="s">
        <v>1328</v>
      </c>
      <c r="J1349" s="18" t="s">
        <v>1337</v>
      </c>
      <c r="K1349" s="18" t="s">
        <v>1338</v>
      </c>
      <c r="L1349" s="14">
        <v>2000</v>
      </c>
      <c r="M1349" s="14" t="s">
        <v>1327</v>
      </c>
      <c r="O1349" s="14">
        <v>2005</v>
      </c>
      <c r="P1349" s="14">
        <v>2005</v>
      </c>
      <c r="Q1349" s="14" t="s">
        <v>1329</v>
      </c>
      <c r="R1349" s="14">
        <v>10</v>
      </c>
      <c r="T1349" s="14" t="s">
        <v>1330</v>
      </c>
      <c r="U1349" s="14" t="s">
        <v>1341</v>
      </c>
      <c r="V1349" s="12"/>
      <c r="W1349" s="14">
        <v>35</v>
      </c>
      <c r="X1349" s="12" t="s">
        <v>1334</v>
      </c>
      <c r="Y1349" s="14" t="s">
        <v>2996</v>
      </c>
      <c r="Z1349" s="14">
        <v>12</v>
      </c>
      <c r="AD1349" s="14" t="s">
        <v>1165</v>
      </c>
      <c r="AF1349" s="14" t="s">
        <v>1165</v>
      </c>
      <c r="AI1349" s="14" t="s">
        <v>1165</v>
      </c>
      <c r="AJ1349" s="15" t="s">
        <v>1148</v>
      </c>
      <c r="AK1349" s="15">
        <v>23.114999999999998</v>
      </c>
      <c r="AP1349" s="15">
        <v>28</v>
      </c>
      <c r="AQ1349" s="14" t="s">
        <v>1336</v>
      </c>
      <c r="AR1349" s="15" t="s">
        <v>1335</v>
      </c>
      <c r="AS1349" s="14" t="s">
        <v>3002</v>
      </c>
    </row>
    <row r="1350" spans="1:45" s="14" customFormat="1" x14ac:dyDescent="0.2">
      <c r="A1350" s="14" t="s">
        <v>1326</v>
      </c>
      <c r="B1350" s="15" t="s">
        <v>1146</v>
      </c>
      <c r="C1350" s="15" t="s">
        <v>1149</v>
      </c>
      <c r="D1350" s="14" t="s">
        <v>1344</v>
      </c>
      <c r="E1350" s="14" t="s">
        <v>1345</v>
      </c>
      <c r="G1350" s="15" t="s">
        <v>1165</v>
      </c>
      <c r="H1350" s="14" t="s">
        <v>1165</v>
      </c>
      <c r="I1350" s="18" t="s">
        <v>1328</v>
      </c>
      <c r="J1350" s="18" t="s">
        <v>1337</v>
      </c>
      <c r="K1350" s="18" t="s">
        <v>1338</v>
      </c>
      <c r="L1350" s="14">
        <v>2000</v>
      </c>
      <c r="M1350" s="14" t="s">
        <v>1327</v>
      </c>
      <c r="O1350" s="14">
        <v>2005</v>
      </c>
      <c r="P1350" s="14">
        <v>2005</v>
      </c>
      <c r="Q1350" s="14" t="s">
        <v>1329</v>
      </c>
      <c r="R1350" s="14">
        <v>10</v>
      </c>
      <c r="T1350" s="14" t="s">
        <v>1330</v>
      </c>
      <c r="U1350" s="14" t="s">
        <v>1341</v>
      </c>
      <c r="V1350" s="12"/>
      <c r="W1350" s="14">
        <v>35</v>
      </c>
      <c r="X1350" s="12" t="s">
        <v>1333</v>
      </c>
      <c r="Y1350" s="14" t="s">
        <v>2996</v>
      </c>
      <c r="Z1350" s="14">
        <v>0</v>
      </c>
      <c r="AD1350" s="14" t="s">
        <v>1165</v>
      </c>
      <c r="AF1350" s="14" t="s">
        <v>1165</v>
      </c>
      <c r="AI1350" s="14" t="s">
        <v>1165</v>
      </c>
      <c r="AJ1350" s="15" t="s">
        <v>1148</v>
      </c>
      <c r="AK1350" s="15">
        <v>0</v>
      </c>
      <c r="AP1350" s="15">
        <v>28</v>
      </c>
      <c r="AQ1350" s="14" t="s">
        <v>1336</v>
      </c>
      <c r="AR1350" s="15" t="s">
        <v>1335</v>
      </c>
      <c r="AS1350" s="14" t="s">
        <v>3002</v>
      </c>
    </row>
    <row r="1351" spans="1:45" s="14" customFormat="1" x14ac:dyDescent="0.2">
      <c r="A1351" s="14" t="s">
        <v>1326</v>
      </c>
      <c r="B1351" s="15" t="s">
        <v>1146</v>
      </c>
      <c r="C1351" s="15" t="s">
        <v>1149</v>
      </c>
      <c r="D1351" s="14" t="s">
        <v>1344</v>
      </c>
      <c r="E1351" s="14" t="s">
        <v>1345</v>
      </c>
      <c r="G1351" s="15" t="s">
        <v>1165</v>
      </c>
      <c r="H1351" s="14" t="s">
        <v>1165</v>
      </c>
      <c r="I1351" s="18" t="s">
        <v>1328</v>
      </c>
      <c r="J1351" s="18" t="s">
        <v>1337</v>
      </c>
      <c r="K1351" s="18" t="s">
        <v>1338</v>
      </c>
      <c r="L1351" s="14">
        <v>2000</v>
      </c>
      <c r="M1351" s="14" t="s">
        <v>1327</v>
      </c>
      <c r="O1351" s="14">
        <v>2005</v>
      </c>
      <c r="P1351" s="14">
        <v>2005</v>
      </c>
      <c r="Q1351" s="14" t="s">
        <v>1329</v>
      </c>
      <c r="R1351" s="14">
        <v>10</v>
      </c>
      <c r="T1351" s="14" t="s">
        <v>1330</v>
      </c>
      <c r="U1351" s="14" t="s">
        <v>1341</v>
      </c>
      <c r="V1351" s="12"/>
      <c r="W1351" s="14">
        <v>35</v>
      </c>
      <c r="X1351" s="12" t="s">
        <v>1264</v>
      </c>
      <c r="Y1351" s="14" t="s">
        <v>2996</v>
      </c>
      <c r="Z1351" s="14">
        <v>0</v>
      </c>
      <c r="AD1351" s="14" t="s">
        <v>1165</v>
      </c>
      <c r="AF1351" s="14" t="s">
        <v>1165</v>
      </c>
      <c r="AI1351" s="14" t="s">
        <v>1165</v>
      </c>
      <c r="AJ1351" s="15" t="s">
        <v>1148</v>
      </c>
      <c r="AK1351" s="15">
        <v>0</v>
      </c>
      <c r="AP1351" s="15">
        <v>28</v>
      </c>
      <c r="AQ1351" s="14" t="s">
        <v>1336</v>
      </c>
      <c r="AR1351" s="15" t="s">
        <v>1335</v>
      </c>
      <c r="AS1351" s="14" t="s">
        <v>3002</v>
      </c>
    </row>
    <row r="1352" spans="1:45" s="14" customFormat="1" x14ac:dyDescent="0.2">
      <c r="A1352" s="14" t="s">
        <v>1326</v>
      </c>
      <c r="B1352" s="15" t="s">
        <v>1146</v>
      </c>
      <c r="C1352" s="15" t="s">
        <v>1149</v>
      </c>
      <c r="D1352" s="14" t="s">
        <v>1344</v>
      </c>
      <c r="E1352" s="14" t="s">
        <v>1345</v>
      </c>
      <c r="G1352" s="15" t="s">
        <v>1165</v>
      </c>
      <c r="H1352" s="14" t="s">
        <v>1165</v>
      </c>
      <c r="I1352" s="18" t="s">
        <v>1328</v>
      </c>
      <c r="J1352" s="18" t="s">
        <v>1337</v>
      </c>
      <c r="K1352" s="18" t="s">
        <v>1338</v>
      </c>
      <c r="L1352" s="14">
        <v>2000</v>
      </c>
      <c r="M1352" s="14" t="s">
        <v>1327</v>
      </c>
      <c r="O1352" s="14">
        <v>2005</v>
      </c>
      <c r="P1352" s="14">
        <v>2005</v>
      </c>
      <c r="Q1352" s="14" t="s">
        <v>1329</v>
      </c>
      <c r="R1352" s="14">
        <v>10</v>
      </c>
      <c r="T1352" s="14" t="s">
        <v>1330</v>
      </c>
      <c r="U1352" s="14" t="s">
        <v>1341</v>
      </c>
      <c r="V1352" s="12"/>
      <c r="W1352" s="14">
        <v>35</v>
      </c>
      <c r="X1352" s="12" t="s">
        <v>1261</v>
      </c>
      <c r="Y1352" s="14" t="s">
        <v>2996</v>
      </c>
      <c r="Z1352" s="14">
        <v>0</v>
      </c>
      <c r="AD1352" s="14" t="s">
        <v>1165</v>
      </c>
      <c r="AF1352" s="14" t="s">
        <v>1165</v>
      </c>
      <c r="AI1352" s="14" t="s">
        <v>1165</v>
      </c>
      <c r="AJ1352" s="15" t="s">
        <v>1148</v>
      </c>
      <c r="AK1352" s="15">
        <v>0</v>
      </c>
      <c r="AP1352" s="15">
        <v>28</v>
      </c>
      <c r="AQ1352" s="14" t="s">
        <v>1336</v>
      </c>
      <c r="AR1352" s="15" t="s">
        <v>1335</v>
      </c>
      <c r="AS1352" s="14" t="s">
        <v>3002</v>
      </c>
    </row>
    <row r="1353" spans="1:45" s="14" customFormat="1" x14ac:dyDescent="0.2">
      <c r="A1353" s="14" t="s">
        <v>1326</v>
      </c>
      <c r="B1353" s="15" t="s">
        <v>1146</v>
      </c>
      <c r="C1353" s="15" t="s">
        <v>1149</v>
      </c>
      <c r="D1353" s="14" t="s">
        <v>1344</v>
      </c>
      <c r="E1353" s="14" t="s">
        <v>1345</v>
      </c>
      <c r="G1353" s="15" t="s">
        <v>1165</v>
      </c>
      <c r="H1353" s="14" t="s">
        <v>1165</v>
      </c>
      <c r="I1353" s="18" t="s">
        <v>1328</v>
      </c>
      <c r="J1353" s="18" t="s">
        <v>1337</v>
      </c>
      <c r="K1353" s="18" t="s">
        <v>1338</v>
      </c>
      <c r="L1353" s="14">
        <v>2000</v>
      </c>
      <c r="M1353" s="14" t="s">
        <v>1327</v>
      </c>
      <c r="O1353" s="14">
        <v>2005</v>
      </c>
      <c r="P1353" s="14">
        <v>2005</v>
      </c>
      <c r="Q1353" s="14" t="s">
        <v>1329</v>
      </c>
      <c r="R1353" s="14">
        <v>10</v>
      </c>
      <c r="T1353" s="14" t="s">
        <v>1330</v>
      </c>
      <c r="U1353" s="14" t="s">
        <v>1341</v>
      </c>
      <c r="V1353" s="12"/>
      <c r="W1353" s="14">
        <v>35</v>
      </c>
      <c r="X1353" s="12" t="s">
        <v>1334</v>
      </c>
      <c r="Y1353" s="14" t="s">
        <v>2996</v>
      </c>
      <c r="Z1353" s="14">
        <v>0</v>
      </c>
      <c r="AD1353" s="14" t="s">
        <v>1165</v>
      </c>
      <c r="AF1353" s="14" t="s">
        <v>1165</v>
      </c>
      <c r="AI1353" s="14" t="s">
        <v>1165</v>
      </c>
      <c r="AJ1353" s="15" t="s">
        <v>1148</v>
      </c>
      <c r="AK1353" s="15">
        <v>0</v>
      </c>
      <c r="AP1353" s="15">
        <v>28</v>
      </c>
      <c r="AQ1353" s="14" t="s">
        <v>1336</v>
      </c>
      <c r="AR1353" s="15" t="s">
        <v>1335</v>
      </c>
      <c r="AS1353" s="14" t="s">
        <v>3002</v>
      </c>
    </row>
    <row r="1354" spans="1:45" s="14" customFormat="1" x14ac:dyDescent="0.2">
      <c r="A1354" s="14" t="s">
        <v>1326</v>
      </c>
      <c r="B1354" s="15" t="s">
        <v>1146</v>
      </c>
      <c r="C1354" s="15" t="s">
        <v>1149</v>
      </c>
      <c r="D1354" s="14" t="s">
        <v>1344</v>
      </c>
      <c r="E1354" s="14" t="s">
        <v>1345</v>
      </c>
      <c r="G1354" s="15" t="s">
        <v>1165</v>
      </c>
      <c r="H1354" s="14" t="s">
        <v>1165</v>
      </c>
      <c r="I1354" s="18" t="s">
        <v>1328</v>
      </c>
      <c r="J1354" s="18" t="s">
        <v>1337</v>
      </c>
      <c r="K1354" s="18" t="s">
        <v>1338</v>
      </c>
      <c r="L1354" s="14">
        <v>2000</v>
      </c>
      <c r="M1354" s="14" t="s">
        <v>1327</v>
      </c>
      <c r="O1354" s="14">
        <v>2005</v>
      </c>
      <c r="P1354" s="14">
        <v>2005</v>
      </c>
      <c r="Q1354" s="14" t="s">
        <v>1329</v>
      </c>
      <c r="R1354" s="14">
        <v>10</v>
      </c>
      <c r="T1354" s="14" t="s">
        <v>1330</v>
      </c>
      <c r="U1354" s="14" t="s">
        <v>1341</v>
      </c>
      <c r="V1354" s="12"/>
      <c r="W1354" s="14">
        <v>70</v>
      </c>
      <c r="X1354" s="12" t="s">
        <v>1333</v>
      </c>
      <c r="Y1354" s="14" t="s">
        <v>2997</v>
      </c>
      <c r="Z1354" s="14">
        <v>12</v>
      </c>
      <c r="AD1354" s="14" t="s">
        <v>1165</v>
      </c>
      <c r="AF1354" s="14" t="s">
        <v>1165</v>
      </c>
      <c r="AI1354" s="14" t="s">
        <v>1165</v>
      </c>
      <c r="AJ1354" s="15" t="s">
        <v>1148</v>
      </c>
      <c r="AK1354" s="15">
        <v>4.0670000000000002</v>
      </c>
      <c r="AP1354" s="15">
        <v>28</v>
      </c>
      <c r="AQ1354" s="14" t="s">
        <v>1336</v>
      </c>
      <c r="AR1354" s="15" t="s">
        <v>1335</v>
      </c>
      <c r="AS1354" s="14" t="s">
        <v>3002</v>
      </c>
    </row>
    <row r="1355" spans="1:45" s="14" customFormat="1" x14ac:dyDescent="0.2">
      <c r="A1355" s="14" t="s">
        <v>1326</v>
      </c>
      <c r="B1355" s="15" t="s">
        <v>1146</v>
      </c>
      <c r="C1355" s="15" t="s">
        <v>1149</v>
      </c>
      <c r="D1355" s="14" t="s">
        <v>1344</v>
      </c>
      <c r="E1355" s="14" t="s">
        <v>1345</v>
      </c>
      <c r="G1355" s="15" t="s">
        <v>1165</v>
      </c>
      <c r="H1355" s="14" t="s">
        <v>1165</v>
      </c>
      <c r="I1355" s="18" t="s">
        <v>1328</v>
      </c>
      <c r="J1355" s="18" t="s">
        <v>1337</v>
      </c>
      <c r="K1355" s="18" t="s">
        <v>1338</v>
      </c>
      <c r="L1355" s="14">
        <v>2000</v>
      </c>
      <c r="M1355" s="14" t="s">
        <v>1327</v>
      </c>
      <c r="O1355" s="14">
        <v>2005</v>
      </c>
      <c r="P1355" s="14">
        <v>2005</v>
      </c>
      <c r="Q1355" s="14" t="s">
        <v>1329</v>
      </c>
      <c r="R1355" s="14">
        <v>10</v>
      </c>
      <c r="T1355" s="14" t="s">
        <v>1330</v>
      </c>
      <c r="U1355" s="14" t="s">
        <v>1341</v>
      </c>
      <c r="V1355" s="12"/>
      <c r="W1355" s="14">
        <v>70</v>
      </c>
      <c r="X1355" s="12" t="s">
        <v>1264</v>
      </c>
      <c r="Y1355" s="14" t="s">
        <v>2997</v>
      </c>
      <c r="Z1355" s="14">
        <v>12</v>
      </c>
      <c r="AD1355" s="14" t="s">
        <v>1165</v>
      </c>
      <c r="AF1355" s="14" t="s">
        <v>1165</v>
      </c>
      <c r="AI1355" s="14" t="s">
        <v>1165</v>
      </c>
      <c r="AJ1355" s="15" t="s">
        <v>1148</v>
      </c>
      <c r="AK1355" s="15">
        <v>21.527999999999999</v>
      </c>
      <c r="AP1355" s="15">
        <v>28</v>
      </c>
      <c r="AQ1355" s="14" t="s">
        <v>1336</v>
      </c>
      <c r="AR1355" s="15" t="s">
        <v>1335</v>
      </c>
      <c r="AS1355" s="14" t="s">
        <v>3002</v>
      </c>
    </row>
    <row r="1356" spans="1:45" s="14" customFormat="1" x14ac:dyDescent="0.2">
      <c r="A1356" s="14" t="s">
        <v>1326</v>
      </c>
      <c r="B1356" s="15" t="s">
        <v>1146</v>
      </c>
      <c r="C1356" s="15" t="s">
        <v>1149</v>
      </c>
      <c r="D1356" s="14" t="s">
        <v>1344</v>
      </c>
      <c r="E1356" s="14" t="s">
        <v>1345</v>
      </c>
      <c r="G1356" s="15" t="s">
        <v>1165</v>
      </c>
      <c r="H1356" s="14" t="s">
        <v>1165</v>
      </c>
      <c r="I1356" s="18" t="s">
        <v>1328</v>
      </c>
      <c r="J1356" s="18" t="s">
        <v>1337</v>
      </c>
      <c r="K1356" s="18" t="s">
        <v>1338</v>
      </c>
      <c r="L1356" s="14">
        <v>2000</v>
      </c>
      <c r="M1356" s="14" t="s">
        <v>1327</v>
      </c>
      <c r="O1356" s="14">
        <v>2005</v>
      </c>
      <c r="P1356" s="14">
        <v>2005</v>
      </c>
      <c r="Q1356" s="14" t="s">
        <v>1329</v>
      </c>
      <c r="R1356" s="14">
        <v>10</v>
      </c>
      <c r="T1356" s="14" t="s">
        <v>1330</v>
      </c>
      <c r="U1356" s="14" t="s">
        <v>1341</v>
      </c>
      <c r="V1356" s="12"/>
      <c r="W1356" s="14">
        <v>70</v>
      </c>
      <c r="X1356" s="12" t="s">
        <v>1261</v>
      </c>
      <c r="Y1356" s="14" t="s">
        <v>2997</v>
      </c>
      <c r="Z1356" s="14">
        <v>12</v>
      </c>
      <c r="AD1356" s="14" t="s">
        <v>1165</v>
      </c>
      <c r="AF1356" s="14" t="s">
        <v>1165</v>
      </c>
      <c r="AI1356" s="14" t="s">
        <v>1165</v>
      </c>
      <c r="AJ1356" s="15" t="s">
        <v>1148</v>
      </c>
      <c r="AK1356" s="15">
        <v>81.844999999999999</v>
      </c>
      <c r="AP1356" s="15">
        <v>28</v>
      </c>
      <c r="AQ1356" s="14" t="s">
        <v>1336</v>
      </c>
      <c r="AR1356" s="15" t="s">
        <v>1335</v>
      </c>
      <c r="AS1356" s="14" t="s">
        <v>3002</v>
      </c>
    </row>
    <row r="1357" spans="1:45" s="14" customFormat="1" x14ac:dyDescent="0.2">
      <c r="A1357" s="14" t="s">
        <v>1326</v>
      </c>
      <c r="B1357" s="15" t="s">
        <v>1146</v>
      </c>
      <c r="C1357" s="15" t="s">
        <v>1149</v>
      </c>
      <c r="D1357" s="14" t="s">
        <v>1344</v>
      </c>
      <c r="E1357" s="14" t="s">
        <v>1345</v>
      </c>
      <c r="G1357" s="15" t="s">
        <v>1165</v>
      </c>
      <c r="H1357" s="14" t="s">
        <v>1165</v>
      </c>
      <c r="I1357" s="18" t="s">
        <v>1328</v>
      </c>
      <c r="J1357" s="18" t="s">
        <v>1337</v>
      </c>
      <c r="K1357" s="18" t="s">
        <v>1338</v>
      </c>
      <c r="L1357" s="14">
        <v>2000</v>
      </c>
      <c r="M1357" s="14" t="s">
        <v>1327</v>
      </c>
      <c r="O1357" s="14">
        <v>2005</v>
      </c>
      <c r="P1357" s="14">
        <v>2005</v>
      </c>
      <c r="Q1357" s="14" t="s">
        <v>1329</v>
      </c>
      <c r="R1357" s="14">
        <v>10</v>
      </c>
      <c r="T1357" s="14" t="s">
        <v>1330</v>
      </c>
      <c r="U1357" s="14" t="s">
        <v>1341</v>
      </c>
      <c r="V1357" s="12"/>
      <c r="W1357" s="14">
        <v>70</v>
      </c>
      <c r="X1357" s="12" t="s">
        <v>1334</v>
      </c>
      <c r="Y1357" s="14" t="s">
        <v>2997</v>
      </c>
      <c r="Z1357" s="14">
        <v>12</v>
      </c>
      <c r="AD1357" s="14" t="s">
        <v>1165</v>
      </c>
      <c r="AF1357" s="14" t="s">
        <v>1165</v>
      </c>
      <c r="AI1357" s="14" t="s">
        <v>1165</v>
      </c>
      <c r="AJ1357" s="15" t="s">
        <v>1148</v>
      </c>
      <c r="AK1357" s="15">
        <v>32.639000000000003</v>
      </c>
      <c r="AP1357" s="15">
        <v>28</v>
      </c>
      <c r="AQ1357" s="14" t="s">
        <v>1336</v>
      </c>
      <c r="AR1357" s="15" t="s">
        <v>1335</v>
      </c>
      <c r="AS1357" s="14" t="s">
        <v>3002</v>
      </c>
    </row>
    <row r="1358" spans="1:45" s="14" customFormat="1" x14ac:dyDescent="0.2">
      <c r="A1358" s="14" t="s">
        <v>1326</v>
      </c>
      <c r="B1358" s="15" t="s">
        <v>1146</v>
      </c>
      <c r="C1358" s="15" t="s">
        <v>1149</v>
      </c>
      <c r="D1358" s="14" t="s">
        <v>1344</v>
      </c>
      <c r="E1358" s="14" t="s">
        <v>1345</v>
      </c>
      <c r="G1358" s="15" t="s">
        <v>1165</v>
      </c>
      <c r="H1358" s="14" t="s">
        <v>1165</v>
      </c>
      <c r="I1358" s="18" t="s">
        <v>1328</v>
      </c>
      <c r="J1358" s="18" t="s">
        <v>1337</v>
      </c>
      <c r="K1358" s="18" t="s">
        <v>1338</v>
      </c>
      <c r="L1358" s="14">
        <v>2000</v>
      </c>
      <c r="M1358" s="14" t="s">
        <v>1327</v>
      </c>
      <c r="O1358" s="14">
        <v>2005</v>
      </c>
      <c r="P1358" s="14">
        <v>2005</v>
      </c>
      <c r="Q1358" s="14" t="s">
        <v>1329</v>
      </c>
      <c r="R1358" s="14">
        <v>10</v>
      </c>
      <c r="T1358" s="14" t="s">
        <v>1330</v>
      </c>
      <c r="U1358" s="14" t="s">
        <v>1341</v>
      </c>
      <c r="V1358" s="12"/>
      <c r="W1358" s="14">
        <v>70</v>
      </c>
      <c r="X1358" s="12" t="s">
        <v>1333</v>
      </c>
      <c r="Y1358" s="14" t="s">
        <v>2997</v>
      </c>
      <c r="Z1358" s="14">
        <v>0</v>
      </c>
      <c r="AD1358" s="14" t="s">
        <v>1165</v>
      </c>
      <c r="AF1358" s="14" t="s">
        <v>1165</v>
      </c>
      <c r="AI1358" s="14" t="s">
        <v>1165</v>
      </c>
      <c r="AJ1358" s="15" t="s">
        <v>1148</v>
      </c>
      <c r="AK1358" s="15">
        <v>0</v>
      </c>
      <c r="AP1358" s="15">
        <v>28</v>
      </c>
      <c r="AQ1358" s="14" t="s">
        <v>1336</v>
      </c>
      <c r="AR1358" s="15" t="s">
        <v>1335</v>
      </c>
      <c r="AS1358" s="14" t="s">
        <v>3002</v>
      </c>
    </row>
    <row r="1359" spans="1:45" s="14" customFormat="1" x14ac:dyDescent="0.2">
      <c r="A1359" s="14" t="s">
        <v>1326</v>
      </c>
      <c r="B1359" s="15" t="s">
        <v>1146</v>
      </c>
      <c r="C1359" s="15" t="s">
        <v>1149</v>
      </c>
      <c r="D1359" s="14" t="s">
        <v>1344</v>
      </c>
      <c r="E1359" s="14" t="s">
        <v>1345</v>
      </c>
      <c r="G1359" s="15" t="s">
        <v>1165</v>
      </c>
      <c r="H1359" s="14" t="s">
        <v>1165</v>
      </c>
      <c r="I1359" s="18" t="s">
        <v>1328</v>
      </c>
      <c r="J1359" s="18" t="s">
        <v>1337</v>
      </c>
      <c r="K1359" s="18" t="s">
        <v>1338</v>
      </c>
      <c r="L1359" s="14">
        <v>2000</v>
      </c>
      <c r="M1359" s="14" t="s">
        <v>1327</v>
      </c>
      <c r="O1359" s="14">
        <v>2005</v>
      </c>
      <c r="P1359" s="14">
        <v>2005</v>
      </c>
      <c r="Q1359" s="14" t="s">
        <v>1329</v>
      </c>
      <c r="R1359" s="14">
        <v>10</v>
      </c>
      <c r="T1359" s="14" t="s">
        <v>1330</v>
      </c>
      <c r="U1359" s="14" t="s">
        <v>1341</v>
      </c>
      <c r="V1359" s="12"/>
      <c r="W1359" s="14">
        <v>70</v>
      </c>
      <c r="X1359" s="12" t="s">
        <v>1264</v>
      </c>
      <c r="Y1359" s="14" t="s">
        <v>2997</v>
      </c>
      <c r="Z1359" s="14">
        <v>0</v>
      </c>
      <c r="AD1359" s="14" t="s">
        <v>1165</v>
      </c>
      <c r="AF1359" s="14" t="s">
        <v>1165</v>
      </c>
      <c r="AI1359" s="14" t="s">
        <v>1165</v>
      </c>
      <c r="AJ1359" s="15" t="s">
        <v>1148</v>
      </c>
      <c r="AK1359" s="15">
        <v>0</v>
      </c>
      <c r="AP1359" s="15">
        <v>28</v>
      </c>
      <c r="AQ1359" s="14" t="s">
        <v>1336</v>
      </c>
      <c r="AR1359" s="15" t="s">
        <v>1335</v>
      </c>
      <c r="AS1359" s="14" t="s">
        <v>3002</v>
      </c>
    </row>
    <row r="1360" spans="1:45" s="14" customFormat="1" x14ac:dyDescent="0.2">
      <c r="A1360" s="14" t="s">
        <v>1326</v>
      </c>
      <c r="B1360" s="15" t="s">
        <v>1146</v>
      </c>
      <c r="C1360" s="15" t="s">
        <v>1149</v>
      </c>
      <c r="D1360" s="14" t="s">
        <v>1344</v>
      </c>
      <c r="E1360" s="14" t="s">
        <v>1345</v>
      </c>
      <c r="G1360" s="15" t="s">
        <v>1165</v>
      </c>
      <c r="H1360" s="14" t="s">
        <v>1165</v>
      </c>
      <c r="I1360" s="18" t="s">
        <v>1328</v>
      </c>
      <c r="J1360" s="18" t="s">
        <v>1337</v>
      </c>
      <c r="K1360" s="18" t="s">
        <v>1338</v>
      </c>
      <c r="L1360" s="14">
        <v>2000</v>
      </c>
      <c r="M1360" s="14" t="s">
        <v>1327</v>
      </c>
      <c r="O1360" s="14">
        <v>2005</v>
      </c>
      <c r="P1360" s="14">
        <v>2005</v>
      </c>
      <c r="Q1360" s="14" t="s">
        <v>1329</v>
      </c>
      <c r="R1360" s="14">
        <v>10</v>
      </c>
      <c r="T1360" s="14" t="s">
        <v>1330</v>
      </c>
      <c r="U1360" s="14" t="s">
        <v>1341</v>
      </c>
      <c r="V1360" s="12"/>
      <c r="W1360" s="14">
        <v>70</v>
      </c>
      <c r="X1360" s="12" t="s">
        <v>1261</v>
      </c>
      <c r="Y1360" s="14" t="s">
        <v>2997</v>
      </c>
      <c r="Z1360" s="14">
        <v>0</v>
      </c>
      <c r="AD1360" s="14" t="s">
        <v>1165</v>
      </c>
      <c r="AF1360" s="14" t="s">
        <v>1165</v>
      </c>
      <c r="AI1360" s="14" t="s">
        <v>1165</v>
      </c>
      <c r="AJ1360" s="15" t="s">
        <v>1148</v>
      </c>
      <c r="AK1360" s="15">
        <v>0</v>
      </c>
      <c r="AP1360" s="15">
        <v>28</v>
      </c>
      <c r="AQ1360" s="14" t="s">
        <v>1336</v>
      </c>
      <c r="AR1360" s="15" t="s">
        <v>1335</v>
      </c>
      <c r="AS1360" s="14" t="s">
        <v>3002</v>
      </c>
    </row>
    <row r="1361" spans="1:45" s="14" customFormat="1" x14ac:dyDescent="0.2">
      <c r="A1361" s="14" t="s">
        <v>1326</v>
      </c>
      <c r="B1361" s="15" t="s">
        <v>1146</v>
      </c>
      <c r="C1361" s="15" t="s">
        <v>1149</v>
      </c>
      <c r="D1361" s="14" t="s">
        <v>1344</v>
      </c>
      <c r="E1361" s="14" t="s">
        <v>1345</v>
      </c>
      <c r="G1361" s="15" t="s">
        <v>1165</v>
      </c>
      <c r="H1361" s="14" t="s">
        <v>1165</v>
      </c>
      <c r="I1361" s="18" t="s">
        <v>1328</v>
      </c>
      <c r="J1361" s="18" t="s">
        <v>1337</v>
      </c>
      <c r="K1361" s="18" t="s">
        <v>1338</v>
      </c>
      <c r="L1361" s="14">
        <v>2000</v>
      </c>
      <c r="M1361" s="14" t="s">
        <v>1327</v>
      </c>
      <c r="O1361" s="14">
        <v>2005</v>
      </c>
      <c r="P1361" s="14">
        <v>2005</v>
      </c>
      <c r="Q1361" s="14" t="s">
        <v>1329</v>
      </c>
      <c r="R1361" s="14">
        <v>10</v>
      </c>
      <c r="T1361" s="14" t="s">
        <v>1330</v>
      </c>
      <c r="U1361" s="14" t="s">
        <v>1341</v>
      </c>
      <c r="V1361" s="12"/>
      <c r="W1361" s="14">
        <v>70</v>
      </c>
      <c r="X1361" s="12" t="s">
        <v>1334</v>
      </c>
      <c r="Y1361" s="14" t="s">
        <v>2997</v>
      </c>
      <c r="Z1361" s="14">
        <v>0</v>
      </c>
      <c r="AD1361" s="14" t="s">
        <v>1165</v>
      </c>
      <c r="AF1361" s="14" t="s">
        <v>1165</v>
      </c>
      <c r="AI1361" s="14" t="s">
        <v>1165</v>
      </c>
      <c r="AJ1361" s="15" t="s">
        <v>1148</v>
      </c>
      <c r="AK1361" s="15">
        <v>0</v>
      </c>
      <c r="AP1361" s="15">
        <v>28</v>
      </c>
      <c r="AQ1361" s="14" t="s">
        <v>1336</v>
      </c>
      <c r="AR1361" s="15" t="s">
        <v>1335</v>
      </c>
      <c r="AS1361" s="14" t="s">
        <v>3002</v>
      </c>
    </row>
    <row r="1362" spans="1:45" s="14" customFormat="1" x14ac:dyDescent="0.2">
      <c r="A1362" s="14" t="s">
        <v>1326</v>
      </c>
      <c r="B1362" s="15" t="s">
        <v>1146</v>
      </c>
      <c r="C1362" s="15" t="s">
        <v>1149</v>
      </c>
      <c r="D1362" s="14" t="s">
        <v>1344</v>
      </c>
      <c r="E1362" s="14" t="s">
        <v>1345</v>
      </c>
      <c r="G1362" s="15" t="s">
        <v>1165</v>
      </c>
      <c r="H1362" s="14" t="s">
        <v>1165</v>
      </c>
      <c r="I1362" s="18" t="s">
        <v>1328</v>
      </c>
      <c r="J1362" s="18" t="s">
        <v>1337</v>
      </c>
      <c r="K1362" s="18" t="s">
        <v>1338</v>
      </c>
      <c r="L1362" s="14">
        <v>2000</v>
      </c>
      <c r="M1362" s="14" t="s">
        <v>1327</v>
      </c>
      <c r="O1362" s="14">
        <v>2005</v>
      </c>
      <c r="P1362" s="14">
        <v>2005</v>
      </c>
      <c r="Q1362" s="14" t="s">
        <v>1329</v>
      </c>
      <c r="R1362" s="14">
        <v>10</v>
      </c>
      <c r="T1362" s="14" t="s">
        <v>1330</v>
      </c>
      <c r="U1362" s="14" t="s">
        <v>1341</v>
      </c>
      <c r="V1362" s="12"/>
      <c r="W1362" s="14">
        <v>140</v>
      </c>
      <c r="X1362" s="12" t="s">
        <v>1333</v>
      </c>
      <c r="Y1362" s="14" t="s">
        <v>2998</v>
      </c>
      <c r="Z1362" s="14">
        <v>12</v>
      </c>
      <c r="AD1362" s="14" t="s">
        <v>1165</v>
      </c>
      <c r="AF1362" s="14" t="s">
        <v>1165</v>
      </c>
      <c r="AI1362" s="14" t="s">
        <v>1165</v>
      </c>
      <c r="AJ1362" s="15" t="s">
        <v>1148</v>
      </c>
      <c r="AK1362" s="15">
        <v>18.353000000000002</v>
      </c>
      <c r="AP1362" s="15">
        <v>28</v>
      </c>
      <c r="AQ1362" s="14" t="s">
        <v>1336</v>
      </c>
      <c r="AR1362" s="15" t="s">
        <v>1335</v>
      </c>
      <c r="AS1362" s="14" t="s">
        <v>3002</v>
      </c>
    </row>
    <row r="1363" spans="1:45" s="14" customFormat="1" x14ac:dyDescent="0.2">
      <c r="A1363" s="14" t="s">
        <v>1326</v>
      </c>
      <c r="B1363" s="15" t="s">
        <v>1146</v>
      </c>
      <c r="C1363" s="15" t="s">
        <v>1149</v>
      </c>
      <c r="D1363" s="14" t="s">
        <v>1344</v>
      </c>
      <c r="E1363" s="14" t="s">
        <v>1345</v>
      </c>
      <c r="G1363" s="15" t="s">
        <v>1165</v>
      </c>
      <c r="H1363" s="14" t="s">
        <v>1165</v>
      </c>
      <c r="I1363" s="18" t="s">
        <v>1328</v>
      </c>
      <c r="J1363" s="18" t="s">
        <v>1337</v>
      </c>
      <c r="K1363" s="18" t="s">
        <v>1338</v>
      </c>
      <c r="L1363" s="14">
        <v>2000</v>
      </c>
      <c r="M1363" s="14" t="s">
        <v>1327</v>
      </c>
      <c r="O1363" s="14">
        <v>2005</v>
      </c>
      <c r="P1363" s="14">
        <v>2005</v>
      </c>
      <c r="Q1363" s="14" t="s">
        <v>1329</v>
      </c>
      <c r="R1363" s="14">
        <v>10</v>
      </c>
      <c r="T1363" s="14" t="s">
        <v>1330</v>
      </c>
      <c r="U1363" s="14" t="s">
        <v>1341</v>
      </c>
      <c r="V1363" s="12"/>
      <c r="W1363" s="14">
        <v>140</v>
      </c>
      <c r="X1363" s="12" t="s">
        <v>1264</v>
      </c>
      <c r="Y1363" s="14" t="s">
        <v>2998</v>
      </c>
      <c r="Z1363" s="14">
        <v>12</v>
      </c>
      <c r="AD1363" s="14" t="s">
        <v>1165</v>
      </c>
      <c r="AF1363" s="14" t="s">
        <v>1165</v>
      </c>
      <c r="AI1363" s="14" t="s">
        <v>1165</v>
      </c>
      <c r="AJ1363" s="15" t="s">
        <v>1148</v>
      </c>
      <c r="AK1363" s="15">
        <v>86.606999999999999</v>
      </c>
      <c r="AP1363" s="15">
        <v>28</v>
      </c>
      <c r="AQ1363" s="14" t="s">
        <v>1336</v>
      </c>
      <c r="AR1363" s="15" t="s">
        <v>1335</v>
      </c>
      <c r="AS1363" s="14" t="s">
        <v>3002</v>
      </c>
    </row>
    <row r="1364" spans="1:45" s="14" customFormat="1" x14ac:dyDescent="0.2">
      <c r="A1364" s="14" t="s">
        <v>1326</v>
      </c>
      <c r="B1364" s="15" t="s">
        <v>1146</v>
      </c>
      <c r="C1364" s="15" t="s">
        <v>1149</v>
      </c>
      <c r="D1364" s="14" t="s">
        <v>1344</v>
      </c>
      <c r="E1364" s="14" t="s">
        <v>1345</v>
      </c>
      <c r="G1364" s="15" t="s">
        <v>1165</v>
      </c>
      <c r="H1364" s="14" t="s">
        <v>1165</v>
      </c>
      <c r="I1364" s="18" t="s">
        <v>1328</v>
      </c>
      <c r="J1364" s="18" t="s">
        <v>1337</v>
      </c>
      <c r="K1364" s="18" t="s">
        <v>1338</v>
      </c>
      <c r="L1364" s="14">
        <v>2000</v>
      </c>
      <c r="M1364" s="14" t="s">
        <v>1327</v>
      </c>
      <c r="O1364" s="14">
        <v>2005</v>
      </c>
      <c r="P1364" s="14">
        <v>2005</v>
      </c>
      <c r="Q1364" s="14" t="s">
        <v>1329</v>
      </c>
      <c r="R1364" s="14">
        <v>10</v>
      </c>
      <c r="T1364" s="14" t="s">
        <v>1330</v>
      </c>
      <c r="U1364" s="14" t="s">
        <v>1341</v>
      </c>
      <c r="V1364" s="12"/>
      <c r="W1364" s="14">
        <v>140</v>
      </c>
      <c r="X1364" s="12" t="s">
        <v>1261</v>
      </c>
      <c r="Y1364" s="14" t="s">
        <v>2998</v>
      </c>
      <c r="Z1364" s="14">
        <v>12</v>
      </c>
      <c r="AD1364" s="14" t="s">
        <v>1165</v>
      </c>
      <c r="AF1364" s="14" t="s">
        <v>1165</v>
      </c>
      <c r="AI1364" s="14" t="s">
        <v>1165</v>
      </c>
      <c r="AJ1364" s="15" t="s">
        <v>1148</v>
      </c>
      <c r="AK1364" s="15">
        <v>96.924999999999997</v>
      </c>
      <c r="AP1364" s="15">
        <v>28</v>
      </c>
      <c r="AQ1364" s="14" t="s">
        <v>1336</v>
      </c>
      <c r="AR1364" s="15" t="s">
        <v>1335</v>
      </c>
      <c r="AS1364" s="14" t="s">
        <v>3002</v>
      </c>
    </row>
    <row r="1365" spans="1:45" s="14" customFormat="1" x14ac:dyDescent="0.2">
      <c r="A1365" s="14" t="s">
        <v>1326</v>
      </c>
      <c r="B1365" s="15" t="s">
        <v>1146</v>
      </c>
      <c r="C1365" s="15" t="s">
        <v>1149</v>
      </c>
      <c r="D1365" s="14" t="s">
        <v>1344</v>
      </c>
      <c r="E1365" s="14" t="s">
        <v>1345</v>
      </c>
      <c r="G1365" s="15" t="s">
        <v>1165</v>
      </c>
      <c r="H1365" s="14" t="s">
        <v>1165</v>
      </c>
      <c r="I1365" s="18" t="s">
        <v>1328</v>
      </c>
      <c r="J1365" s="18" t="s">
        <v>1337</v>
      </c>
      <c r="K1365" s="18" t="s">
        <v>1338</v>
      </c>
      <c r="L1365" s="14">
        <v>2000</v>
      </c>
      <c r="M1365" s="14" t="s">
        <v>1327</v>
      </c>
      <c r="O1365" s="14">
        <v>2005</v>
      </c>
      <c r="P1365" s="14">
        <v>2005</v>
      </c>
      <c r="Q1365" s="14" t="s">
        <v>1329</v>
      </c>
      <c r="R1365" s="14">
        <v>10</v>
      </c>
      <c r="T1365" s="14" t="s">
        <v>1330</v>
      </c>
      <c r="U1365" s="14" t="s">
        <v>1341</v>
      </c>
      <c r="V1365" s="12"/>
      <c r="W1365" s="14">
        <v>140</v>
      </c>
      <c r="X1365" s="12" t="s">
        <v>1334</v>
      </c>
      <c r="Y1365" s="14" t="s">
        <v>2998</v>
      </c>
      <c r="Z1365" s="14">
        <v>12</v>
      </c>
      <c r="AD1365" s="14" t="s">
        <v>1165</v>
      </c>
      <c r="AF1365" s="14" t="s">
        <v>1165</v>
      </c>
      <c r="AI1365" s="14" t="s">
        <v>1165</v>
      </c>
      <c r="AJ1365" s="15" t="s">
        <v>1148</v>
      </c>
      <c r="AK1365" s="15">
        <v>69.147000000000006</v>
      </c>
      <c r="AP1365" s="15">
        <v>28</v>
      </c>
      <c r="AQ1365" s="14" t="s">
        <v>1336</v>
      </c>
      <c r="AR1365" s="15" t="s">
        <v>1335</v>
      </c>
      <c r="AS1365" s="14" t="s">
        <v>3002</v>
      </c>
    </row>
    <row r="1366" spans="1:45" s="14" customFormat="1" x14ac:dyDescent="0.2">
      <c r="A1366" s="14" t="s">
        <v>1326</v>
      </c>
      <c r="B1366" s="15" t="s">
        <v>1146</v>
      </c>
      <c r="C1366" s="15" t="s">
        <v>1149</v>
      </c>
      <c r="D1366" s="14" t="s">
        <v>1344</v>
      </c>
      <c r="E1366" s="14" t="s">
        <v>1345</v>
      </c>
      <c r="G1366" s="15" t="s">
        <v>1165</v>
      </c>
      <c r="H1366" s="14" t="s">
        <v>1165</v>
      </c>
      <c r="I1366" s="18" t="s">
        <v>1328</v>
      </c>
      <c r="J1366" s="18" t="s">
        <v>1337</v>
      </c>
      <c r="K1366" s="18" t="s">
        <v>1338</v>
      </c>
      <c r="L1366" s="14">
        <v>2000</v>
      </c>
      <c r="M1366" s="14" t="s">
        <v>1327</v>
      </c>
      <c r="O1366" s="14">
        <v>2005</v>
      </c>
      <c r="P1366" s="14">
        <v>2005</v>
      </c>
      <c r="Q1366" s="14" t="s">
        <v>1329</v>
      </c>
      <c r="R1366" s="14">
        <v>10</v>
      </c>
      <c r="T1366" s="14" t="s">
        <v>1330</v>
      </c>
      <c r="U1366" s="14" t="s">
        <v>1341</v>
      </c>
      <c r="V1366" s="12"/>
      <c r="W1366" s="14">
        <v>140</v>
      </c>
      <c r="X1366" s="12" t="s">
        <v>1333</v>
      </c>
      <c r="Y1366" s="14" t="s">
        <v>2998</v>
      </c>
      <c r="Z1366" s="14">
        <v>0</v>
      </c>
      <c r="AD1366" s="14" t="s">
        <v>1165</v>
      </c>
      <c r="AF1366" s="14" t="s">
        <v>1165</v>
      </c>
      <c r="AI1366" s="14" t="s">
        <v>1165</v>
      </c>
      <c r="AJ1366" s="15" t="s">
        <v>1148</v>
      </c>
      <c r="AK1366" s="15">
        <v>0</v>
      </c>
      <c r="AP1366" s="15">
        <v>28</v>
      </c>
      <c r="AQ1366" s="14" t="s">
        <v>1336</v>
      </c>
      <c r="AR1366" s="15" t="s">
        <v>1335</v>
      </c>
      <c r="AS1366" s="14" t="s">
        <v>3002</v>
      </c>
    </row>
    <row r="1367" spans="1:45" s="14" customFormat="1" x14ac:dyDescent="0.2">
      <c r="A1367" s="14" t="s">
        <v>1326</v>
      </c>
      <c r="B1367" s="15" t="s">
        <v>1146</v>
      </c>
      <c r="C1367" s="15" t="s">
        <v>1149</v>
      </c>
      <c r="D1367" s="14" t="s">
        <v>1344</v>
      </c>
      <c r="E1367" s="14" t="s">
        <v>1345</v>
      </c>
      <c r="G1367" s="15" t="s">
        <v>1165</v>
      </c>
      <c r="H1367" s="14" t="s">
        <v>1165</v>
      </c>
      <c r="I1367" s="18" t="s">
        <v>1328</v>
      </c>
      <c r="J1367" s="18" t="s">
        <v>1337</v>
      </c>
      <c r="K1367" s="18" t="s">
        <v>1338</v>
      </c>
      <c r="L1367" s="14">
        <v>2000</v>
      </c>
      <c r="M1367" s="14" t="s">
        <v>1327</v>
      </c>
      <c r="O1367" s="14">
        <v>2005</v>
      </c>
      <c r="P1367" s="14">
        <v>2005</v>
      </c>
      <c r="Q1367" s="14" t="s">
        <v>1329</v>
      </c>
      <c r="R1367" s="14">
        <v>10</v>
      </c>
      <c r="T1367" s="14" t="s">
        <v>1330</v>
      </c>
      <c r="U1367" s="14" t="s">
        <v>1341</v>
      </c>
      <c r="V1367" s="12"/>
      <c r="W1367" s="14">
        <v>140</v>
      </c>
      <c r="X1367" s="12" t="s">
        <v>1264</v>
      </c>
      <c r="Y1367" s="14" t="s">
        <v>2998</v>
      </c>
      <c r="Z1367" s="14">
        <v>0</v>
      </c>
      <c r="AD1367" s="14" t="s">
        <v>1165</v>
      </c>
      <c r="AF1367" s="14" t="s">
        <v>1165</v>
      </c>
      <c r="AI1367" s="14" t="s">
        <v>1165</v>
      </c>
      <c r="AJ1367" s="15" t="s">
        <v>1148</v>
      </c>
      <c r="AK1367" s="15">
        <v>10.119</v>
      </c>
      <c r="AP1367" s="15">
        <v>28</v>
      </c>
      <c r="AQ1367" s="14" t="s">
        <v>1336</v>
      </c>
      <c r="AR1367" s="15" t="s">
        <v>1335</v>
      </c>
      <c r="AS1367" s="14" t="s">
        <v>3002</v>
      </c>
    </row>
    <row r="1368" spans="1:45" s="14" customFormat="1" x14ac:dyDescent="0.2">
      <c r="A1368" s="14" t="s">
        <v>1326</v>
      </c>
      <c r="B1368" s="15" t="s">
        <v>1146</v>
      </c>
      <c r="C1368" s="15" t="s">
        <v>1149</v>
      </c>
      <c r="D1368" s="14" t="s">
        <v>1344</v>
      </c>
      <c r="E1368" s="14" t="s">
        <v>1345</v>
      </c>
      <c r="G1368" s="15" t="s">
        <v>1165</v>
      </c>
      <c r="H1368" s="14" t="s">
        <v>1165</v>
      </c>
      <c r="I1368" s="18" t="s">
        <v>1328</v>
      </c>
      <c r="J1368" s="18" t="s">
        <v>1337</v>
      </c>
      <c r="K1368" s="18" t="s">
        <v>1338</v>
      </c>
      <c r="L1368" s="14">
        <v>2000</v>
      </c>
      <c r="M1368" s="14" t="s">
        <v>1327</v>
      </c>
      <c r="O1368" s="14">
        <v>2005</v>
      </c>
      <c r="P1368" s="14">
        <v>2005</v>
      </c>
      <c r="Q1368" s="14" t="s">
        <v>1329</v>
      </c>
      <c r="R1368" s="14">
        <v>10</v>
      </c>
      <c r="T1368" s="14" t="s">
        <v>1330</v>
      </c>
      <c r="U1368" s="14" t="s">
        <v>1341</v>
      </c>
      <c r="V1368" s="12"/>
      <c r="W1368" s="14">
        <v>140</v>
      </c>
      <c r="X1368" s="12" t="s">
        <v>1261</v>
      </c>
      <c r="Y1368" s="14" t="s">
        <v>2998</v>
      </c>
      <c r="Z1368" s="14">
        <v>0</v>
      </c>
      <c r="AD1368" s="14" t="s">
        <v>1165</v>
      </c>
      <c r="AF1368" s="14" t="s">
        <v>1165</v>
      </c>
      <c r="AI1368" s="14" t="s">
        <v>1165</v>
      </c>
      <c r="AJ1368" s="15" t="s">
        <v>1148</v>
      </c>
      <c r="AK1368" s="15">
        <v>7.7380000000000004</v>
      </c>
      <c r="AP1368" s="15">
        <v>28</v>
      </c>
      <c r="AQ1368" s="14" t="s">
        <v>1336</v>
      </c>
      <c r="AR1368" s="15" t="s">
        <v>1335</v>
      </c>
      <c r="AS1368" s="14" t="s">
        <v>3002</v>
      </c>
    </row>
    <row r="1369" spans="1:45" s="14" customFormat="1" x14ac:dyDescent="0.2">
      <c r="A1369" s="14" t="s">
        <v>1326</v>
      </c>
      <c r="B1369" s="15" t="s">
        <v>1146</v>
      </c>
      <c r="C1369" s="15" t="s">
        <v>1149</v>
      </c>
      <c r="D1369" s="14" t="s">
        <v>1344</v>
      </c>
      <c r="E1369" s="14" t="s">
        <v>1345</v>
      </c>
      <c r="G1369" s="15" t="s">
        <v>1165</v>
      </c>
      <c r="H1369" s="14" t="s">
        <v>1165</v>
      </c>
      <c r="I1369" s="18" t="s">
        <v>1328</v>
      </c>
      <c r="J1369" s="18" t="s">
        <v>1337</v>
      </c>
      <c r="K1369" s="18" t="s">
        <v>1338</v>
      </c>
      <c r="L1369" s="14">
        <v>2000</v>
      </c>
      <c r="M1369" s="14" t="s">
        <v>1327</v>
      </c>
      <c r="O1369" s="14">
        <v>2005</v>
      </c>
      <c r="P1369" s="14">
        <v>2005</v>
      </c>
      <c r="Q1369" s="14" t="s">
        <v>1329</v>
      </c>
      <c r="R1369" s="14">
        <v>10</v>
      </c>
      <c r="T1369" s="14" t="s">
        <v>1330</v>
      </c>
      <c r="U1369" s="14" t="s">
        <v>1341</v>
      </c>
      <c r="V1369" s="12"/>
      <c r="W1369" s="14">
        <v>140</v>
      </c>
      <c r="X1369" s="12" t="s">
        <v>1334</v>
      </c>
      <c r="Y1369" s="14" t="s">
        <v>2998</v>
      </c>
      <c r="Z1369" s="14">
        <v>0</v>
      </c>
      <c r="AD1369" s="14" t="s">
        <v>1165</v>
      </c>
      <c r="AF1369" s="14" t="s">
        <v>1165</v>
      </c>
      <c r="AI1369" s="14" t="s">
        <v>1165</v>
      </c>
      <c r="AJ1369" s="15" t="s">
        <v>1148</v>
      </c>
      <c r="AK1369" s="15">
        <v>1.6859999999999999</v>
      </c>
      <c r="AP1369" s="15">
        <v>28</v>
      </c>
      <c r="AQ1369" s="14" t="s">
        <v>1336</v>
      </c>
      <c r="AR1369" s="15" t="s">
        <v>1335</v>
      </c>
      <c r="AS1369" s="14" t="s">
        <v>3002</v>
      </c>
    </row>
    <row r="1370" spans="1:45" s="14" customFormat="1" x14ac:dyDescent="0.2">
      <c r="A1370" s="14" t="s">
        <v>1326</v>
      </c>
      <c r="B1370" s="15" t="s">
        <v>1146</v>
      </c>
      <c r="C1370" s="15" t="s">
        <v>1149</v>
      </c>
      <c r="D1370" s="14" t="s">
        <v>1344</v>
      </c>
      <c r="E1370" s="14" t="s">
        <v>1345</v>
      </c>
      <c r="G1370" s="15" t="s">
        <v>1165</v>
      </c>
      <c r="H1370" s="14" t="s">
        <v>1165</v>
      </c>
      <c r="I1370" s="18" t="s">
        <v>1328</v>
      </c>
      <c r="J1370" s="18" t="s">
        <v>1337</v>
      </c>
      <c r="K1370" s="18" t="s">
        <v>1338</v>
      </c>
      <c r="L1370" s="14">
        <v>2000</v>
      </c>
      <c r="M1370" s="14" t="s">
        <v>1327</v>
      </c>
      <c r="O1370" s="14">
        <v>2005</v>
      </c>
      <c r="P1370" s="14">
        <v>2005</v>
      </c>
      <c r="Q1370" s="14" t="s">
        <v>1329</v>
      </c>
      <c r="R1370" s="14">
        <v>10</v>
      </c>
      <c r="T1370" s="14" t="s">
        <v>1330</v>
      </c>
      <c r="U1370" s="14" t="s">
        <v>1341</v>
      </c>
      <c r="V1370" s="12"/>
      <c r="W1370" s="14">
        <v>210</v>
      </c>
      <c r="X1370" s="12" t="s">
        <v>1333</v>
      </c>
      <c r="Y1370" s="14" t="s">
        <v>2999</v>
      </c>
      <c r="Z1370" s="14">
        <v>12</v>
      </c>
      <c r="AD1370" s="14" t="s">
        <v>1165</v>
      </c>
      <c r="AF1370" s="14" t="s">
        <v>1165</v>
      </c>
      <c r="AI1370" s="14" t="s">
        <v>1165</v>
      </c>
      <c r="AJ1370" s="15" t="s">
        <v>1148</v>
      </c>
      <c r="AK1370" s="15">
        <v>17.262</v>
      </c>
      <c r="AP1370" s="15">
        <v>28</v>
      </c>
      <c r="AQ1370" s="14" t="s">
        <v>1336</v>
      </c>
      <c r="AR1370" s="15" t="s">
        <v>1335</v>
      </c>
      <c r="AS1370" s="14" t="s">
        <v>3002</v>
      </c>
    </row>
    <row r="1371" spans="1:45" s="14" customFormat="1" x14ac:dyDescent="0.2">
      <c r="A1371" s="14" t="s">
        <v>1326</v>
      </c>
      <c r="B1371" s="15" t="s">
        <v>1146</v>
      </c>
      <c r="C1371" s="15" t="s">
        <v>1149</v>
      </c>
      <c r="D1371" s="14" t="s">
        <v>1344</v>
      </c>
      <c r="E1371" s="14" t="s">
        <v>1345</v>
      </c>
      <c r="G1371" s="15" t="s">
        <v>1165</v>
      </c>
      <c r="H1371" s="14" t="s">
        <v>1165</v>
      </c>
      <c r="I1371" s="18" t="s">
        <v>1328</v>
      </c>
      <c r="J1371" s="18" t="s">
        <v>1337</v>
      </c>
      <c r="K1371" s="18" t="s">
        <v>1338</v>
      </c>
      <c r="L1371" s="14">
        <v>2000</v>
      </c>
      <c r="M1371" s="14" t="s">
        <v>1327</v>
      </c>
      <c r="O1371" s="14">
        <v>2005</v>
      </c>
      <c r="P1371" s="14">
        <v>2005</v>
      </c>
      <c r="Q1371" s="14" t="s">
        <v>1329</v>
      </c>
      <c r="R1371" s="14">
        <v>10</v>
      </c>
      <c r="T1371" s="14" t="s">
        <v>1330</v>
      </c>
      <c r="U1371" s="14" t="s">
        <v>1341</v>
      </c>
      <c r="V1371" s="12"/>
      <c r="W1371" s="14">
        <v>210</v>
      </c>
      <c r="X1371" s="12" t="s">
        <v>1264</v>
      </c>
      <c r="Y1371" s="14" t="s">
        <v>2999</v>
      </c>
      <c r="Z1371" s="14">
        <v>12</v>
      </c>
      <c r="AD1371" s="14" t="s">
        <v>1165</v>
      </c>
      <c r="AF1371" s="14" t="s">
        <v>1165</v>
      </c>
      <c r="AI1371" s="14" t="s">
        <v>1165</v>
      </c>
      <c r="AJ1371" s="15" t="s">
        <v>1148</v>
      </c>
      <c r="AK1371" s="15">
        <v>75.495999999999995</v>
      </c>
      <c r="AP1371" s="15">
        <v>28</v>
      </c>
      <c r="AQ1371" s="14" t="s">
        <v>1336</v>
      </c>
      <c r="AR1371" s="15" t="s">
        <v>1335</v>
      </c>
      <c r="AS1371" s="14" t="s">
        <v>3002</v>
      </c>
    </row>
    <row r="1372" spans="1:45" s="14" customFormat="1" x14ac:dyDescent="0.2">
      <c r="A1372" s="14" t="s">
        <v>1326</v>
      </c>
      <c r="B1372" s="15" t="s">
        <v>1146</v>
      </c>
      <c r="C1372" s="15" t="s">
        <v>1149</v>
      </c>
      <c r="D1372" s="14" t="s">
        <v>1344</v>
      </c>
      <c r="E1372" s="14" t="s">
        <v>1345</v>
      </c>
      <c r="G1372" s="15" t="s">
        <v>1165</v>
      </c>
      <c r="H1372" s="14" t="s">
        <v>1165</v>
      </c>
      <c r="I1372" s="18" t="s">
        <v>1328</v>
      </c>
      <c r="J1372" s="18" t="s">
        <v>1337</v>
      </c>
      <c r="K1372" s="18" t="s">
        <v>1338</v>
      </c>
      <c r="L1372" s="14">
        <v>2000</v>
      </c>
      <c r="M1372" s="14" t="s">
        <v>1327</v>
      </c>
      <c r="O1372" s="14">
        <v>2005</v>
      </c>
      <c r="P1372" s="14">
        <v>2005</v>
      </c>
      <c r="Q1372" s="14" t="s">
        <v>1329</v>
      </c>
      <c r="R1372" s="14">
        <v>10</v>
      </c>
      <c r="T1372" s="14" t="s">
        <v>1330</v>
      </c>
      <c r="U1372" s="14" t="s">
        <v>1341</v>
      </c>
      <c r="V1372" s="12"/>
      <c r="W1372" s="14">
        <v>210</v>
      </c>
      <c r="X1372" s="12" t="s">
        <v>1261</v>
      </c>
      <c r="Y1372" s="14" t="s">
        <v>2999</v>
      </c>
      <c r="Z1372" s="14">
        <v>12</v>
      </c>
      <c r="AD1372" s="14" t="s">
        <v>1165</v>
      </c>
      <c r="AF1372" s="14" t="s">
        <v>1165</v>
      </c>
      <c r="AI1372" s="14" t="s">
        <v>1165</v>
      </c>
      <c r="AJ1372" s="15" t="s">
        <v>1148</v>
      </c>
      <c r="AK1372" s="15">
        <v>92.162999999999997</v>
      </c>
      <c r="AP1372" s="15">
        <v>28</v>
      </c>
      <c r="AQ1372" s="14" t="s">
        <v>1336</v>
      </c>
      <c r="AR1372" s="15" t="s">
        <v>1335</v>
      </c>
      <c r="AS1372" s="14" t="s">
        <v>3002</v>
      </c>
    </row>
    <row r="1373" spans="1:45" s="14" customFormat="1" x14ac:dyDescent="0.2">
      <c r="A1373" s="14" t="s">
        <v>1326</v>
      </c>
      <c r="B1373" s="15" t="s">
        <v>1146</v>
      </c>
      <c r="C1373" s="15" t="s">
        <v>1149</v>
      </c>
      <c r="D1373" s="14" t="s">
        <v>1344</v>
      </c>
      <c r="E1373" s="14" t="s">
        <v>1345</v>
      </c>
      <c r="G1373" s="15" t="s">
        <v>1165</v>
      </c>
      <c r="H1373" s="14" t="s">
        <v>1165</v>
      </c>
      <c r="I1373" s="18" t="s">
        <v>1328</v>
      </c>
      <c r="J1373" s="18" t="s">
        <v>1337</v>
      </c>
      <c r="K1373" s="18" t="s">
        <v>1338</v>
      </c>
      <c r="L1373" s="14">
        <v>2000</v>
      </c>
      <c r="M1373" s="14" t="s">
        <v>1327</v>
      </c>
      <c r="O1373" s="14">
        <v>2005</v>
      </c>
      <c r="P1373" s="14">
        <v>2005</v>
      </c>
      <c r="Q1373" s="14" t="s">
        <v>1329</v>
      </c>
      <c r="R1373" s="14">
        <v>10</v>
      </c>
      <c r="T1373" s="14" t="s">
        <v>1330</v>
      </c>
      <c r="U1373" s="14" t="s">
        <v>1341</v>
      </c>
      <c r="V1373" s="12"/>
      <c r="W1373" s="14">
        <v>210</v>
      </c>
      <c r="X1373" s="12" t="s">
        <v>1334</v>
      </c>
      <c r="Y1373" s="14" t="s">
        <v>2999</v>
      </c>
      <c r="Z1373" s="14">
        <v>12</v>
      </c>
      <c r="AD1373" s="14" t="s">
        <v>1165</v>
      </c>
      <c r="AF1373" s="14" t="s">
        <v>1165</v>
      </c>
      <c r="AI1373" s="14" t="s">
        <v>1165</v>
      </c>
      <c r="AJ1373" s="15" t="s">
        <v>1148</v>
      </c>
      <c r="AK1373" s="15">
        <v>75.495999999999995</v>
      </c>
      <c r="AP1373" s="15">
        <v>28</v>
      </c>
      <c r="AQ1373" s="14" t="s">
        <v>1336</v>
      </c>
      <c r="AR1373" s="15" t="s">
        <v>1335</v>
      </c>
      <c r="AS1373" s="14" t="s">
        <v>3002</v>
      </c>
    </row>
    <row r="1374" spans="1:45" s="14" customFormat="1" x14ac:dyDescent="0.2">
      <c r="A1374" s="14" t="s">
        <v>1326</v>
      </c>
      <c r="B1374" s="15" t="s">
        <v>1146</v>
      </c>
      <c r="C1374" s="15" t="s">
        <v>1149</v>
      </c>
      <c r="D1374" s="14" t="s">
        <v>1344</v>
      </c>
      <c r="E1374" s="14" t="s">
        <v>1345</v>
      </c>
      <c r="G1374" s="15" t="s">
        <v>1165</v>
      </c>
      <c r="H1374" s="14" t="s">
        <v>1165</v>
      </c>
      <c r="I1374" s="18" t="s">
        <v>1328</v>
      </c>
      <c r="J1374" s="18" t="s">
        <v>1337</v>
      </c>
      <c r="K1374" s="18" t="s">
        <v>1338</v>
      </c>
      <c r="L1374" s="14">
        <v>2000</v>
      </c>
      <c r="M1374" s="14" t="s">
        <v>1327</v>
      </c>
      <c r="O1374" s="14">
        <v>2005</v>
      </c>
      <c r="P1374" s="14">
        <v>2005</v>
      </c>
      <c r="Q1374" s="14" t="s">
        <v>1329</v>
      </c>
      <c r="R1374" s="14">
        <v>10</v>
      </c>
      <c r="T1374" s="14" t="s">
        <v>1330</v>
      </c>
      <c r="U1374" s="14" t="s">
        <v>1341</v>
      </c>
      <c r="V1374" s="12"/>
      <c r="W1374" s="14">
        <v>210</v>
      </c>
      <c r="X1374" s="12" t="s">
        <v>1333</v>
      </c>
      <c r="Y1374" s="14" t="s">
        <v>2999</v>
      </c>
      <c r="Z1374" s="14">
        <v>0</v>
      </c>
      <c r="AD1374" s="14" t="s">
        <v>1165</v>
      </c>
      <c r="AF1374" s="14" t="s">
        <v>1165</v>
      </c>
      <c r="AI1374" s="14" t="s">
        <v>1165</v>
      </c>
      <c r="AJ1374" s="15" t="s">
        <v>1148</v>
      </c>
      <c r="AK1374" s="15">
        <v>0</v>
      </c>
      <c r="AP1374" s="15">
        <v>28</v>
      </c>
      <c r="AQ1374" s="14" t="s">
        <v>1336</v>
      </c>
      <c r="AR1374" s="15" t="s">
        <v>1335</v>
      </c>
      <c r="AS1374" s="14" t="s">
        <v>3002</v>
      </c>
    </row>
    <row r="1375" spans="1:45" s="14" customFormat="1" x14ac:dyDescent="0.2">
      <c r="A1375" s="14" t="s">
        <v>1326</v>
      </c>
      <c r="B1375" s="15" t="s">
        <v>1146</v>
      </c>
      <c r="C1375" s="15" t="s">
        <v>1149</v>
      </c>
      <c r="D1375" s="14" t="s">
        <v>1344</v>
      </c>
      <c r="E1375" s="14" t="s">
        <v>1345</v>
      </c>
      <c r="G1375" s="15" t="s">
        <v>1165</v>
      </c>
      <c r="H1375" s="14" t="s">
        <v>1165</v>
      </c>
      <c r="I1375" s="18" t="s">
        <v>1328</v>
      </c>
      <c r="J1375" s="18" t="s">
        <v>1337</v>
      </c>
      <c r="K1375" s="18" t="s">
        <v>1338</v>
      </c>
      <c r="L1375" s="14">
        <v>2000</v>
      </c>
      <c r="M1375" s="14" t="s">
        <v>1327</v>
      </c>
      <c r="O1375" s="14">
        <v>2005</v>
      </c>
      <c r="P1375" s="14">
        <v>2005</v>
      </c>
      <c r="Q1375" s="14" t="s">
        <v>1329</v>
      </c>
      <c r="R1375" s="14">
        <v>10</v>
      </c>
      <c r="T1375" s="14" t="s">
        <v>1330</v>
      </c>
      <c r="U1375" s="14" t="s">
        <v>1341</v>
      </c>
      <c r="V1375" s="12"/>
      <c r="W1375" s="14">
        <v>210</v>
      </c>
      <c r="X1375" s="12" t="s">
        <v>1264</v>
      </c>
      <c r="Y1375" s="14" t="s">
        <v>2999</v>
      </c>
      <c r="Z1375" s="14">
        <v>0</v>
      </c>
      <c r="AD1375" s="14" t="s">
        <v>1165</v>
      </c>
      <c r="AF1375" s="14" t="s">
        <v>1165</v>
      </c>
      <c r="AI1375" s="14" t="s">
        <v>1165</v>
      </c>
      <c r="AJ1375" s="15" t="s">
        <v>1148</v>
      </c>
      <c r="AK1375" s="15">
        <v>7.1429999999999998</v>
      </c>
      <c r="AP1375" s="15">
        <v>28</v>
      </c>
      <c r="AQ1375" s="14" t="s">
        <v>1336</v>
      </c>
      <c r="AR1375" s="15" t="s">
        <v>1335</v>
      </c>
      <c r="AS1375" s="14" t="s">
        <v>3002</v>
      </c>
    </row>
    <row r="1376" spans="1:45" s="14" customFormat="1" x14ac:dyDescent="0.2">
      <c r="A1376" s="14" t="s">
        <v>1326</v>
      </c>
      <c r="B1376" s="15" t="s">
        <v>1146</v>
      </c>
      <c r="C1376" s="15" t="s">
        <v>1149</v>
      </c>
      <c r="D1376" s="14" t="s">
        <v>1344</v>
      </c>
      <c r="E1376" s="14" t="s">
        <v>1345</v>
      </c>
      <c r="G1376" s="15" t="s">
        <v>1165</v>
      </c>
      <c r="H1376" s="14" t="s">
        <v>1165</v>
      </c>
      <c r="I1376" s="18" t="s">
        <v>1328</v>
      </c>
      <c r="J1376" s="18" t="s">
        <v>1337</v>
      </c>
      <c r="K1376" s="18" t="s">
        <v>1338</v>
      </c>
      <c r="L1376" s="14">
        <v>2000</v>
      </c>
      <c r="M1376" s="14" t="s">
        <v>1327</v>
      </c>
      <c r="O1376" s="14">
        <v>2005</v>
      </c>
      <c r="P1376" s="14">
        <v>2005</v>
      </c>
      <c r="Q1376" s="14" t="s">
        <v>1329</v>
      </c>
      <c r="R1376" s="14">
        <v>10</v>
      </c>
      <c r="T1376" s="14" t="s">
        <v>1330</v>
      </c>
      <c r="U1376" s="14" t="s">
        <v>1341</v>
      </c>
      <c r="V1376" s="12"/>
      <c r="W1376" s="14">
        <v>210</v>
      </c>
      <c r="X1376" s="12" t="s">
        <v>1261</v>
      </c>
      <c r="Y1376" s="14" t="s">
        <v>2999</v>
      </c>
      <c r="Z1376" s="14">
        <v>0</v>
      </c>
      <c r="AD1376" s="14" t="s">
        <v>1165</v>
      </c>
      <c r="AF1376" s="14" t="s">
        <v>1165</v>
      </c>
      <c r="AI1376" s="14" t="s">
        <v>1165</v>
      </c>
      <c r="AJ1376" s="15" t="s">
        <v>1148</v>
      </c>
      <c r="AK1376" s="15">
        <v>9.6229999999999993</v>
      </c>
      <c r="AP1376" s="15">
        <v>28</v>
      </c>
      <c r="AQ1376" s="14" t="s">
        <v>1336</v>
      </c>
      <c r="AR1376" s="15" t="s">
        <v>1335</v>
      </c>
      <c r="AS1376" s="14" t="s">
        <v>3002</v>
      </c>
    </row>
    <row r="1377" spans="1:45" s="14" customFormat="1" x14ac:dyDescent="0.2">
      <c r="A1377" s="14" t="s">
        <v>1326</v>
      </c>
      <c r="B1377" s="15" t="s">
        <v>1146</v>
      </c>
      <c r="C1377" s="15" t="s">
        <v>1149</v>
      </c>
      <c r="D1377" s="14" t="s">
        <v>1344</v>
      </c>
      <c r="E1377" s="14" t="s">
        <v>1345</v>
      </c>
      <c r="G1377" s="15" t="s">
        <v>1165</v>
      </c>
      <c r="H1377" s="14" t="s">
        <v>1165</v>
      </c>
      <c r="I1377" s="18" t="s">
        <v>1328</v>
      </c>
      <c r="J1377" s="18" t="s">
        <v>1337</v>
      </c>
      <c r="K1377" s="18" t="s">
        <v>1338</v>
      </c>
      <c r="L1377" s="14">
        <v>2000</v>
      </c>
      <c r="M1377" s="14" t="s">
        <v>1327</v>
      </c>
      <c r="O1377" s="14">
        <v>2005</v>
      </c>
      <c r="P1377" s="14">
        <v>2005</v>
      </c>
      <c r="Q1377" s="14" t="s">
        <v>1329</v>
      </c>
      <c r="R1377" s="14">
        <v>10</v>
      </c>
      <c r="T1377" s="14" t="s">
        <v>1330</v>
      </c>
      <c r="U1377" s="14" t="s">
        <v>1341</v>
      </c>
      <c r="V1377" s="12"/>
      <c r="W1377" s="14">
        <v>210</v>
      </c>
      <c r="X1377" s="12" t="s">
        <v>1334</v>
      </c>
      <c r="Y1377" s="14" t="s">
        <v>2999</v>
      </c>
      <c r="Z1377" s="14">
        <v>0</v>
      </c>
      <c r="AD1377" s="14" t="s">
        <v>1165</v>
      </c>
      <c r="AF1377" s="14" t="s">
        <v>1165</v>
      </c>
      <c r="AI1377" s="14" t="s">
        <v>1165</v>
      </c>
      <c r="AJ1377" s="15" t="s">
        <v>1148</v>
      </c>
      <c r="AK1377" s="15">
        <v>3.274</v>
      </c>
      <c r="AP1377" s="15">
        <v>28</v>
      </c>
      <c r="AQ1377" s="14" t="s">
        <v>1336</v>
      </c>
      <c r="AR1377" s="15" t="s">
        <v>1335</v>
      </c>
      <c r="AS1377" s="14" t="s">
        <v>3002</v>
      </c>
    </row>
    <row r="1378" spans="1:45" x14ac:dyDescent="0.2">
      <c r="A1378" t="s">
        <v>1326</v>
      </c>
      <c r="B1378" s="4" t="s">
        <v>1146</v>
      </c>
      <c r="C1378" s="4" t="s">
        <v>1149</v>
      </c>
      <c r="D1378" t="s">
        <v>1346</v>
      </c>
      <c r="E1378" t="s">
        <v>1347</v>
      </c>
      <c r="G1378" s="4" t="s">
        <v>1165</v>
      </c>
      <c r="H1378" t="s">
        <v>1165</v>
      </c>
      <c r="I1378" t="s">
        <v>1328</v>
      </c>
      <c r="J1378" t="s">
        <v>1337</v>
      </c>
      <c r="K1378" t="s">
        <v>1338</v>
      </c>
      <c r="L1378">
        <v>2000</v>
      </c>
      <c r="M1378" t="s">
        <v>1327</v>
      </c>
      <c r="O1378">
        <v>2005</v>
      </c>
      <c r="P1378">
        <v>2005</v>
      </c>
      <c r="Q1378" t="s">
        <v>1329</v>
      </c>
      <c r="R1378">
        <v>10</v>
      </c>
      <c r="T1378" t="s">
        <v>1330</v>
      </c>
      <c r="U1378" t="s">
        <v>1246</v>
      </c>
      <c r="V1378" s="9" t="s">
        <v>1332</v>
      </c>
      <c r="W1378">
        <v>0</v>
      </c>
      <c r="X1378" s="9" t="s">
        <v>1333</v>
      </c>
      <c r="Z1378">
        <v>12</v>
      </c>
      <c r="AD1378" t="s">
        <v>1165</v>
      </c>
      <c r="AF1378" t="s">
        <v>1165</v>
      </c>
      <c r="AI1378" t="s">
        <v>1165</v>
      </c>
      <c r="AJ1378" s="4" t="s">
        <v>1148</v>
      </c>
      <c r="AK1378" s="4">
        <v>0</v>
      </c>
      <c r="AP1378" s="4">
        <v>28</v>
      </c>
      <c r="AQ1378" t="s">
        <v>1336</v>
      </c>
      <c r="AR1378" s="4" t="s">
        <v>1335</v>
      </c>
      <c r="AS1378" t="s">
        <v>3000</v>
      </c>
    </row>
    <row r="1379" spans="1:45" x14ac:dyDescent="0.2">
      <c r="A1379" t="s">
        <v>1326</v>
      </c>
      <c r="B1379" s="4" t="s">
        <v>1146</v>
      </c>
      <c r="C1379" s="4" t="s">
        <v>1149</v>
      </c>
      <c r="D1379" t="s">
        <v>1346</v>
      </c>
      <c r="E1379" t="s">
        <v>1347</v>
      </c>
      <c r="G1379" s="4" t="s">
        <v>1165</v>
      </c>
      <c r="H1379" t="s">
        <v>1165</v>
      </c>
      <c r="I1379" t="s">
        <v>1328</v>
      </c>
      <c r="J1379" t="s">
        <v>1337</v>
      </c>
      <c r="K1379" t="s">
        <v>1338</v>
      </c>
      <c r="L1379">
        <v>2000</v>
      </c>
      <c r="M1379" t="s">
        <v>1327</v>
      </c>
      <c r="O1379">
        <v>2005</v>
      </c>
      <c r="P1379">
        <v>2005</v>
      </c>
      <c r="Q1379" t="s">
        <v>1329</v>
      </c>
      <c r="R1379">
        <v>10</v>
      </c>
      <c r="T1379" t="s">
        <v>1330</v>
      </c>
      <c r="U1379" t="s">
        <v>1246</v>
      </c>
      <c r="V1379" s="9" t="s">
        <v>1332</v>
      </c>
      <c r="W1379">
        <v>0</v>
      </c>
      <c r="X1379" s="9" t="s">
        <v>1264</v>
      </c>
      <c r="Z1379">
        <v>12</v>
      </c>
      <c r="AD1379" t="s">
        <v>1165</v>
      </c>
      <c r="AF1379" t="s">
        <v>1165</v>
      </c>
      <c r="AI1379" t="s">
        <v>1165</v>
      </c>
      <c r="AJ1379" s="4" t="s">
        <v>1148</v>
      </c>
      <c r="AK1379" s="4">
        <v>0</v>
      </c>
      <c r="AP1379" s="4">
        <v>28</v>
      </c>
      <c r="AQ1379" t="s">
        <v>1336</v>
      </c>
      <c r="AR1379" s="4" t="s">
        <v>1335</v>
      </c>
      <c r="AS1379" t="s">
        <v>3000</v>
      </c>
    </row>
    <row r="1380" spans="1:45" x14ac:dyDescent="0.2">
      <c r="A1380" t="s">
        <v>1326</v>
      </c>
      <c r="B1380" s="4" t="s">
        <v>1146</v>
      </c>
      <c r="C1380" s="4" t="s">
        <v>1149</v>
      </c>
      <c r="D1380" t="s">
        <v>1346</v>
      </c>
      <c r="E1380" t="s">
        <v>1347</v>
      </c>
      <c r="G1380" s="4" t="s">
        <v>1165</v>
      </c>
      <c r="H1380" t="s">
        <v>1165</v>
      </c>
      <c r="I1380" t="s">
        <v>1328</v>
      </c>
      <c r="J1380" t="s">
        <v>1337</v>
      </c>
      <c r="K1380" t="s">
        <v>1338</v>
      </c>
      <c r="L1380">
        <v>2000</v>
      </c>
      <c r="M1380" t="s">
        <v>1327</v>
      </c>
      <c r="O1380">
        <v>2005</v>
      </c>
      <c r="P1380">
        <v>2005</v>
      </c>
      <c r="Q1380" t="s">
        <v>1329</v>
      </c>
      <c r="R1380">
        <v>10</v>
      </c>
      <c r="T1380" t="s">
        <v>1330</v>
      </c>
      <c r="U1380" t="s">
        <v>1246</v>
      </c>
      <c r="V1380" s="9" t="s">
        <v>1332</v>
      </c>
      <c r="W1380">
        <v>0</v>
      </c>
      <c r="X1380" s="9" t="s">
        <v>1261</v>
      </c>
      <c r="Z1380">
        <v>12</v>
      </c>
      <c r="AD1380" t="s">
        <v>1165</v>
      </c>
      <c r="AF1380" t="s">
        <v>1165</v>
      </c>
      <c r="AI1380" t="s">
        <v>1165</v>
      </c>
      <c r="AJ1380" s="4" t="s">
        <v>1148</v>
      </c>
      <c r="AK1380" s="4">
        <v>0</v>
      </c>
      <c r="AP1380" s="4">
        <v>28</v>
      </c>
      <c r="AQ1380" t="s">
        <v>1336</v>
      </c>
      <c r="AR1380" s="4" t="s">
        <v>1335</v>
      </c>
      <c r="AS1380" t="s">
        <v>3000</v>
      </c>
    </row>
    <row r="1381" spans="1:45" x14ac:dyDescent="0.2">
      <c r="A1381" t="s">
        <v>1326</v>
      </c>
      <c r="B1381" s="4" t="s">
        <v>1146</v>
      </c>
      <c r="C1381" s="4" t="s">
        <v>1149</v>
      </c>
      <c r="D1381" t="s">
        <v>1346</v>
      </c>
      <c r="E1381" t="s">
        <v>1347</v>
      </c>
      <c r="G1381" s="4" t="s">
        <v>1165</v>
      </c>
      <c r="H1381" t="s">
        <v>1165</v>
      </c>
      <c r="I1381" t="s">
        <v>1328</v>
      </c>
      <c r="J1381" t="s">
        <v>1337</v>
      </c>
      <c r="K1381" t="s">
        <v>1338</v>
      </c>
      <c r="L1381">
        <v>2000</v>
      </c>
      <c r="M1381" t="s">
        <v>1327</v>
      </c>
      <c r="O1381">
        <v>2005</v>
      </c>
      <c r="P1381">
        <v>2005</v>
      </c>
      <c r="Q1381" t="s">
        <v>1329</v>
      </c>
      <c r="R1381">
        <v>10</v>
      </c>
      <c r="T1381" t="s">
        <v>1330</v>
      </c>
      <c r="U1381" t="s">
        <v>1246</v>
      </c>
      <c r="V1381" s="9" t="s">
        <v>1332</v>
      </c>
      <c r="W1381">
        <v>0</v>
      </c>
      <c r="X1381" s="9" t="s">
        <v>1334</v>
      </c>
      <c r="Z1381">
        <v>12</v>
      </c>
      <c r="AD1381" t="s">
        <v>1165</v>
      </c>
      <c r="AF1381" t="s">
        <v>1165</v>
      </c>
      <c r="AI1381" t="s">
        <v>1165</v>
      </c>
      <c r="AJ1381" s="4" t="s">
        <v>1148</v>
      </c>
      <c r="AK1381" s="4">
        <v>0</v>
      </c>
      <c r="AP1381" s="4">
        <v>28</v>
      </c>
      <c r="AQ1381" t="s">
        <v>1336</v>
      </c>
      <c r="AR1381" s="4" t="s">
        <v>1335</v>
      </c>
      <c r="AS1381" t="s">
        <v>3000</v>
      </c>
    </row>
    <row r="1382" spans="1:45" x14ac:dyDescent="0.2">
      <c r="A1382" t="s">
        <v>1326</v>
      </c>
      <c r="B1382" s="4" t="s">
        <v>1146</v>
      </c>
      <c r="C1382" s="4" t="s">
        <v>1149</v>
      </c>
      <c r="D1382" t="s">
        <v>1346</v>
      </c>
      <c r="E1382" t="s">
        <v>1347</v>
      </c>
      <c r="G1382" s="4" t="s">
        <v>1165</v>
      </c>
      <c r="H1382" t="s">
        <v>1165</v>
      </c>
      <c r="I1382" t="s">
        <v>1328</v>
      </c>
      <c r="J1382" t="s">
        <v>1337</v>
      </c>
      <c r="K1382" t="s">
        <v>1338</v>
      </c>
      <c r="L1382">
        <v>2000</v>
      </c>
      <c r="M1382" t="s">
        <v>1327</v>
      </c>
      <c r="O1382">
        <v>2005</v>
      </c>
      <c r="P1382">
        <v>2005</v>
      </c>
      <c r="Q1382" t="s">
        <v>1329</v>
      </c>
      <c r="R1382">
        <v>10</v>
      </c>
      <c r="T1382" t="s">
        <v>1330</v>
      </c>
      <c r="U1382" t="s">
        <v>1246</v>
      </c>
      <c r="V1382" s="9" t="s">
        <v>1332</v>
      </c>
      <c r="W1382">
        <v>0</v>
      </c>
      <c r="X1382" s="9" t="s">
        <v>1333</v>
      </c>
      <c r="Z1382">
        <v>0</v>
      </c>
      <c r="AD1382" t="s">
        <v>1165</v>
      </c>
      <c r="AF1382" t="s">
        <v>1165</v>
      </c>
      <c r="AI1382" t="s">
        <v>1165</v>
      </c>
      <c r="AJ1382" s="4" t="s">
        <v>1148</v>
      </c>
      <c r="AK1382" s="4">
        <v>0</v>
      </c>
      <c r="AP1382" s="4">
        <v>28</v>
      </c>
      <c r="AQ1382" t="s">
        <v>1336</v>
      </c>
      <c r="AR1382" s="4" t="s">
        <v>1335</v>
      </c>
      <c r="AS1382" t="s">
        <v>3000</v>
      </c>
    </row>
    <row r="1383" spans="1:45" x14ac:dyDescent="0.2">
      <c r="A1383" t="s">
        <v>1326</v>
      </c>
      <c r="B1383" s="4" t="s">
        <v>1146</v>
      </c>
      <c r="C1383" s="4" t="s">
        <v>1149</v>
      </c>
      <c r="D1383" t="s">
        <v>1346</v>
      </c>
      <c r="E1383" t="s">
        <v>1347</v>
      </c>
      <c r="G1383" s="4" t="s">
        <v>1165</v>
      </c>
      <c r="H1383" t="s">
        <v>1165</v>
      </c>
      <c r="I1383" t="s">
        <v>1328</v>
      </c>
      <c r="J1383" t="s">
        <v>1337</v>
      </c>
      <c r="K1383" t="s">
        <v>1338</v>
      </c>
      <c r="L1383">
        <v>2000</v>
      </c>
      <c r="M1383" t="s">
        <v>1327</v>
      </c>
      <c r="O1383">
        <v>2005</v>
      </c>
      <c r="P1383">
        <v>2005</v>
      </c>
      <c r="Q1383" t="s">
        <v>1329</v>
      </c>
      <c r="R1383">
        <v>10</v>
      </c>
      <c r="T1383" t="s">
        <v>1330</v>
      </c>
      <c r="U1383" t="s">
        <v>1246</v>
      </c>
      <c r="V1383" s="9" t="s">
        <v>1332</v>
      </c>
      <c r="W1383">
        <v>0</v>
      </c>
      <c r="X1383" s="9" t="s">
        <v>1264</v>
      </c>
      <c r="Z1383">
        <v>0</v>
      </c>
      <c r="AD1383" t="s">
        <v>1165</v>
      </c>
      <c r="AF1383" t="s">
        <v>1165</v>
      </c>
      <c r="AI1383" t="s">
        <v>1165</v>
      </c>
      <c r="AJ1383" s="4" t="s">
        <v>1148</v>
      </c>
      <c r="AK1383" s="4">
        <v>0</v>
      </c>
      <c r="AP1383" s="4">
        <v>28</v>
      </c>
      <c r="AQ1383" t="s">
        <v>1336</v>
      </c>
      <c r="AR1383" s="4" t="s">
        <v>1335</v>
      </c>
      <c r="AS1383" t="s">
        <v>3000</v>
      </c>
    </row>
    <row r="1384" spans="1:45" x14ac:dyDescent="0.2">
      <c r="A1384" t="s">
        <v>1326</v>
      </c>
      <c r="B1384" s="4" t="s">
        <v>1146</v>
      </c>
      <c r="C1384" s="4" t="s">
        <v>1149</v>
      </c>
      <c r="D1384" t="s">
        <v>1346</v>
      </c>
      <c r="E1384" t="s">
        <v>1347</v>
      </c>
      <c r="G1384" s="4" t="s">
        <v>1165</v>
      </c>
      <c r="H1384" t="s">
        <v>1165</v>
      </c>
      <c r="I1384" t="s">
        <v>1328</v>
      </c>
      <c r="J1384" t="s">
        <v>1337</v>
      </c>
      <c r="K1384" t="s">
        <v>1338</v>
      </c>
      <c r="L1384">
        <v>2000</v>
      </c>
      <c r="M1384" t="s">
        <v>1327</v>
      </c>
      <c r="O1384">
        <v>2005</v>
      </c>
      <c r="P1384">
        <v>2005</v>
      </c>
      <c r="Q1384" t="s">
        <v>1329</v>
      </c>
      <c r="R1384">
        <v>10</v>
      </c>
      <c r="T1384" t="s">
        <v>1330</v>
      </c>
      <c r="U1384" t="s">
        <v>1246</v>
      </c>
      <c r="V1384" s="9" t="s">
        <v>1332</v>
      </c>
      <c r="W1384">
        <v>0</v>
      </c>
      <c r="X1384" s="9" t="s">
        <v>1261</v>
      </c>
      <c r="Z1384">
        <v>0</v>
      </c>
      <c r="AD1384" t="s">
        <v>1165</v>
      </c>
      <c r="AF1384" t="s">
        <v>1165</v>
      </c>
      <c r="AI1384" t="s">
        <v>1165</v>
      </c>
      <c r="AJ1384" s="4" t="s">
        <v>1148</v>
      </c>
      <c r="AK1384" s="4">
        <v>0</v>
      </c>
      <c r="AP1384" s="4">
        <v>28</v>
      </c>
      <c r="AQ1384" t="s">
        <v>1336</v>
      </c>
      <c r="AR1384" s="4" t="s">
        <v>1335</v>
      </c>
      <c r="AS1384" t="s">
        <v>3000</v>
      </c>
    </row>
    <row r="1385" spans="1:45" x14ac:dyDescent="0.2">
      <c r="A1385" t="s">
        <v>1326</v>
      </c>
      <c r="B1385" s="4" t="s">
        <v>1146</v>
      </c>
      <c r="C1385" s="4" t="s">
        <v>1149</v>
      </c>
      <c r="D1385" t="s">
        <v>1346</v>
      </c>
      <c r="E1385" t="s">
        <v>1347</v>
      </c>
      <c r="G1385" s="4" t="s">
        <v>1165</v>
      </c>
      <c r="H1385" t="s">
        <v>1165</v>
      </c>
      <c r="I1385" t="s">
        <v>1328</v>
      </c>
      <c r="J1385" t="s">
        <v>1337</v>
      </c>
      <c r="K1385" t="s">
        <v>1338</v>
      </c>
      <c r="L1385">
        <v>2000</v>
      </c>
      <c r="M1385" t="s">
        <v>1327</v>
      </c>
      <c r="O1385">
        <v>2005</v>
      </c>
      <c r="P1385">
        <v>2005</v>
      </c>
      <c r="Q1385" t="s">
        <v>1329</v>
      </c>
      <c r="R1385">
        <v>10</v>
      </c>
      <c r="T1385" t="s">
        <v>1330</v>
      </c>
      <c r="U1385" t="s">
        <v>1246</v>
      </c>
      <c r="V1385" s="9" t="s">
        <v>1332</v>
      </c>
      <c r="W1385">
        <v>0</v>
      </c>
      <c r="X1385" s="9" t="s">
        <v>1334</v>
      </c>
      <c r="Z1385">
        <v>0</v>
      </c>
      <c r="AD1385" t="s">
        <v>1165</v>
      </c>
      <c r="AF1385" t="s">
        <v>1165</v>
      </c>
      <c r="AI1385" t="s">
        <v>1165</v>
      </c>
      <c r="AJ1385" s="4" t="s">
        <v>1148</v>
      </c>
      <c r="AK1385" s="4">
        <v>0</v>
      </c>
      <c r="AP1385" s="4">
        <v>28</v>
      </c>
      <c r="AQ1385" t="s">
        <v>1336</v>
      </c>
      <c r="AR1385" s="4" t="s">
        <v>1335</v>
      </c>
      <c r="AS1385" t="s">
        <v>3000</v>
      </c>
    </row>
    <row r="1386" spans="1:45" x14ac:dyDescent="0.2">
      <c r="A1386" t="s">
        <v>1326</v>
      </c>
      <c r="B1386" s="4" t="s">
        <v>1146</v>
      </c>
      <c r="C1386" s="4" t="s">
        <v>1149</v>
      </c>
      <c r="D1386" t="s">
        <v>1346</v>
      </c>
      <c r="E1386" t="s">
        <v>1347</v>
      </c>
      <c r="G1386" s="4" t="s">
        <v>1165</v>
      </c>
      <c r="H1386" t="s">
        <v>1165</v>
      </c>
      <c r="I1386" t="s">
        <v>1328</v>
      </c>
      <c r="J1386" t="s">
        <v>1337</v>
      </c>
      <c r="K1386" t="s">
        <v>1338</v>
      </c>
      <c r="L1386">
        <v>2000</v>
      </c>
      <c r="M1386" t="s">
        <v>1327</v>
      </c>
      <c r="O1386">
        <v>2005</v>
      </c>
      <c r="P1386">
        <v>2005</v>
      </c>
      <c r="Q1386" t="s">
        <v>1329</v>
      </c>
      <c r="R1386">
        <v>10</v>
      </c>
      <c r="T1386" t="s">
        <v>1330</v>
      </c>
      <c r="U1386" t="s">
        <v>1246</v>
      </c>
      <c r="V1386" s="9" t="s">
        <v>1332</v>
      </c>
      <c r="W1386">
        <v>17.5</v>
      </c>
      <c r="X1386" s="9" t="s">
        <v>1333</v>
      </c>
      <c r="Z1386">
        <v>12</v>
      </c>
      <c r="AD1386" t="s">
        <v>1165</v>
      </c>
      <c r="AF1386" t="s">
        <v>1165</v>
      </c>
      <c r="AI1386" t="s">
        <v>1165</v>
      </c>
      <c r="AJ1386" s="4" t="s">
        <v>1148</v>
      </c>
      <c r="AK1386" s="4">
        <v>1.786</v>
      </c>
      <c r="AP1386" s="4">
        <v>28</v>
      </c>
      <c r="AQ1386" t="s">
        <v>1336</v>
      </c>
      <c r="AR1386" s="4" t="s">
        <v>1335</v>
      </c>
      <c r="AS1386" t="s">
        <v>3000</v>
      </c>
    </row>
    <row r="1387" spans="1:45" x14ac:dyDescent="0.2">
      <c r="A1387" t="s">
        <v>1326</v>
      </c>
      <c r="B1387" s="4" t="s">
        <v>1146</v>
      </c>
      <c r="C1387" s="4" t="s">
        <v>1149</v>
      </c>
      <c r="D1387" t="s">
        <v>1346</v>
      </c>
      <c r="E1387" t="s">
        <v>1347</v>
      </c>
      <c r="G1387" s="4" t="s">
        <v>1165</v>
      </c>
      <c r="H1387" t="s">
        <v>1165</v>
      </c>
      <c r="I1387" t="s">
        <v>1328</v>
      </c>
      <c r="J1387" t="s">
        <v>1337</v>
      </c>
      <c r="K1387" t="s">
        <v>1338</v>
      </c>
      <c r="L1387">
        <v>2000</v>
      </c>
      <c r="M1387" t="s">
        <v>1327</v>
      </c>
      <c r="O1387">
        <v>2005</v>
      </c>
      <c r="P1387">
        <v>2005</v>
      </c>
      <c r="Q1387" t="s">
        <v>1329</v>
      </c>
      <c r="R1387">
        <v>10</v>
      </c>
      <c r="T1387" t="s">
        <v>1330</v>
      </c>
      <c r="U1387" t="s">
        <v>1246</v>
      </c>
      <c r="V1387" s="9" t="s">
        <v>1332</v>
      </c>
      <c r="W1387">
        <v>17.5</v>
      </c>
      <c r="X1387" s="9" t="s">
        <v>1264</v>
      </c>
      <c r="Z1387">
        <v>12</v>
      </c>
      <c r="AD1387" t="s">
        <v>1165</v>
      </c>
      <c r="AF1387" t="s">
        <v>1165</v>
      </c>
      <c r="AI1387" t="s">
        <v>1165</v>
      </c>
      <c r="AJ1387" s="4" t="s">
        <v>1148</v>
      </c>
      <c r="AK1387" s="4">
        <v>7.242</v>
      </c>
      <c r="AP1387" s="4">
        <v>28</v>
      </c>
      <c r="AQ1387" t="s">
        <v>1336</v>
      </c>
      <c r="AR1387" s="4" t="s">
        <v>1335</v>
      </c>
      <c r="AS1387" t="s">
        <v>3000</v>
      </c>
    </row>
    <row r="1388" spans="1:45" x14ac:dyDescent="0.2">
      <c r="A1388" t="s">
        <v>1326</v>
      </c>
      <c r="B1388" s="4" t="s">
        <v>1146</v>
      </c>
      <c r="C1388" s="4" t="s">
        <v>1149</v>
      </c>
      <c r="D1388" t="s">
        <v>1346</v>
      </c>
      <c r="E1388" t="s">
        <v>1347</v>
      </c>
      <c r="G1388" s="4" t="s">
        <v>1165</v>
      </c>
      <c r="H1388" t="s">
        <v>1165</v>
      </c>
      <c r="I1388" t="s">
        <v>1328</v>
      </c>
      <c r="J1388" t="s">
        <v>1337</v>
      </c>
      <c r="K1388" t="s">
        <v>1338</v>
      </c>
      <c r="L1388">
        <v>2000</v>
      </c>
      <c r="M1388" t="s">
        <v>1327</v>
      </c>
      <c r="O1388">
        <v>2005</v>
      </c>
      <c r="P1388">
        <v>2005</v>
      </c>
      <c r="Q1388" t="s">
        <v>1329</v>
      </c>
      <c r="R1388">
        <v>10</v>
      </c>
      <c r="T1388" t="s">
        <v>1330</v>
      </c>
      <c r="U1388" t="s">
        <v>1246</v>
      </c>
      <c r="V1388" s="9" t="s">
        <v>1332</v>
      </c>
      <c r="W1388">
        <v>17.5</v>
      </c>
      <c r="X1388" s="9" t="s">
        <v>1261</v>
      </c>
      <c r="Z1388">
        <v>12</v>
      </c>
      <c r="AD1388" t="s">
        <v>1165</v>
      </c>
      <c r="AF1388" t="s">
        <v>1165</v>
      </c>
      <c r="AI1388" t="s">
        <v>1165</v>
      </c>
      <c r="AJ1388" s="4" t="s">
        <v>1148</v>
      </c>
      <c r="AK1388" s="4">
        <v>42.162999999999997</v>
      </c>
      <c r="AP1388" s="4">
        <v>28</v>
      </c>
      <c r="AQ1388" t="s">
        <v>1336</v>
      </c>
      <c r="AR1388" s="4" t="s">
        <v>1335</v>
      </c>
      <c r="AS1388" t="s">
        <v>3000</v>
      </c>
    </row>
    <row r="1389" spans="1:45" x14ac:dyDescent="0.2">
      <c r="A1389" t="s">
        <v>1326</v>
      </c>
      <c r="B1389" s="4" t="s">
        <v>1146</v>
      </c>
      <c r="C1389" s="4" t="s">
        <v>1149</v>
      </c>
      <c r="D1389" t="s">
        <v>1346</v>
      </c>
      <c r="E1389" t="s">
        <v>1347</v>
      </c>
      <c r="G1389" s="4" t="s">
        <v>1165</v>
      </c>
      <c r="H1389" t="s">
        <v>1165</v>
      </c>
      <c r="I1389" t="s">
        <v>1328</v>
      </c>
      <c r="J1389" t="s">
        <v>1337</v>
      </c>
      <c r="K1389" t="s">
        <v>1338</v>
      </c>
      <c r="L1389">
        <v>2000</v>
      </c>
      <c r="M1389" t="s">
        <v>1327</v>
      </c>
      <c r="O1389">
        <v>2005</v>
      </c>
      <c r="P1389">
        <v>2005</v>
      </c>
      <c r="Q1389" t="s">
        <v>1329</v>
      </c>
      <c r="R1389">
        <v>10</v>
      </c>
      <c r="T1389" t="s">
        <v>1330</v>
      </c>
      <c r="U1389" t="s">
        <v>1246</v>
      </c>
      <c r="V1389" s="9" t="s">
        <v>1332</v>
      </c>
      <c r="W1389">
        <v>17.5</v>
      </c>
      <c r="X1389" s="9" t="s">
        <v>1334</v>
      </c>
      <c r="Z1389">
        <v>12</v>
      </c>
      <c r="AD1389" t="s">
        <v>1165</v>
      </c>
      <c r="AF1389" t="s">
        <v>1165</v>
      </c>
      <c r="AI1389" t="s">
        <v>1165</v>
      </c>
      <c r="AJ1389" s="4" t="s">
        <v>1148</v>
      </c>
      <c r="AK1389" s="4">
        <v>33.433</v>
      </c>
      <c r="AP1389" s="4">
        <v>28</v>
      </c>
      <c r="AQ1389" t="s">
        <v>1336</v>
      </c>
      <c r="AR1389" s="4" t="s">
        <v>1335</v>
      </c>
      <c r="AS1389" t="s">
        <v>3000</v>
      </c>
    </row>
    <row r="1390" spans="1:45" x14ac:dyDescent="0.2">
      <c r="A1390" t="s">
        <v>1326</v>
      </c>
      <c r="B1390" s="4" t="s">
        <v>1146</v>
      </c>
      <c r="C1390" s="4" t="s">
        <v>1149</v>
      </c>
      <c r="D1390" t="s">
        <v>1346</v>
      </c>
      <c r="E1390" t="s">
        <v>1347</v>
      </c>
      <c r="G1390" s="4" t="s">
        <v>1165</v>
      </c>
      <c r="H1390" t="s">
        <v>1165</v>
      </c>
      <c r="I1390" t="s">
        <v>1328</v>
      </c>
      <c r="J1390" t="s">
        <v>1337</v>
      </c>
      <c r="K1390" t="s">
        <v>1338</v>
      </c>
      <c r="L1390">
        <v>2000</v>
      </c>
      <c r="M1390" t="s">
        <v>1327</v>
      </c>
      <c r="O1390">
        <v>2005</v>
      </c>
      <c r="P1390">
        <v>2005</v>
      </c>
      <c r="Q1390" t="s">
        <v>1329</v>
      </c>
      <c r="R1390">
        <v>10</v>
      </c>
      <c r="T1390" t="s">
        <v>1330</v>
      </c>
      <c r="U1390" t="s">
        <v>1246</v>
      </c>
      <c r="V1390" s="9" t="s">
        <v>1332</v>
      </c>
      <c r="W1390">
        <v>17.5</v>
      </c>
      <c r="X1390" s="9" t="s">
        <v>1333</v>
      </c>
      <c r="Z1390">
        <v>0</v>
      </c>
      <c r="AD1390" t="s">
        <v>1165</v>
      </c>
      <c r="AF1390" t="s">
        <v>1165</v>
      </c>
      <c r="AI1390" t="s">
        <v>1165</v>
      </c>
      <c r="AJ1390" s="4" t="s">
        <v>1148</v>
      </c>
      <c r="AK1390" s="4">
        <v>0</v>
      </c>
      <c r="AP1390" s="4">
        <v>28</v>
      </c>
      <c r="AQ1390" t="s">
        <v>1336</v>
      </c>
      <c r="AR1390" s="4" t="s">
        <v>1335</v>
      </c>
      <c r="AS1390" t="s">
        <v>3000</v>
      </c>
    </row>
    <row r="1391" spans="1:45" x14ac:dyDescent="0.2">
      <c r="A1391" t="s">
        <v>1326</v>
      </c>
      <c r="B1391" s="4" t="s">
        <v>1146</v>
      </c>
      <c r="C1391" s="4" t="s">
        <v>1149</v>
      </c>
      <c r="D1391" t="s">
        <v>1346</v>
      </c>
      <c r="E1391" t="s">
        <v>1347</v>
      </c>
      <c r="G1391" s="4" t="s">
        <v>1165</v>
      </c>
      <c r="H1391" t="s">
        <v>1165</v>
      </c>
      <c r="I1391" t="s">
        <v>1328</v>
      </c>
      <c r="J1391" t="s">
        <v>1337</v>
      </c>
      <c r="K1391" t="s">
        <v>1338</v>
      </c>
      <c r="L1391">
        <v>2000</v>
      </c>
      <c r="M1391" t="s">
        <v>1327</v>
      </c>
      <c r="O1391">
        <v>2005</v>
      </c>
      <c r="P1391">
        <v>2005</v>
      </c>
      <c r="Q1391" t="s">
        <v>1329</v>
      </c>
      <c r="R1391">
        <v>10</v>
      </c>
      <c r="T1391" t="s">
        <v>1330</v>
      </c>
      <c r="U1391" t="s">
        <v>1246</v>
      </c>
      <c r="V1391" s="9" t="s">
        <v>1332</v>
      </c>
      <c r="W1391">
        <v>17.5</v>
      </c>
      <c r="X1391" s="9" t="s">
        <v>1264</v>
      </c>
      <c r="Z1391">
        <v>0</v>
      </c>
      <c r="AD1391" t="s">
        <v>1165</v>
      </c>
      <c r="AF1391" t="s">
        <v>1165</v>
      </c>
      <c r="AI1391" t="s">
        <v>1165</v>
      </c>
      <c r="AJ1391" s="4" t="s">
        <v>1148</v>
      </c>
      <c r="AK1391" s="4">
        <v>0</v>
      </c>
      <c r="AP1391" s="4">
        <v>28</v>
      </c>
      <c r="AQ1391" t="s">
        <v>1336</v>
      </c>
      <c r="AR1391" s="4" t="s">
        <v>1335</v>
      </c>
      <c r="AS1391" t="s">
        <v>3000</v>
      </c>
    </row>
    <row r="1392" spans="1:45" x14ac:dyDescent="0.2">
      <c r="A1392" t="s">
        <v>1326</v>
      </c>
      <c r="B1392" s="4" t="s">
        <v>1146</v>
      </c>
      <c r="C1392" s="4" t="s">
        <v>1149</v>
      </c>
      <c r="D1392" t="s">
        <v>1346</v>
      </c>
      <c r="E1392" t="s">
        <v>1347</v>
      </c>
      <c r="G1392" s="4" t="s">
        <v>1165</v>
      </c>
      <c r="H1392" t="s">
        <v>1165</v>
      </c>
      <c r="I1392" t="s">
        <v>1328</v>
      </c>
      <c r="J1392" t="s">
        <v>1337</v>
      </c>
      <c r="K1392" t="s">
        <v>1338</v>
      </c>
      <c r="L1392">
        <v>2000</v>
      </c>
      <c r="M1392" t="s">
        <v>1327</v>
      </c>
      <c r="O1392">
        <v>2005</v>
      </c>
      <c r="P1392">
        <v>2005</v>
      </c>
      <c r="Q1392" t="s">
        <v>1329</v>
      </c>
      <c r="R1392">
        <v>10</v>
      </c>
      <c r="T1392" t="s">
        <v>1330</v>
      </c>
      <c r="U1392" t="s">
        <v>1246</v>
      </c>
      <c r="V1392" s="9" t="s">
        <v>1332</v>
      </c>
      <c r="W1392">
        <v>17.5</v>
      </c>
      <c r="X1392" s="9" t="s">
        <v>1261</v>
      </c>
      <c r="Z1392">
        <v>0</v>
      </c>
      <c r="AD1392" t="s">
        <v>1165</v>
      </c>
      <c r="AF1392" t="s">
        <v>1165</v>
      </c>
      <c r="AI1392" t="s">
        <v>1165</v>
      </c>
      <c r="AJ1392" s="4" t="s">
        <v>1148</v>
      </c>
      <c r="AK1392" s="4">
        <v>0</v>
      </c>
      <c r="AP1392" s="4">
        <v>28</v>
      </c>
      <c r="AQ1392" t="s">
        <v>1336</v>
      </c>
      <c r="AR1392" s="4" t="s">
        <v>1335</v>
      </c>
      <c r="AS1392" t="s">
        <v>3000</v>
      </c>
    </row>
    <row r="1393" spans="1:45" x14ac:dyDescent="0.2">
      <c r="A1393" t="s">
        <v>1326</v>
      </c>
      <c r="B1393" s="4" t="s">
        <v>1146</v>
      </c>
      <c r="C1393" s="4" t="s">
        <v>1149</v>
      </c>
      <c r="D1393" t="s">
        <v>1346</v>
      </c>
      <c r="E1393" t="s">
        <v>1347</v>
      </c>
      <c r="G1393" s="4" t="s">
        <v>1165</v>
      </c>
      <c r="H1393" t="s">
        <v>1165</v>
      </c>
      <c r="I1393" t="s">
        <v>1328</v>
      </c>
      <c r="J1393" t="s">
        <v>1337</v>
      </c>
      <c r="K1393" t="s">
        <v>1338</v>
      </c>
      <c r="L1393">
        <v>2000</v>
      </c>
      <c r="M1393" t="s">
        <v>1327</v>
      </c>
      <c r="O1393">
        <v>2005</v>
      </c>
      <c r="P1393">
        <v>2005</v>
      </c>
      <c r="Q1393" t="s">
        <v>1329</v>
      </c>
      <c r="R1393">
        <v>10</v>
      </c>
      <c r="T1393" t="s">
        <v>1330</v>
      </c>
      <c r="U1393" t="s">
        <v>1246</v>
      </c>
      <c r="V1393" s="9" t="s">
        <v>1332</v>
      </c>
      <c r="W1393">
        <v>17.5</v>
      </c>
      <c r="X1393" s="9" t="s">
        <v>1334</v>
      </c>
      <c r="Z1393">
        <v>0</v>
      </c>
      <c r="AD1393" t="s">
        <v>1165</v>
      </c>
      <c r="AF1393" t="s">
        <v>1165</v>
      </c>
      <c r="AI1393" t="s">
        <v>1165</v>
      </c>
      <c r="AJ1393" s="4" t="s">
        <v>1148</v>
      </c>
      <c r="AK1393" s="4">
        <v>0</v>
      </c>
      <c r="AP1393" s="4">
        <v>28</v>
      </c>
      <c r="AQ1393" t="s">
        <v>1336</v>
      </c>
      <c r="AR1393" s="4" t="s">
        <v>1335</v>
      </c>
      <c r="AS1393" t="s">
        <v>3000</v>
      </c>
    </row>
    <row r="1394" spans="1:45" x14ac:dyDescent="0.2">
      <c r="A1394" t="s">
        <v>1326</v>
      </c>
      <c r="B1394" s="4" t="s">
        <v>1146</v>
      </c>
      <c r="C1394" s="4" t="s">
        <v>1149</v>
      </c>
      <c r="D1394" t="s">
        <v>1346</v>
      </c>
      <c r="E1394" t="s">
        <v>1347</v>
      </c>
      <c r="G1394" s="4" t="s">
        <v>1165</v>
      </c>
      <c r="H1394" t="s">
        <v>1165</v>
      </c>
      <c r="I1394" t="s">
        <v>1328</v>
      </c>
      <c r="J1394" t="s">
        <v>1337</v>
      </c>
      <c r="K1394" t="s">
        <v>1338</v>
      </c>
      <c r="L1394">
        <v>2000</v>
      </c>
      <c r="M1394" t="s">
        <v>1327</v>
      </c>
      <c r="O1394">
        <v>2005</v>
      </c>
      <c r="P1394">
        <v>2005</v>
      </c>
      <c r="Q1394" t="s">
        <v>1329</v>
      </c>
      <c r="R1394">
        <v>10</v>
      </c>
      <c r="T1394" t="s">
        <v>1330</v>
      </c>
      <c r="U1394" t="s">
        <v>1246</v>
      </c>
      <c r="V1394" s="9" t="s">
        <v>1332</v>
      </c>
      <c r="W1394">
        <v>35</v>
      </c>
      <c r="X1394" s="9" t="s">
        <v>1333</v>
      </c>
      <c r="Z1394">
        <v>12</v>
      </c>
      <c r="AD1394" t="s">
        <v>1165</v>
      </c>
      <c r="AF1394" t="s">
        <v>1165</v>
      </c>
      <c r="AI1394" t="s">
        <v>1165</v>
      </c>
      <c r="AJ1394" s="4" t="s">
        <v>1148</v>
      </c>
      <c r="AK1394" s="4">
        <v>0</v>
      </c>
      <c r="AP1394" s="4">
        <v>28</v>
      </c>
      <c r="AQ1394" t="s">
        <v>1336</v>
      </c>
      <c r="AR1394" s="4" t="s">
        <v>1335</v>
      </c>
      <c r="AS1394" t="s">
        <v>3000</v>
      </c>
    </row>
    <row r="1395" spans="1:45" x14ac:dyDescent="0.2">
      <c r="A1395" t="s">
        <v>1326</v>
      </c>
      <c r="B1395" s="4" t="s">
        <v>1146</v>
      </c>
      <c r="C1395" s="4" t="s">
        <v>1149</v>
      </c>
      <c r="D1395" t="s">
        <v>1346</v>
      </c>
      <c r="E1395" t="s">
        <v>1347</v>
      </c>
      <c r="G1395" s="4" t="s">
        <v>1165</v>
      </c>
      <c r="H1395" t="s">
        <v>1165</v>
      </c>
      <c r="I1395" t="s">
        <v>1328</v>
      </c>
      <c r="J1395" t="s">
        <v>1337</v>
      </c>
      <c r="K1395" t="s">
        <v>1338</v>
      </c>
      <c r="L1395">
        <v>2000</v>
      </c>
      <c r="M1395" t="s">
        <v>1327</v>
      </c>
      <c r="O1395">
        <v>2005</v>
      </c>
      <c r="P1395">
        <v>2005</v>
      </c>
      <c r="Q1395" t="s">
        <v>1329</v>
      </c>
      <c r="R1395">
        <v>10</v>
      </c>
      <c r="T1395" t="s">
        <v>1330</v>
      </c>
      <c r="U1395" t="s">
        <v>1246</v>
      </c>
      <c r="V1395" s="9" t="s">
        <v>1332</v>
      </c>
      <c r="W1395">
        <v>35</v>
      </c>
      <c r="X1395" s="9" t="s">
        <v>1264</v>
      </c>
      <c r="Z1395">
        <v>12</v>
      </c>
      <c r="AD1395" t="s">
        <v>1165</v>
      </c>
      <c r="AF1395" t="s">
        <v>1165</v>
      </c>
      <c r="AI1395" t="s">
        <v>1165</v>
      </c>
      <c r="AJ1395" s="4" t="s">
        <v>1148</v>
      </c>
      <c r="AK1395" s="4">
        <v>8.8290000000000006</v>
      </c>
      <c r="AP1395" s="4">
        <v>28</v>
      </c>
      <c r="AQ1395" t="s">
        <v>1336</v>
      </c>
      <c r="AR1395" s="4" t="s">
        <v>1335</v>
      </c>
      <c r="AS1395" t="s">
        <v>3000</v>
      </c>
    </row>
    <row r="1396" spans="1:45" x14ac:dyDescent="0.2">
      <c r="A1396" t="s">
        <v>1326</v>
      </c>
      <c r="B1396" s="4" t="s">
        <v>1146</v>
      </c>
      <c r="C1396" s="4" t="s">
        <v>1149</v>
      </c>
      <c r="D1396" t="s">
        <v>1346</v>
      </c>
      <c r="E1396" t="s">
        <v>1347</v>
      </c>
      <c r="G1396" s="4" t="s">
        <v>1165</v>
      </c>
      <c r="H1396" t="s">
        <v>1165</v>
      </c>
      <c r="I1396" t="s">
        <v>1328</v>
      </c>
      <c r="J1396" t="s">
        <v>1337</v>
      </c>
      <c r="K1396" t="s">
        <v>1338</v>
      </c>
      <c r="L1396">
        <v>2000</v>
      </c>
      <c r="M1396" t="s">
        <v>1327</v>
      </c>
      <c r="O1396">
        <v>2005</v>
      </c>
      <c r="P1396">
        <v>2005</v>
      </c>
      <c r="Q1396" t="s">
        <v>1329</v>
      </c>
      <c r="R1396">
        <v>10</v>
      </c>
      <c r="T1396" t="s">
        <v>1330</v>
      </c>
      <c r="U1396" t="s">
        <v>1246</v>
      </c>
      <c r="V1396" s="9" t="s">
        <v>1332</v>
      </c>
      <c r="W1396">
        <v>35</v>
      </c>
      <c r="X1396" s="9" t="s">
        <v>1261</v>
      </c>
      <c r="Z1396">
        <v>12</v>
      </c>
      <c r="AD1396" t="s">
        <v>1165</v>
      </c>
      <c r="AF1396" t="s">
        <v>1165</v>
      </c>
      <c r="AI1396" t="s">
        <v>1165</v>
      </c>
      <c r="AJ1396" s="4" t="s">
        <v>1148</v>
      </c>
      <c r="AK1396" s="4">
        <v>28.670999999999999</v>
      </c>
      <c r="AP1396" s="4">
        <v>28</v>
      </c>
      <c r="AQ1396" t="s">
        <v>1336</v>
      </c>
      <c r="AR1396" s="4" t="s">
        <v>1335</v>
      </c>
      <c r="AS1396" t="s">
        <v>3000</v>
      </c>
    </row>
    <row r="1397" spans="1:45" x14ac:dyDescent="0.2">
      <c r="A1397" t="s">
        <v>1326</v>
      </c>
      <c r="B1397" s="4" t="s">
        <v>1146</v>
      </c>
      <c r="C1397" s="4" t="s">
        <v>1149</v>
      </c>
      <c r="D1397" t="s">
        <v>1346</v>
      </c>
      <c r="E1397" t="s">
        <v>1347</v>
      </c>
      <c r="G1397" s="4" t="s">
        <v>1165</v>
      </c>
      <c r="H1397" t="s">
        <v>1165</v>
      </c>
      <c r="I1397" t="s">
        <v>1328</v>
      </c>
      <c r="J1397" t="s">
        <v>1337</v>
      </c>
      <c r="K1397" t="s">
        <v>1338</v>
      </c>
      <c r="L1397">
        <v>2000</v>
      </c>
      <c r="M1397" t="s">
        <v>1327</v>
      </c>
      <c r="O1397">
        <v>2005</v>
      </c>
      <c r="P1397">
        <v>2005</v>
      </c>
      <c r="Q1397" t="s">
        <v>1329</v>
      </c>
      <c r="R1397">
        <v>10</v>
      </c>
      <c r="T1397" t="s">
        <v>1330</v>
      </c>
      <c r="U1397" t="s">
        <v>1246</v>
      </c>
      <c r="V1397" s="9" t="s">
        <v>1332</v>
      </c>
      <c r="W1397">
        <v>35</v>
      </c>
      <c r="X1397" s="9" t="s">
        <v>1334</v>
      </c>
      <c r="Z1397">
        <v>12</v>
      </c>
      <c r="AD1397" t="s">
        <v>1165</v>
      </c>
      <c r="AF1397" t="s">
        <v>1165</v>
      </c>
      <c r="AI1397" t="s">
        <v>1165</v>
      </c>
      <c r="AJ1397" s="4" t="s">
        <v>1148</v>
      </c>
      <c r="AK1397" s="4">
        <v>28.571000000000002</v>
      </c>
      <c r="AP1397" s="4">
        <v>28</v>
      </c>
      <c r="AQ1397" t="s">
        <v>1336</v>
      </c>
      <c r="AR1397" s="4" t="s">
        <v>1335</v>
      </c>
      <c r="AS1397" t="s">
        <v>3000</v>
      </c>
    </row>
    <row r="1398" spans="1:45" x14ac:dyDescent="0.2">
      <c r="A1398" t="s">
        <v>1326</v>
      </c>
      <c r="B1398" s="4" t="s">
        <v>1146</v>
      </c>
      <c r="C1398" s="4" t="s">
        <v>1149</v>
      </c>
      <c r="D1398" t="s">
        <v>1346</v>
      </c>
      <c r="E1398" t="s">
        <v>1347</v>
      </c>
      <c r="G1398" s="4" t="s">
        <v>1165</v>
      </c>
      <c r="H1398" t="s">
        <v>1165</v>
      </c>
      <c r="I1398" t="s">
        <v>1328</v>
      </c>
      <c r="J1398" t="s">
        <v>1337</v>
      </c>
      <c r="K1398" t="s">
        <v>1338</v>
      </c>
      <c r="L1398">
        <v>2000</v>
      </c>
      <c r="M1398" t="s">
        <v>1327</v>
      </c>
      <c r="O1398">
        <v>2005</v>
      </c>
      <c r="P1398">
        <v>2005</v>
      </c>
      <c r="Q1398" t="s">
        <v>1329</v>
      </c>
      <c r="R1398">
        <v>10</v>
      </c>
      <c r="T1398" t="s">
        <v>1330</v>
      </c>
      <c r="U1398" t="s">
        <v>1246</v>
      </c>
      <c r="V1398" s="9" t="s">
        <v>1332</v>
      </c>
      <c r="W1398">
        <v>35</v>
      </c>
      <c r="X1398" s="9" t="s">
        <v>1333</v>
      </c>
      <c r="Z1398">
        <v>0</v>
      </c>
      <c r="AD1398" t="s">
        <v>1165</v>
      </c>
      <c r="AF1398" t="s">
        <v>1165</v>
      </c>
      <c r="AI1398" t="s">
        <v>1165</v>
      </c>
      <c r="AJ1398" s="4" t="s">
        <v>1148</v>
      </c>
      <c r="AK1398" s="4">
        <v>0</v>
      </c>
      <c r="AP1398" s="4">
        <v>28</v>
      </c>
      <c r="AQ1398" t="s">
        <v>1336</v>
      </c>
      <c r="AR1398" s="4" t="s">
        <v>1335</v>
      </c>
      <c r="AS1398" t="s">
        <v>3000</v>
      </c>
    </row>
    <row r="1399" spans="1:45" x14ac:dyDescent="0.2">
      <c r="A1399" t="s">
        <v>1326</v>
      </c>
      <c r="B1399" s="4" t="s">
        <v>1146</v>
      </c>
      <c r="C1399" s="4" t="s">
        <v>1149</v>
      </c>
      <c r="D1399" t="s">
        <v>1346</v>
      </c>
      <c r="E1399" t="s">
        <v>1347</v>
      </c>
      <c r="G1399" s="4" t="s">
        <v>1165</v>
      </c>
      <c r="H1399" t="s">
        <v>1165</v>
      </c>
      <c r="I1399" t="s">
        <v>1328</v>
      </c>
      <c r="J1399" t="s">
        <v>1337</v>
      </c>
      <c r="K1399" t="s">
        <v>1338</v>
      </c>
      <c r="L1399">
        <v>2000</v>
      </c>
      <c r="M1399" t="s">
        <v>1327</v>
      </c>
      <c r="O1399">
        <v>2005</v>
      </c>
      <c r="P1399">
        <v>2005</v>
      </c>
      <c r="Q1399" t="s">
        <v>1329</v>
      </c>
      <c r="R1399">
        <v>10</v>
      </c>
      <c r="T1399" t="s">
        <v>1330</v>
      </c>
      <c r="U1399" t="s">
        <v>1246</v>
      </c>
      <c r="V1399" s="9" t="s">
        <v>1332</v>
      </c>
      <c r="W1399">
        <v>35</v>
      </c>
      <c r="X1399" s="9" t="s">
        <v>1264</v>
      </c>
      <c r="Z1399">
        <v>0</v>
      </c>
      <c r="AD1399" t="s">
        <v>1165</v>
      </c>
      <c r="AF1399" t="s">
        <v>1165</v>
      </c>
      <c r="AI1399" t="s">
        <v>1165</v>
      </c>
      <c r="AJ1399" s="4" t="s">
        <v>1148</v>
      </c>
      <c r="AK1399" s="4">
        <v>0</v>
      </c>
      <c r="AP1399" s="4">
        <v>28</v>
      </c>
      <c r="AQ1399" t="s">
        <v>1336</v>
      </c>
      <c r="AR1399" s="4" t="s">
        <v>1335</v>
      </c>
      <c r="AS1399" t="s">
        <v>3000</v>
      </c>
    </row>
    <row r="1400" spans="1:45" x14ac:dyDescent="0.2">
      <c r="A1400" t="s">
        <v>1326</v>
      </c>
      <c r="B1400" s="4" t="s">
        <v>1146</v>
      </c>
      <c r="C1400" s="4" t="s">
        <v>1149</v>
      </c>
      <c r="D1400" t="s">
        <v>1346</v>
      </c>
      <c r="E1400" t="s">
        <v>1347</v>
      </c>
      <c r="G1400" s="4" t="s">
        <v>1165</v>
      </c>
      <c r="H1400" t="s">
        <v>1165</v>
      </c>
      <c r="I1400" t="s">
        <v>1328</v>
      </c>
      <c r="J1400" t="s">
        <v>1337</v>
      </c>
      <c r="K1400" t="s">
        <v>1338</v>
      </c>
      <c r="L1400">
        <v>2000</v>
      </c>
      <c r="M1400" t="s">
        <v>1327</v>
      </c>
      <c r="O1400">
        <v>2005</v>
      </c>
      <c r="P1400">
        <v>2005</v>
      </c>
      <c r="Q1400" t="s">
        <v>1329</v>
      </c>
      <c r="R1400">
        <v>10</v>
      </c>
      <c r="T1400" t="s">
        <v>1330</v>
      </c>
      <c r="U1400" t="s">
        <v>1246</v>
      </c>
      <c r="V1400" s="9" t="s">
        <v>1332</v>
      </c>
      <c r="W1400">
        <v>35</v>
      </c>
      <c r="X1400" s="9" t="s">
        <v>1261</v>
      </c>
      <c r="Z1400">
        <v>0</v>
      </c>
      <c r="AD1400" t="s">
        <v>1165</v>
      </c>
      <c r="AF1400" t="s">
        <v>1165</v>
      </c>
      <c r="AI1400" t="s">
        <v>1165</v>
      </c>
      <c r="AJ1400" s="4" t="s">
        <v>1148</v>
      </c>
      <c r="AK1400" s="4">
        <v>0</v>
      </c>
      <c r="AP1400" s="4">
        <v>28</v>
      </c>
      <c r="AQ1400" t="s">
        <v>1336</v>
      </c>
      <c r="AR1400" s="4" t="s">
        <v>1335</v>
      </c>
      <c r="AS1400" t="s">
        <v>3000</v>
      </c>
    </row>
    <row r="1401" spans="1:45" x14ac:dyDescent="0.2">
      <c r="A1401" t="s">
        <v>1326</v>
      </c>
      <c r="B1401" s="4" t="s">
        <v>1146</v>
      </c>
      <c r="C1401" s="4" t="s">
        <v>1149</v>
      </c>
      <c r="D1401" t="s">
        <v>1346</v>
      </c>
      <c r="E1401" t="s">
        <v>1347</v>
      </c>
      <c r="G1401" s="4" t="s">
        <v>1165</v>
      </c>
      <c r="H1401" t="s">
        <v>1165</v>
      </c>
      <c r="I1401" t="s">
        <v>1328</v>
      </c>
      <c r="J1401" t="s">
        <v>1337</v>
      </c>
      <c r="K1401" t="s">
        <v>1338</v>
      </c>
      <c r="L1401">
        <v>2000</v>
      </c>
      <c r="M1401" t="s">
        <v>1327</v>
      </c>
      <c r="O1401">
        <v>2005</v>
      </c>
      <c r="P1401">
        <v>2005</v>
      </c>
      <c r="Q1401" t="s">
        <v>1329</v>
      </c>
      <c r="R1401">
        <v>10</v>
      </c>
      <c r="T1401" t="s">
        <v>1330</v>
      </c>
      <c r="U1401" t="s">
        <v>1246</v>
      </c>
      <c r="V1401" s="9" t="s">
        <v>1332</v>
      </c>
      <c r="W1401">
        <v>35</v>
      </c>
      <c r="X1401" s="9" t="s">
        <v>1334</v>
      </c>
      <c r="Z1401">
        <v>0</v>
      </c>
      <c r="AD1401" t="s">
        <v>1165</v>
      </c>
      <c r="AF1401" t="s">
        <v>1165</v>
      </c>
      <c r="AI1401" t="s">
        <v>1165</v>
      </c>
      <c r="AJ1401" s="4" t="s">
        <v>1148</v>
      </c>
      <c r="AK1401" s="4">
        <v>0</v>
      </c>
      <c r="AP1401" s="4">
        <v>28</v>
      </c>
      <c r="AQ1401" t="s">
        <v>1336</v>
      </c>
      <c r="AR1401" s="4" t="s">
        <v>1335</v>
      </c>
      <c r="AS1401" t="s">
        <v>3000</v>
      </c>
    </row>
    <row r="1402" spans="1:45" x14ac:dyDescent="0.2">
      <c r="A1402" t="s">
        <v>1326</v>
      </c>
      <c r="B1402" s="4" t="s">
        <v>1146</v>
      </c>
      <c r="C1402" s="4" t="s">
        <v>1149</v>
      </c>
      <c r="D1402" t="s">
        <v>1346</v>
      </c>
      <c r="E1402" t="s">
        <v>1347</v>
      </c>
      <c r="G1402" s="4" t="s">
        <v>1165</v>
      </c>
      <c r="H1402" t="s">
        <v>1165</v>
      </c>
      <c r="I1402" t="s">
        <v>1328</v>
      </c>
      <c r="J1402" t="s">
        <v>1337</v>
      </c>
      <c r="K1402" t="s">
        <v>1338</v>
      </c>
      <c r="L1402">
        <v>2000</v>
      </c>
      <c r="M1402" t="s">
        <v>1327</v>
      </c>
      <c r="O1402">
        <v>2005</v>
      </c>
      <c r="P1402">
        <v>2005</v>
      </c>
      <c r="Q1402" t="s">
        <v>1329</v>
      </c>
      <c r="R1402">
        <v>10</v>
      </c>
      <c r="T1402" t="s">
        <v>1330</v>
      </c>
      <c r="U1402" t="s">
        <v>1246</v>
      </c>
      <c r="V1402" s="9" t="s">
        <v>1332</v>
      </c>
      <c r="W1402">
        <v>70</v>
      </c>
      <c r="X1402" s="9" t="s">
        <v>1333</v>
      </c>
      <c r="Z1402">
        <v>12</v>
      </c>
      <c r="AD1402" t="s">
        <v>1165</v>
      </c>
      <c r="AF1402" t="s">
        <v>1165</v>
      </c>
      <c r="AI1402" t="s">
        <v>1165</v>
      </c>
      <c r="AJ1402" s="4" t="s">
        <v>1148</v>
      </c>
      <c r="AK1402" s="4">
        <v>0</v>
      </c>
      <c r="AP1402" s="4">
        <v>28</v>
      </c>
      <c r="AQ1402" t="s">
        <v>1336</v>
      </c>
      <c r="AR1402" s="4" t="s">
        <v>1335</v>
      </c>
      <c r="AS1402" t="s">
        <v>3000</v>
      </c>
    </row>
    <row r="1403" spans="1:45" x14ac:dyDescent="0.2">
      <c r="A1403" t="s">
        <v>1326</v>
      </c>
      <c r="B1403" s="4" t="s">
        <v>1146</v>
      </c>
      <c r="C1403" s="4" t="s">
        <v>1149</v>
      </c>
      <c r="D1403" t="s">
        <v>1346</v>
      </c>
      <c r="E1403" t="s">
        <v>1347</v>
      </c>
      <c r="G1403" s="4" t="s">
        <v>1165</v>
      </c>
      <c r="H1403" t="s">
        <v>1165</v>
      </c>
      <c r="I1403" t="s">
        <v>1328</v>
      </c>
      <c r="J1403" t="s">
        <v>1337</v>
      </c>
      <c r="K1403" t="s">
        <v>1338</v>
      </c>
      <c r="L1403">
        <v>2000</v>
      </c>
      <c r="M1403" t="s">
        <v>1327</v>
      </c>
      <c r="O1403">
        <v>2005</v>
      </c>
      <c r="P1403">
        <v>2005</v>
      </c>
      <c r="Q1403" t="s">
        <v>1329</v>
      </c>
      <c r="R1403">
        <v>10</v>
      </c>
      <c r="T1403" t="s">
        <v>1330</v>
      </c>
      <c r="U1403" t="s">
        <v>1246</v>
      </c>
      <c r="V1403" s="9" t="s">
        <v>1332</v>
      </c>
      <c r="W1403">
        <v>70</v>
      </c>
      <c r="X1403" s="9" t="s">
        <v>1264</v>
      </c>
      <c r="Z1403">
        <v>12</v>
      </c>
      <c r="AD1403" t="s">
        <v>1165</v>
      </c>
      <c r="AF1403" t="s">
        <v>1165</v>
      </c>
      <c r="AI1403" t="s">
        <v>1165</v>
      </c>
      <c r="AJ1403" s="4" t="s">
        <v>1148</v>
      </c>
      <c r="AK1403" s="4">
        <v>20.734000000000002</v>
      </c>
      <c r="AP1403" s="4">
        <v>28</v>
      </c>
      <c r="AQ1403" t="s">
        <v>1336</v>
      </c>
      <c r="AR1403" s="4" t="s">
        <v>1335</v>
      </c>
      <c r="AS1403" t="s">
        <v>3000</v>
      </c>
    </row>
    <row r="1404" spans="1:45" x14ac:dyDescent="0.2">
      <c r="A1404" t="s">
        <v>1326</v>
      </c>
      <c r="B1404" s="4" t="s">
        <v>1146</v>
      </c>
      <c r="C1404" s="4" t="s">
        <v>1149</v>
      </c>
      <c r="D1404" t="s">
        <v>1346</v>
      </c>
      <c r="E1404" t="s">
        <v>1347</v>
      </c>
      <c r="G1404" s="4" t="s">
        <v>1165</v>
      </c>
      <c r="H1404" t="s">
        <v>1165</v>
      </c>
      <c r="I1404" t="s">
        <v>1328</v>
      </c>
      <c r="J1404" t="s">
        <v>1337</v>
      </c>
      <c r="K1404" t="s">
        <v>1338</v>
      </c>
      <c r="L1404">
        <v>2000</v>
      </c>
      <c r="M1404" t="s">
        <v>1327</v>
      </c>
      <c r="O1404">
        <v>2005</v>
      </c>
      <c r="P1404">
        <v>2005</v>
      </c>
      <c r="Q1404" t="s">
        <v>1329</v>
      </c>
      <c r="R1404">
        <v>10</v>
      </c>
      <c r="T1404" t="s">
        <v>1330</v>
      </c>
      <c r="U1404" t="s">
        <v>1246</v>
      </c>
      <c r="V1404" s="9" t="s">
        <v>1332</v>
      </c>
      <c r="W1404">
        <v>70</v>
      </c>
      <c r="X1404" s="9" t="s">
        <v>1261</v>
      </c>
      <c r="Z1404">
        <v>12</v>
      </c>
      <c r="AD1404" t="s">
        <v>1165</v>
      </c>
      <c r="AF1404" t="s">
        <v>1165</v>
      </c>
      <c r="AI1404" t="s">
        <v>1165</v>
      </c>
      <c r="AJ1404" s="4" t="s">
        <v>1148</v>
      </c>
      <c r="AK1404" s="4">
        <v>46.131</v>
      </c>
      <c r="AP1404" s="4">
        <v>28</v>
      </c>
      <c r="AQ1404" t="s">
        <v>1336</v>
      </c>
      <c r="AR1404" s="4" t="s">
        <v>1335</v>
      </c>
      <c r="AS1404" t="s">
        <v>3000</v>
      </c>
    </row>
    <row r="1405" spans="1:45" x14ac:dyDescent="0.2">
      <c r="A1405" t="s">
        <v>1326</v>
      </c>
      <c r="B1405" s="4" t="s">
        <v>1146</v>
      </c>
      <c r="C1405" s="4" t="s">
        <v>1149</v>
      </c>
      <c r="D1405" t="s">
        <v>1346</v>
      </c>
      <c r="E1405" t="s">
        <v>1347</v>
      </c>
      <c r="G1405" s="4" t="s">
        <v>1165</v>
      </c>
      <c r="H1405" t="s">
        <v>1165</v>
      </c>
      <c r="I1405" t="s">
        <v>1328</v>
      </c>
      <c r="J1405" t="s">
        <v>1337</v>
      </c>
      <c r="K1405" t="s">
        <v>1338</v>
      </c>
      <c r="L1405">
        <v>2000</v>
      </c>
      <c r="M1405" t="s">
        <v>1327</v>
      </c>
      <c r="O1405">
        <v>2005</v>
      </c>
      <c r="P1405">
        <v>2005</v>
      </c>
      <c r="Q1405" t="s">
        <v>1329</v>
      </c>
      <c r="R1405">
        <v>10</v>
      </c>
      <c r="T1405" t="s">
        <v>1330</v>
      </c>
      <c r="U1405" t="s">
        <v>1246</v>
      </c>
      <c r="V1405" s="9" t="s">
        <v>1332</v>
      </c>
      <c r="W1405">
        <v>70</v>
      </c>
      <c r="X1405" s="9" t="s">
        <v>1334</v>
      </c>
      <c r="Z1405">
        <v>12</v>
      </c>
      <c r="AD1405" t="s">
        <v>1165</v>
      </c>
      <c r="AF1405" t="s">
        <v>1165</v>
      </c>
      <c r="AI1405" t="s">
        <v>1165</v>
      </c>
      <c r="AJ1405" s="4" t="s">
        <v>1148</v>
      </c>
      <c r="AK1405" s="4">
        <v>30.257999999999999</v>
      </c>
      <c r="AP1405" s="4">
        <v>28</v>
      </c>
      <c r="AQ1405" t="s">
        <v>1336</v>
      </c>
      <c r="AR1405" s="4" t="s">
        <v>1335</v>
      </c>
      <c r="AS1405" t="s">
        <v>3000</v>
      </c>
    </row>
    <row r="1406" spans="1:45" x14ac:dyDescent="0.2">
      <c r="A1406" t="s">
        <v>1326</v>
      </c>
      <c r="B1406" s="4" t="s">
        <v>1146</v>
      </c>
      <c r="C1406" s="4" t="s">
        <v>1149</v>
      </c>
      <c r="D1406" t="s">
        <v>1346</v>
      </c>
      <c r="E1406" t="s">
        <v>1347</v>
      </c>
      <c r="G1406" s="4" t="s">
        <v>1165</v>
      </c>
      <c r="H1406" t="s">
        <v>1165</v>
      </c>
      <c r="I1406" t="s">
        <v>1328</v>
      </c>
      <c r="J1406" t="s">
        <v>1337</v>
      </c>
      <c r="K1406" t="s">
        <v>1338</v>
      </c>
      <c r="L1406">
        <v>2000</v>
      </c>
      <c r="M1406" t="s">
        <v>1327</v>
      </c>
      <c r="O1406">
        <v>2005</v>
      </c>
      <c r="P1406">
        <v>2005</v>
      </c>
      <c r="Q1406" t="s">
        <v>1329</v>
      </c>
      <c r="R1406">
        <v>10</v>
      </c>
      <c r="T1406" t="s">
        <v>1330</v>
      </c>
      <c r="U1406" t="s">
        <v>1246</v>
      </c>
      <c r="V1406" s="9" t="s">
        <v>1332</v>
      </c>
      <c r="W1406">
        <v>70</v>
      </c>
      <c r="X1406" s="9" t="s">
        <v>1333</v>
      </c>
      <c r="Z1406">
        <v>0</v>
      </c>
      <c r="AD1406" t="s">
        <v>1165</v>
      </c>
      <c r="AF1406" t="s">
        <v>1165</v>
      </c>
      <c r="AI1406" t="s">
        <v>1165</v>
      </c>
      <c r="AJ1406" s="4" t="s">
        <v>1148</v>
      </c>
      <c r="AK1406" s="4">
        <v>0</v>
      </c>
      <c r="AP1406" s="4">
        <v>28</v>
      </c>
      <c r="AQ1406" t="s">
        <v>1336</v>
      </c>
      <c r="AR1406" s="4" t="s">
        <v>1335</v>
      </c>
      <c r="AS1406" t="s">
        <v>3000</v>
      </c>
    </row>
    <row r="1407" spans="1:45" x14ac:dyDescent="0.2">
      <c r="A1407" t="s">
        <v>1326</v>
      </c>
      <c r="B1407" s="4" t="s">
        <v>1146</v>
      </c>
      <c r="C1407" s="4" t="s">
        <v>1149</v>
      </c>
      <c r="D1407" t="s">
        <v>1346</v>
      </c>
      <c r="E1407" t="s">
        <v>1347</v>
      </c>
      <c r="G1407" s="4" t="s">
        <v>1165</v>
      </c>
      <c r="H1407" t="s">
        <v>1165</v>
      </c>
      <c r="I1407" t="s">
        <v>1328</v>
      </c>
      <c r="J1407" t="s">
        <v>1337</v>
      </c>
      <c r="K1407" t="s">
        <v>1338</v>
      </c>
      <c r="L1407">
        <v>2000</v>
      </c>
      <c r="M1407" t="s">
        <v>1327</v>
      </c>
      <c r="O1407">
        <v>2005</v>
      </c>
      <c r="P1407">
        <v>2005</v>
      </c>
      <c r="Q1407" t="s">
        <v>1329</v>
      </c>
      <c r="R1407">
        <v>10</v>
      </c>
      <c r="T1407" t="s">
        <v>1330</v>
      </c>
      <c r="U1407" t="s">
        <v>1246</v>
      </c>
      <c r="V1407" s="9" t="s">
        <v>1332</v>
      </c>
      <c r="W1407">
        <v>70</v>
      </c>
      <c r="X1407" s="9" t="s">
        <v>1264</v>
      </c>
      <c r="Z1407">
        <v>0</v>
      </c>
      <c r="AD1407" t="s">
        <v>1165</v>
      </c>
      <c r="AF1407" t="s">
        <v>1165</v>
      </c>
      <c r="AI1407" t="s">
        <v>1165</v>
      </c>
      <c r="AJ1407" s="4" t="s">
        <v>1148</v>
      </c>
      <c r="AK1407" s="4">
        <v>0</v>
      </c>
      <c r="AP1407" s="4">
        <v>28</v>
      </c>
      <c r="AQ1407" t="s">
        <v>1336</v>
      </c>
      <c r="AR1407" s="4" t="s">
        <v>1335</v>
      </c>
      <c r="AS1407" t="s">
        <v>3000</v>
      </c>
    </row>
    <row r="1408" spans="1:45" x14ac:dyDescent="0.2">
      <c r="A1408" t="s">
        <v>1326</v>
      </c>
      <c r="B1408" s="4" t="s">
        <v>1146</v>
      </c>
      <c r="C1408" s="4" t="s">
        <v>1149</v>
      </c>
      <c r="D1408" t="s">
        <v>1346</v>
      </c>
      <c r="E1408" t="s">
        <v>1347</v>
      </c>
      <c r="G1408" s="4" t="s">
        <v>1165</v>
      </c>
      <c r="H1408" t="s">
        <v>1165</v>
      </c>
      <c r="I1408" t="s">
        <v>1328</v>
      </c>
      <c r="J1408" t="s">
        <v>1337</v>
      </c>
      <c r="K1408" t="s">
        <v>1338</v>
      </c>
      <c r="L1408">
        <v>2000</v>
      </c>
      <c r="M1408" t="s">
        <v>1327</v>
      </c>
      <c r="O1408">
        <v>2005</v>
      </c>
      <c r="P1408">
        <v>2005</v>
      </c>
      <c r="Q1408" t="s">
        <v>1329</v>
      </c>
      <c r="R1408">
        <v>10</v>
      </c>
      <c r="T1408" t="s">
        <v>1330</v>
      </c>
      <c r="U1408" t="s">
        <v>1246</v>
      </c>
      <c r="V1408" s="9" t="s">
        <v>1332</v>
      </c>
      <c r="W1408">
        <v>70</v>
      </c>
      <c r="X1408" s="9" t="s">
        <v>1261</v>
      </c>
      <c r="Z1408">
        <v>0</v>
      </c>
      <c r="AD1408" t="s">
        <v>1165</v>
      </c>
      <c r="AF1408" t="s">
        <v>1165</v>
      </c>
      <c r="AI1408" t="s">
        <v>1165</v>
      </c>
      <c r="AJ1408" s="4" t="s">
        <v>1148</v>
      </c>
      <c r="AK1408" s="4">
        <v>0</v>
      </c>
      <c r="AP1408" s="4">
        <v>28</v>
      </c>
      <c r="AQ1408" t="s">
        <v>1336</v>
      </c>
      <c r="AR1408" s="4" t="s">
        <v>1335</v>
      </c>
      <c r="AS1408" t="s">
        <v>3000</v>
      </c>
    </row>
    <row r="1409" spans="1:45" x14ac:dyDescent="0.2">
      <c r="A1409" t="s">
        <v>1326</v>
      </c>
      <c r="B1409" s="4" t="s">
        <v>1146</v>
      </c>
      <c r="C1409" s="4" t="s">
        <v>1149</v>
      </c>
      <c r="D1409" t="s">
        <v>1346</v>
      </c>
      <c r="E1409" t="s">
        <v>1347</v>
      </c>
      <c r="G1409" s="4" t="s">
        <v>1165</v>
      </c>
      <c r="H1409" t="s">
        <v>1165</v>
      </c>
      <c r="I1409" t="s">
        <v>1328</v>
      </c>
      <c r="J1409" t="s">
        <v>1337</v>
      </c>
      <c r="K1409" t="s">
        <v>1338</v>
      </c>
      <c r="L1409">
        <v>2000</v>
      </c>
      <c r="M1409" t="s">
        <v>1327</v>
      </c>
      <c r="O1409">
        <v>2005</v>
      </c>
      <c r="P1409">
        <v>2005</v>
      </c>
      <c r="Q1409" t="s">
        <v>1329</v>
      </c>
      <c r="R1409">
        <v>10</v>
      </c>
      <c r="T1409" t="s">
        <v>1330</v>
      </c>
      <c r="U1409" t="s">
        <v>1246</v>
      </c>
      <c r="V1409" s="9" t="s">
        <v>1332</v>
      </c>
      <c r="W1409">
        <v>70</v>
      </c>
      <c r="X1409" s="9" t="s">
        <v>1334</v>
      </c>
      <c r="Z1409">
        <v>0</v>
      </c>
      <c r="AD1409" t="s">
        <v>1165</v>
      </c>
      <c r="AF1409" t="s">
        <v>1165</v>
      </c>
      <c r="AI1409" t="s">
        <v>1165</v>
      </c>
      <c r="AJ1409" s="4" t="s">
        <v>1148</v>
      </c>
      <c r="AK1409" s="4">
        <v>0</v>
      </c>
      <c r="AP1409" s="4">
        <v>28</v>
      </c>
      <c r="AQ1409" t="s">
        <v>1336</v>
      </c>
      <c r="AR1409" s="4" t="s">
        <v>1335</v>
      </c>
      <c r="AS1409" t="s">
        <v>3000</v>
      </c>
    </row>
    <row r="1410" spans="1:45" x14ac:dyDescent="0.2">
      <c r="A1410" t="s">
        <v>1326</v>
      </c>
      <c r="B1410" s="4" t="s">
        <v>1146</v>
      </c>
      <c r="C1410" s="4" t="s">
        <v>1149</v>
      </c>
      <c r="D1410" t="s">
        <v>1346</v>
      </c>
      <c r="E1410" t="s">
        <v>1347</v>
      </c>
      <c r="G1410" s="4" t="s">
        <v>1165</v>
      </c>
      <c r="H1410" t="s">
        <v>1165</v>
      </c>
      <c r="I1410" t="s">
        <v>1328</v>
      </c>
      <c r="J1410" t="s">
        <v>1337</v>
      </c>
      <c r="K1410" t="s">
        <v>1338</v>
      </c>
      <c r="L1410">
        <v>2000</v>
      </c>
      <c r="M1410" t="s">
        <v>1327</v>
      </c>
      <c r="O1410">
        <v>2005</v>
      </c>
      <c r="P1410">
        <v>2005</v>
      </c>
      <c r="Q1410" t="s">
        <v>1329</v>
      </c>
      <c r="R1410">
        <v>10</v>
      </c>
      <c r="T1410" t="s">
        <v>1330</v>
      </c>
      <c r="U1410" t="s">
        <v>1246</v>
      </c>
      <c r="V1410" s="9" t="s">
        <v>1332</v>
      </c>
      <c r="W1410">
        <v>140</v>
      </c>
      <c r="X1410" s="9" t="s">
        <v>1333</v>
      </c>
      <c r="Z1410">
        <v>12</v>
      </c>
      <c r="AD1410" t="s">
        <v>1165</v>
      </c>
      <c r="AF1410" t="s">
        <v>1165</v>
      </c>
      <c r="AI1410" t="s">
        <v>1165</v>
      </c>
      <c r="AJ1410" s="4" t="s">
        <v>1148</v>
      </c>
      <c r="AK1410" s="4">
        <v>0</v>
      </c>
      <c r="AP1410" s="4">
        <v>28</v>
      </c>
      <c r="AQ1410" t="s">
        <v>1336</v>
      </c>
      <c r="AR1410" s="4" t="s">
        <v>1335</v>
      </c>
      <c r="AS1410" t="s">
        <v>3000</v>
      </c>
    </row>
    <row r="1411" spans="1:45" x14ac:dyDescent="0.2">
      <c r="A1411" t="s">
        <v>1326</v>
      </c>
      <c r="B1411" s="4" t="s">
        <v>1146</v>
      </c>
      <c r="C1411" s="4" t="s">
        <v>1149</v>
      </c>
      <c r="D1411" t="s">
        <v>1346</v>
      </c>
      <c r="E1411" t="s">
        <v>1347</v>
      </c>
      <c r="G1411" s="4" t="s">
        <v>1165</v>
      </c>
      <c r="H1411" t="s">
        <v>1165</v>
      </c>
      <c r="I1411" t="s">
        <v>1328</v>
      </c>
      <c r="J1411" t="s">
        <v>1337</v>
      </c>
      <c r="K1411" t="s">
        <v>1338</v>
      </c>
      <c r="L1411">
        <v>2000</v>
      </c>
      <c r="M1411" t="s">
        <v>1327</v>
      </c>
      <c r="O1411">
        <v>2005</v>
      </c>
      <c r="P1411">
        <v>2005</v>
      </c>
      <c r="Q1411" t="s">
        <v>1329</v>
      </c>
      <c r="R1411">
        <v>10</v>
      </c>
      <c r="T1411" t="s">
        <v>1330</v>
      </c>
      <c r="U1411" t="s">
        <v>1246</v>
      </c>
      <c r="V1411" s="9" t="s">
        <v>1332</v>
      </c>
      <c r="W1411">
        <v>140</v>
      </c>
      <c r="X1411" s="9" t="s">
        <v>1264</v>
      </c>
      <c r="Z1411">
        <v>12</v>
      </c>
      <c r="AD1411" t="s">
        <v>1165</v>
      </c>
      <c r="AF1411" t="s">
        <v>1165</v>
      </c>
      <c r="AI1411" t="s">
        <v>1165</v>
      </c>
      <c r="AJ1411" s="4" t="s">
        <v>1148</v>
      </c>
      <c r="AK1411" s="4">
        <v>16.071000000000002</v>
      </c>
      <c r="AP1411" s="4">
        <v>28</v>
      </c>
      <c r="AQ1411" t="s">
        <v>1336</v>
      </c>
      <c r="AR1411" s="4" t="s">
        <v>1335</v>
      </c>
      <c r="AS1411" t="s">
        <v>3000</v>
      </c>
    </row>
    <row r="1412" spans="1:45" x14ac:dyDescent="0.2">
      <c r="A1412" t="s">
        <v>1326</v>
      </c>
      <c r="B1412" s="4" t="s">
        <v>1146</v>
      </c>
      <c r="C1412" s="4" t="s">
        <v>1149</v>
      </c>
      <c r="D1412" t="s">
        <v>1346</v>
      </c>
      <c r="E1412" t="s">
        <v>1347</v>
      </c>
      <c r="G1412" s="4" t="s">
        <v>1165</v>
      </c>
      <c r="H1412" t="s">
        <v>1165</v>
      </c>
      <c r="I1412" t="s">
        <v>1328</v>
      </c>
      <c r="J1412" t="s">
        <v>1337</v>
      </c>
      <c r="K1412" t="s">
        <v>1338</v>
      </c>
      <c r="L1412">
        <v>2000</v>
      </c>
      <c r="M1412" t="s">
        <v>1327</v>
      </c>
      <c r="O1412">
        <v>2005</v>
      </c>
      <c r="P1412">
        <v>2005</v>
      </c>
      <c r="Q1412" t="s">
        <v>1329</v>
      </c>
      <c r="R1412">
        <v>10</v>
      </c>
      <c r="T1412" t="s">
        <v>1330</v>
      </c>
      <c r="U1412" t="s">
        <v>1246</v>
      </c>
      <c r="V1412" s="9" t="s">
        <v>1332</v>
      </c>
      <c r="W1412">
        <v>140</v>
      </c>
      <c r="X1412" s="9" t="s">
        <v>1261</v>
      </c>
      <c r="Z1412">
        <v>12</v>
      </c>
      <c r="AD1412" t="s">
        <v>1165</v>
      </c>
      <c r="AF1412" t="s">
        <v>1165</v>
      </c>
      <c r="AI1412" t="s">
        <v>1165</v>
      </c>
      <c r="AJ1412" s="4" t="s">
        <v>1148</v>
      </c>
      <c r="AK1412" s="4">
        <v>63.591000000000001</v>
      </c>
      <c r="AP1412" s="4">
        <v>28</v>
      </c>
      <c r="AQ1412" t="s">
        <v>1336</v>
      </c>
      <c r="AR1412" s="4" t="s">
        <v>1335</v>
      </c>
      <c r="AS1412" t="s">
        <v>3000</v>
      </c>
    </row>
    <row r="1413" spans="1:45" x14ac:dyDescent="0.2">
      <c r="A1413" t="s">
        <v>1326</v>
      </c>
      <c r="B1413" s="4" t="s">
        <v>1146</v>
      </c>
      <c r="C1413" s="4" t="s">
        <v>1149</v>
      </c>
      <c r="D1413" t="s">
        <v>1346</v>
      </c>
      <c r="E1413" t="s">
        <v>1347</v>
      </c>
      <c r="G1413" s="4" t="s">
        <v>1165</v>
      </c>
      <c r="H1413" t="s">
        <v>1165</v>
      </c>
      <c r="I1413" t="s">
        <v>1328</v>
      </c>
      <c r="J1413" t="s">
        <v>1337</v>
      </c>
      <c r="K1413" t="s">
        <v>1338</v>
      </c>
      <c r="L1413">
        <v>2000</v>
      </c>
      <c r="M1413" t="s">
        <v>1327</v>
      </c>
      <c r="O1413">
        <v>2005</v>
      </c>
      <c r="P1413">
        <v>2005</v>
      </c>
      <c r="Q1413" t="s">
        <v>1329</v>
      </c>
      <c r="R1413">
        <v>10</v>
      </c>
      <c r="T1413" t="s">
        <v>1330</v>
      </c>
      <c r="U1413" t="s">
        <v>1246</v>
      </c>
      <c r="V1413" s="9" t="s">
        <v>1332</v>
      </c>
      <c r="W1413">
        <v>140</v>
      </c>
      <c r="X1413" s="9" t="s">
        <v>1334</v>
      </c>
      <c r="Z1413">
        <v>12</v>
      </c>
      <c r="AD1413" t="s">
        <v>1165</v>
      </c>
      <c r="AF1413" t="s">
        <v>1165</v>
      </c>
      <c r="AI1413" t="s">
        <v>1165</v>
      </c>
      <c r="AJ1413" s="4" t="s">
        <v>1148</v>
      </c>
      <c r="AK1413" s="4">
        <v>48.512</v>
      </c>
      <c r="AP1413" s="4">
        <v>28</v>
      </c>
      <c r="AQ1413" t="s">
        <v>1336</v>
      </c>
      <c r="AR1413" s="4" t="s">
        <v>1335</v>
      </c>
      <c r="AS1413" t="s">
        <v>3000</v>
      </c>
    </row>
    <row r="1414" spans="1:45" x14ac:dyDescent="0.2">
      <c r="A1414" t="s">
        <v>1326</v>
      </c>
      <c r="B1414" s="4" t="s">
        <v>1146</v>
      </c>
      <c r="C1414" s="4" t="s">
        <v>1149</v>
      </c>
      <c r="D1414" t="s">
        <v>1346</v>
      </c>
      <c r="E1414" t="s">
        <v>1347</v>
      </c>
      <c r="G1414" s="4" t="s">
        <v>1165</v>
      </c>
      <c r="H1414" t="s">
        <v>1165</v>
      </c>
      <c r="I1414" t="s">
        <v>1328</v>
      </c>
      <c r="J1414" t="s">
        <v>1337</v>
      </c>
      <c r="K1414" t="s">
        <v>1338</v>
      </c>
      <c r="L1414">
        <v>2000</v>
      </c>
      <c r="M1414" t="s">
        <v>1327</v>
      </c>
      <c r="O1414">
        <v>2005</v>
      </c>
      <c r="P1414">
        <v>2005</v>
      </c>
      <c r="Q1414" t="s">
        <v>1329</v>
      </c>
      <c r="R1414">
        <v>10</v>
      </c>
      <c r="T1414" t="s">
        <v>1330</v>
      </c>
      <c r="U1414" t="s">
        <v>1246</v>
      </c>
      <c r="V1414" s="9" t="s">
        <v>1332</v>
      </c>
      <c r="W1414">
        <v>140</v>
      </c>
      <c r="X1414" s="9" t="s">
        <v>1333</v>
      </c>
      <c r="Z1414">
        <v>0</v>
      </c>
      <c r="AD1414" t="s">
        <v>1165</v>
      </c>
      <c r="AF1414" t="s">
        <v>1165</v>
      </c>
      <c r="AI1414" t="s">
        <v>1165</v>
      </c>
      <c r="AJ1414" s="4" t="s">
        <v>1148</v>
      </c>
      <c r="AK1414" s="4">
        <v>0</v>
      </c>
      <c r="AP1414" s="4">
        <v>28</v>
      </c>
      <c r="AQ1414" t="s">
        <v>1336</v>
      </c>
      <c r="AR1414" s="4" t="s">
        <v>1335</v>
      </c>
      <c r="AS1414" t="s">
        <v>3000</v>
      </c>
    </row>
    <row r="1415" spans="1:45" x14ac:dyDescent="0.2">
      <c r="A1415" t="s">
        <v>1326</v>
      </c>
      <c r="B1415" s="4" t="s">
        <v>1146</v>
      </c>
      <c r="C1415" s="4" t="s">
        <v>1149</v>
      </c>
      <c r="D1415" t="s">
        <v>1346</v>
      </c>
      <c r="E1415" t="s">
        <v>1347</v>
      </c>
      <c r="G1415" s="4" t="s">
        <v>1165</v>
      </c>
      <c r="H1415" t="s">
        <v>1165</v>
      </c>
      <c r="I1415" t="s">
        <v>1328</v>
      </c>
      <c r="J1415" t="s">
        <v>1337</v>
      </c>
      <c r="K1415" t="s">
        <v>1338</v>
      </c>
      <c r="L1415">
        <v>2000</v>
      </c>
      <c r="M1415" t="s">
        <v>1327</v>
      </c>
      <c r="O1415">
        <v>2005</v>
      </c>
      <c r="P1415">
        <v>2005</v>
      </c>
      <c r="Q1415" t="s">
        <v>1329</v>
      </c>
      <c r="R1415">
        <v>10</v>
      </c>
      <c r="T1415" t="s">
        <v>1330</v>
      </c>
      <c r="U1415" t="s">
        <v>1246</v>
      </c>
      <c r="V1415" s="9" t="s">
        <v>1332</v>
      </c>
      <c r="W1415">
        <v>140</v>
      </c>
      <c r="X1415" s="9" t="s">
        <v>1264</v>
      </c>
      <c r="Z1415">
        <v>0</v>
      </c>
      <c r="AD1415" t="s">
        <v>1165</v>
      </c>
      <c r="AF1415" t="s">
        <v>1165</v>
      </c>
      <c r="AI1415" t="s">
        <v>1165</v>
      </c>
      <c r="AJ1415" s="4" t="s">
        <v>1148</v>
      </c>
      <c r="AK1415" s="4">
        <v>0</v>
      </c>
      <c r="AP1415" s="4">
        <v>28</v>
      </c>
      <c r="AQ1415" t="s">
        <v>1336</v>
      </c>
      <c r="AR1415" s="4" t="s">
        <v>1335</v>
      </c>
      <c r="AS1415" t="s">
        <v>3000</v>
      </c>
    </row>
    <row r="1416" spans="1:45" x14ac:dyDescent="0.2">
      <c r="A1416" t="s">
        <v>1326</v>
      </c>
      <c r="B1416" s="4" t="s">
        <v>1146</v>
      </c>
      <c r="C1416" s="4" t="s">
        <v>1149</v>
      </c>
      <c r="D1416" t="s">
        <v>1346</v>
      </c>
      <c r="E1416" t="s">
        <v>1347</v>
      </c>
      <c r="G1416" s="4" t="s">
        <v>1165</v>
      </c>
      <c r="H1416" t="s">
        <v>1165</v>
      </c>
      <c r="I1416" t="s">
        <v>1328</v>
      </c>
      <c r="J1416" t="s">
        <v>1337</v>
      </c>
      <c r="K1416" t="s">
        <v>1338</v>
      </c>
      <c r="L1416">
        <v>2000</v>
      </c>
      <c r="M1416" t="s">
        <v>1327</v>
      </c>
      <c r="O1416">
        <v>2005</v>
      </c>
      <c r="P1416">
        <v>2005</v>
      </c>
      <c r="Q1416" t="s">
        <v>1329</v>
      </c>
      <c r="R1416">
        <v>10</v>
      </c>
      <c r="T1416" t="s">
        <v>1330</v>
      </c>
      <c r="U1416" t="s">
        <v>1246</v>
      </c>
      <c r="V1416" s="9" t="s">
        <v>1332</v>
      </c>
      <c r="W1416">
        <v>140</v>
      </c>
      <c r="X1416" s="9" t="s">
        <v>1261</v>
      </c>
      <c r="Z1416">
        <v>0</v>
      </c>
      <c r="AD1416" t="s">
        <v>1165</v>
      </c>
      <c r="AF1416" t="s">
        <v>1165</v>
      </c>
      <c r="AI1416" t="s">
        <v>1165</v>
      </c>
      <c r="AJ1416" s="4" t="s">
        <v>1148</v>
      </c>
      <c r="AK1416" s="4">
        <v>0</v>
      </c>
      <c r="AP1416" s="4">
        <v>28</v>
      </c>
      <c r="AQ1416" t="s">
        <v>1336</v>
      </c>
      <c r="AR1416" s="4" t="s">
        <v>1335</v>
      </c>
      <c r="AS1416" t="s">
        <v>3000</v>
      </c>
    </row>
    <row r="1417" spans="1:45" x14ac:dyDescent="0.2">
      <c r="A1417" t="s">
        <v>1326</v>
      </c>
      <c r="B1417" s="4" t="s">
        <v>1146</v>
      </c>
      <c r="C1417" s="4" t="s">
        <v>1149</v>
      </c>
      <c r="D1417" t="s">
        <v>1346</v>
      </c>
      <c r="E1417" t="s">
        <v>1347</v>
      </c>
      <c r="G1417" s="4" t="s">
        <v>1165</v>
      </c>
      <c r="H1417" t="s">
        <v>1165</v>
      </c>
      <c r="I1417" t="s">
        <v>1328</v>
      </c>
      <c r="J1417" t="s">
        <v>1337</v>
      </c>
      <c r="K1417" t="s">
        <v>1338</v>
      </c>
      <c r="L1417">
        <v>2000</v>
      </c>
      <c r="M1417" t="s">
        <v>1327</v>
      </c>
      <c r="O1417">
        <v>2005</v>
      </c>
      <c r="P1417">
        <v>2005</v>
      </c>
      <c r="Q1417" t="s">
        <v>1329</v>
      </c>
      <c r="R1417">
        <v>10</v>
      </c>
      <c r="T1417" t="s">
        <v>1330</v>
      </c>
      <c r="U1417" t="s">
        <v>1246</v>
      </c>
      <c r="V1417" s="9" t="s">
        <v>1332</v>
      </c>
      <c r="W1417">
        <v>140</v>
      </c>
      <c r="X1417" s="9" t="s">
        <v>1334</v>
      </c>
      <c r="Z1417">
        <v>0</v>
      </c>
      <c r="AD1417" t="s">
        <v>1165</v>
      </c>
      <c r="AF1417" t="s">
        <v>1165</v>
      </c>
      <c r="AI1417" t="s">
        <v>1165</v>
      </c>
      <c r="AJ1417" s="4" t="s">
        <v>1148</v>
      </c>
      <c r="AK1417" s="4">
        <v>0</v>
      </c>
      <c r="AP1417" s="4">
        <v>28</v>
      </c>
      <c r="AQ1417" t="s">
        <v>1336</v>
      </c>
      <c r="AR1417" s="4" t="s">
        <v>1335</v>
      </c>
      <c r="AS1417" t="s">
        <v>3000</v>
      </c>
    </row>
    <row r="1418" spans="1:45" x14ac:dyDescent="0.2">
      <c r="A1418" t="s">
        <v>1326</v>
      </c>
      <c r="B1418" s="4" t="s">
        <v>1146</v>
      </c>
      <c r="C1418" s="4" t="s">
        <v>1149</v>
      </c>
      <c r="D1418" t="s">
        <v>1346</v>
      </c>
      <c r="E1418" t="s">
        <v>1347</v>
      </c>
      <c r="G1418" s="4" t="s">
        <v>1165</v>
      </c>
      <c r="H1418" t="s">
        <v>1165</v>
      </c>
      <c r="I1418" t="s">
        <v>1328</v>
      </c>
      <c r="J1418" t="s">
        <v>1337</v>
      </c>
      <c r="K1418" t="s">
        <v>1338</v>
      </c>
      <c r="L1418">
        <v>2000</v>
      </c>
      <c r="M1418" t="s">
        <v>1327</v>
      </c>
      <c r="O1418">
        <v>2005</v>
      </c>
      <c r="P1418">
        <v>2005</v>
      </c>
      <c r="Q1418" t="s">
        <v>1329</v>
      </c>
      <c r="R1418">
        <v>10</v>
      </c>
      <c r="T1418" t="s">
        <v>1330</v>
      </c>
      <c r="U1418" t="s">
        <v>1246</v>
      </c>
      <c r="V1418" s="9" t="s">
        <v>1332</v>
      </c>
      <c r="W1418">
        <v>210</v>
      </c>
      <c r="X1418" s="9" t="s">
        <v>1333</v>
      </c>
      <c r="Z1418">
        <v>12</v>
      </c>
      <c r="AD1418" t="s">
        <v>1165</v>
      </c>
      <c r="AF1418" t="s">
        <v>1165</v>
      </c>
      <c r="AI1418" t="s">
        <v>1165</v>
      </c>
      <c r="AJ1418" s="4" t="s">
        <v>1148</v>
      </c>
      <c r="AK1418" s="4">
        <v>4.0670000000000002</v>
      </c>
      <c r="AP1418" s="4">
        <v>28</v>
      </c>
      <c r="AQ1418" t="s">
        <v>1336</v>
      </c>
      <c r="AR1418" s="4" t="s">
        <v>1335</v>
      </c>
      <c r="AS1418" t="s">
        <v>3000</v>
      </c>
    </row>
    <row r="1419" spans="1:45" x14ac:dyDescent="0.2">
      <c r="A1419" t="s">
        <v>1326</v>
      </c>
      <c r="B1419" s="4" t="s">
        <v>1146</v>
      </c>
      <c r="C1419" s="4" t="s">
        <v>1149</v>
      </c>
      <c r="D1419" t="s">
        <v>1346</v>
      </c>
      <c r="E1419" t="s">
        <v>1347</v>
      </c>
      <c r="G1419" s="4" t="s">
        <v>1165</v>
      </c>
      <c r="H1419" t="s">
        <v>1165</v>
      </c>
      <c r="I1419" t="s">
        <v>1328</v>
      </c>
      <c r="J1419" t="s">
        <v>1337</v>
      </c>
      <c r="K1419" t="s">
        <v>1338</v>
      </c>
      <c r="L1419">
        <v>2000</v>
      </c>
      <c r="M1419" t="s">
        <v>1327</v>
      </c>
      <c r="O1419">
        <v>2005</v>
      </c>
      <c r="P1419">
        <v>2005</v>
      </c>
      <c r="Q1419" t="s">
        <v>1329</v>
      </c>
      <c r="R1419">
        <v>10</v>
      </c>
      <c r="T1419" t="s">
        <v>1330</v>
      </c>
      <c r="U1419" t="s">
        <v>1246</v>
      </c>
      <c r="V1419" s="9" t="s">
        <v>1332</v>
      </c>
      <c r="W1419">
        <v>210</v>
      </c>
      <c r="X1419" s="9" t="s">
        <v>1264</v>
      </c>
      <c r="Z1419">
        <v>12</v>
      </c>
      <c r="AD1419" t="s">
        <v>1165</v>
      </c>
      <c r="AF1419" t="s">
        <v>1165</v>
      </c>
      <c r="AI1419" t="s">
        <v>1165</v>
      </c>
      <c r="AJ1419" s="4" t="s">
        <v>1148</v>
      </c>
      <c r="AK1419" s="4">
        <v>24.702000000000002</v>
      </c>
      <c r="AP1419" s="4">
        <v>28</v>
      </c>
      <c r="AQ1419" t="s">
        <v>1336</v>
      </c>
      <c r="AR1419" s="4" t="s">
        <v>1335</v>
      </c>
      <c r="AS1419" t="s">
        <v>3000</v>
      </c>
    </row>
    <row r="1420" spans="1:45" x14ac:dyDescent="0.2">
      <c r="A1420" t="s">
        <v>1326</v>
      </c>
      <c r="B1420" s="4" t="s">
        <v>1146</v>
      </c>
      <c r="C1420" s="4" t="s">
        <v>1149</v>
      </c>
      <c r="D1420" t="s">
        <v>1346</v>
      </c>
      <c r="E1420" t="s">
        <v>1347</v>
      </c>
      <c r="G1420" s="4" t="s">
        <v>1165</v>
      </c>
      <c r="H1420" t="s">
        <v>1165</v>
      </c>
      <c r="I1420" t="s">
        <v>1328</v>
      </c>
      <c r="J1420" t="s">
        <v>1337</v>
      </c>
      <c r="K1420" t="s">
        <v>1338</v>
      </c>
      <c r="L1420">
        <v>2000</v>
      </c>
      <c r="M1420" t="s">
        <v>1327</v>
      </c>
      <c r="O1420">
        <v>2005</v>
      </c>
      <c r="P1420">
        <v>2005</v>
      </c>
      <c r="Q1420" t="s">
        <v>1329</v>
      </c>
      <c r="R1420">
        <v>10</v>
      </c>
      <c r="T1420" t="s">
        <v>1330</v>
      </c>
      <c r="U1420" t="s">
        <v>1246</v>
      </c>
      <c r="V1420" s="9" t="s">
        <v>1332</v>
      </c>
      <c r="W1420">
        <v>210</v>
      </c>
      <c r="X1420" s="9" t="s">
        <v>1261</v>
      </c>
      <c r="Z1420">
        <v>12</v>
      </c>
      <c r="AD1420" t="s">
        <v>1165</v>
      </c>
      <c r="AF1420" t="s">
        <v>1165</v>
      </c>
      <c r="AI1420" t="s">
        <v>1165</v>
      </c>
      <c r="AJ1420" s="4" t="s">
        <v>1148</v>
      </c>
      <c r="AK1420" s="4">
        <v>56.448</v>
      </c>
      <c r="AP1420" s="4">
        <v>28</v>
      </c>
      <c r="AQ1420" t="s">
        <v>1336</v>
      </c>
      <c r="AR1420" s="4" t="s">
        <v>1335</v>
      </c>
      <c r="AS1420" t="s">
        <v>3000</v>
      </c>
    </row>
    <row r="1421" spans="1:45" x14ac:dyDescent="0.2">
      <c r="A1421" t="s">
        <v>1326</v>
      </c>
      <c r="B1421" s="4" t="s">
        <v>1146</v>
      </c>
      <c r="C1421" s="4" t="s">
        <v>1149</v>
      </c>
      <c r="D1421" t="s">
        <v>1346</v>
      </c>
      <c r="E1421" t="s">
        <v>1347</v>
      </c>
      <c r="G1421" s="4" t="s">
        <v>1165</v>
      </c>
      <c r="H1421" t="s">
        <v>1165</v>
      </c>
      <c r="I1421" t="s">
        <v>1328</v>
      </c>
      <c r="J1421" t="s">
        <v>1337</v>
      </c>
      <c r="K1421" t="s">
        <v>1338</v>
      </c>
      <c r="L1421">
        <v>2000</v>
      </c>
      <c r="M1421" t="s">
        <v>1327</v>
      </c>
      <c r="O1421">
        <v>2005</v>
      </c>
      <c r="P1421">
        <v>2005</v>
      </c>
      <c r="Q1421" t="s">
        <v>1329</v>
      </c>
      <c r="R1421">
        <v>10</v>
      </c>
      <c r="T1421" t="s">
        <v>1330</v>
      </c>
      <c r="U1421" t="s">
        <v>1246</v>
      </c>
      <c r="V1421" s="9" t="s">
        <v>1332</v>
      </c>
      <c r="W1421">
        <v>210</v>
      </c>
      <c r="X1421" s="9" t="s">
        <v>1334</v>
      </c>
      <c r="Z1421">
        <v>12</v>
      </c>
      <c r="AD1421" t="s">
        <v>1165</v>
      </c>
      <c r="AF1421" t="s">
        <v>1165</v>
      </c>
      <c r="AI1421" t="s">
        <v>1165</v>
      </c>
      <c r="AJ1421" s="4" t="s">
        <v>1148</v>
      </c>
      <c r="AK1421" s="4">
        <v>50.098999999999997</v>
      </c>
      <c r="AP1421" s="4">
        <v>28</v>
      </c>
      <c r="AQ1421" t="s">
        <v>1336</v>
      </c>
      <c r="AR1421" s="4" t="s">
        <v>1335</v>
      </c>
      <c r="AS1421" t="s">
        <v>3000</v>
      </c>
    </row>
    <row r="1422" spans="1:45" x14ac:dyDescent="0.2">
      <c r="A1422" t="s">
        <v>1326</v>
      </c>
      <c r="B1422" s="4" t="s">
        <v>1146</v>
      </c>
      <c r="C1422" s="4" t="s">
        <v>1149</v>
      </c>
      <c r="D1422" t="s">
        <v>1346</v>
      </c>
      <c r="E1422" t="s">
        <v>1347</v>
      </c>
      <c r="G1422" s="4" t="s">
        <v>1165</v>
      </c>
      <c r="H1422" t="s">
        <v>1165</v>
      </c>
      <c r="I1422" t="s">
        <v>1328</v>
      </c>
      <c r="J1422" t="s">
        <v>1337</v>
      </c>
      <c r="K1422" t="s">
        <v>1338</v>
      </c>
      <c r="L1422">
        <v>2000</v>
      </c>
      <c r="M1422" t="s">
        <v>1327</v>
      </c>
      <c r="O1422">
        <v>2005</v>
      </c>
      <c r="P1422">
        <v>2005</v>
      </c>
      <c r="Q1422" t="s">
        <v>1329</v>
      </c>
      <c r="R1422">
        <v>10</v>
      </c>
      <c r="T1422" t="s">
        <v>1330</v>
      </c>
      <c r="U1422" t="s">
        <v>1246</v>
      </c>
      <c r="V1422" s="9" t="s">
        <v>1332</v>
      </c>
      <c r="W1422">
        <v>210</v>
      </c>
      <c r="X1422" s="9" t="s">
        <v>1333</v>
      </c>
      <c r="Z1422">
        <v>0</v>
      </c>
      <c r="AD1422" t="s">
        <v>1165</v>
      </c>
      <c r="AF1422" t="s">
        <v>1165</v>
      </c>
      <c r="AI1422" t="s">
        <v>1165</v>
      </c>
      <c r="AJ1422" s="4" t="s">
        <v>1148</v>
      </c>
      <c r="AK1422" s="4">
        <v>0</v>
      </c>
      <c r="AP1422" s="4">
        <v>28</v>
      </c>
      <c r="AQ1422" t="s">
        <v>1336</v>
      </c>
      <c r="AR1422" s="4" t="s">
        <v>1335</v>
      </c>
      <c r="AS1422" t="s">
        <v>3000</v>
      </c>
    </row>
    <row r="1423" spans="1:45" x14ac:dyDescent="0.2">
      <c r="A1423" t="s">
        <v>1326</v>
      </c>
      <c r="B1423" s="4" t="s">
        <v>1146</v>
      </c>
      <c r="C1423" s="4" t="s">
        <v>1149</v>
      </c>
      <c r="D1423" t="s">
        <v>1346</v>
      </c>
      <c r="E1423" t="s">
        <v>1347</v>
      </c>
      <c r="G1423" s="4" t="s">
        <v>1165</v>
      </c>
      <c r="H1423" t="s">
        <v>1165</v>
      </c>
      <c r="I1423" t="s">
        <v>1328</v>
      </c>
      <c r="J1423" t="s">
        <v>1337</v>
      </c>
      <c r="K1423" t="s">
        <v>1338</v>
      </c>
      <c r="L1423">
        <v>2000</v>
      </c>
      <c r="M1423" t="s">
        <v>1327</v>
      </c>
      <c r="O1423">
        <v>2005</v>
      </c>
      <c r="P1423">
        <v>2005</v>
      </c>
      <c r="Q1423" t="s">
        <v>1329</v>
      </c>
      <c r="R1423">
        <v>10</v>
      </c>
      <c r="T1423" t="s">
        <v>1330</v>
      </c>
      <c r="U1423" t="s">
        <v>1246</v>
      </c>
      <c r="V1423" s="9" t="s">
        <v>1332</v>
      </c>
      <c r="W1423">
        <v>210</v>
      </c>
      <c r="X1423" s="9" t="s">
        <v>1264</v>
      </c>
      <c r="Z1423">
        <v>0</v>
      </c>
      <c r="AD1423" t="s">
        <v>1165</v>
      </c>
      <c r="AF1423" t="s">
        <v>1165</v>
      </c>
      <c r="AI1423" t="s">
        <v>1165</v>
      </c>
      <c r="AJ1423" s="4" t="s">
        <v>1148</v>
      </c>
      <c r="AK1423" s="4">
        <v>0</v>
      </c>
      <c r="AP1423" s="4">
        <v>28</v>
      </c>
      <c r="AQ1423" t="s">
        <v>1336</v>
      </c>
      <c r="AR1423" s="4" t="s">
        <v>1335</v>
      </c>
      <c r="AS1423" t="s">
        <v>3000</v>
      </c>
    </row>
    <row r="1424" spans="1:45" x14ac:dyDescent="0.2">
      <c r="A1424" t="s">
        <v>1326</v>
      </c>
      <c r="B1424" s="4" t="s">
        <v>1146</v>
      </c>
      <c r="C1424" s="4" t="s">
        <v>1149</v>
      </c>
      <c r="D1424" t="s">
        <v>1346</v>
      </c>
      <c r="E1424" t="s">
        <v>1347</v>
      </c>
      <c r="G1424" s="4" t="s">
        <v>1165</v>
      </c>
      <c r="H1424" t="s">
        <v>1165</v>
      </c>
      <c r="I1424" t="s">
        <v>1328</v>
      </c>
      <c r="J1424" t="s">
        <v>1337</v>
      </c>
      <c r="K1424" t="s">
        <v>1338</v>
      </c>
      <c r="L1424">
        <v>2000</v>
      </c>
      <c r="M1424" t="s">
        <v>1327</v>
      </c>
      <c r="O1424">
        <v>2005</v>
      </c>
      <c r="P1424">
        <v>2005</v>
      </c>
      <c r="Q1424" t="s">
        <v>1329</v>
      </c>
      <c r="R1424">
        <v>10</v>
      </c>
      <c r="T1424" t="s">
        <v>1330</v>
      </c>
      <c r="U1424" t="s">
        <v>1246</v>
      </c>
      <c r="V1424" s="9" t="s">
        <v>1332</v>
      </c>
      <c r="W1424">
        <v>210</v>
      </c>
      <c r="X1424" s="9" t="s">
        <v>1261</v>
      </c>
      <c r="Z1424">
        <v>0</v>
      </c>
      <c r="AD1424" t="s">
        <v>1165</v>
      </c>
      <c r="AF1424" t="s">
        <v>1165</v>
      </c>
      <c r="AI1424" t="s">
        <v>1165</v>
      </c>
      <c r="AJ1424" s="4" t="s">
        <v>1148</v>
      </c>
      <c r="AK1424" s="4">
        <v>12.5</v>
      </c>
      <c r="AP1424" s="4">
        <v>28</v>
      </c>
      <c r="AQ1424" t="s">
        <v>1336</v>
      </c>
      <c r="AR1424" s="4" t="s">
        <v>1335</v>
      </c>
      <c r="AS1424" t="s">
        <v>3000</v>
      </c>
    </row>
    <row r="1425" spans="1:45" x14ac:dyDescent="0.2">
      <c r="A1425" t="s">
        <v>1326</v>
      </c>
      <c r="B1425" s="4" t="s">
        <v>1146</v>
      </c>
      <c r="C1425" s="4" t="s">
        <v>1149</v>
      </c>
      <c r="D1425" t="s">
        <v>1346</v>
      </c>
      <c r="E1425" t="s">
        <v>1347</v>
      </c>
      <c r="G1425" s="4" t="s">
        <v>1165</v>
      </c>
      <c r="H1425" t="s">
        <v>1165</v>
      </c>
      <c r="I1425" t="s">
        <v>1328</v>
      </c>
      <c r="J1425" t="s">
        <v>1337</v>
      </c>
      <c r="K1425" t="s">
        <v>1338</v>
      </c>
      <c r="L1425">
        <v>2000</v>
      </c>
      <c r="M1425" t="s">
        <v>1327</v>
      </c>
      <c r="O1425">
        <v>2005</v>
      </c>
      <c r="P1425">
        <v>2005</v>
      </c>
      <c r="Q1425" t="s">
        <v>1329</v>
      </c>
      <c r="R1425">
        <v>10</v>
      </c>
      <c r="T1425" t="s">
        <v>1330</v>
      </c>
      <c r="U1425" t="s">
        <v>1246</v>
      </c>
      <c r="V1425" s="9" t="s">
        <v>1332</v>
      </c>
      <c r="W1425">
        <v>210</v>
      </c>
      <c r="X1425" s="9" t="s">
        <v>1334</v>
      </c>
      <c r="Z1425">
        <v>0</v>
      </c>
      <c r="AD1425" t="s">
        <v>1165</v>
      </c>
      <c r="AF1425" t="s">
        <v>1165</v>
      </c>
      <c r="AI1425" t="s">
        <v>1165</v>
      </c>
      <c r="AJ1425" s="4" t="s">
        <v>1148</v>
      </c>
      <c r="AK1425" s="4">
        <v>0</v>
      </c>
      <c r="AP1425" s="4">
        <v>28</v>
      </c>
      <c r="AQ1425" t="s">
        <v>1336</v>
      </c>
      <c r="AR1425" s="4" t="s">
        <v>1335</v>
      </c>
      <c r="AS1425" t="s">
        <v>3000</v>
      </c>
    </row>
    <row r="1426" spans="1:45" x14ac:dyDescent="0.2">
      <c r="A1426" t="s">
        <v>1326</v>
      </c>
      <c r="B1426" s="4" t="s">
        <v>1146</v>
      </c>
      <c r="C1426" s="4" t="s">
        <v>1149</v>
      </c>
      <c r="D1426" t="s">
        <v>1346</v>
      </c>
      <c r="E1426" t="s">
        <v>1347</v>
      </c>
      <c r="G1426" s="4" t="s">
        <v>1165</v>
      </c>
      <c r="H1426" t="s">
        <v>1165</v>
      </c>
      <c r="I1426" t="s">
        <v>1328</v>
      </c>
      <c r="J1426" t="s">
        <v>1337</v>
      </c>
      <c r="K1426" t="s">
        <v>1338</v>
      </c>
      <c r="L1426">
        <v>2000</v>
      </c>
      <c r="M1426" t="s">
        <v>1327</v>
      </c>
      <c r="O1426">
        <v>2005</v>
      </c>
      <c r="P1426">
        <v>2005</v>
      </c>
      <c r="Q1426" t="s">
        <v>1329</v>
      </c>
      <c r="R1426">
        <v>10</v>
      </c>
      <c r="T1426" t="s">
        <v>1330</v>
      </c>
      <c r="U1426" t="s">
        <v>1340</v>
      </c>
      <c r="V1426" s="9" t="s">
        <v>1339</v>
      </c>
      <c r="W1426">
        <v>0</v>
      </c>
      <c r="X1426" s="9" t="s">
        <v>1333</v>
      </c>
      <c r="Z1426">
        <v>12</v>
      </c>
      <c r="AD1426" t="s">
        <v>1165</v>
      </c>
      <c r="AF1426" t="s">
        <v>1165</v>
      </c>
      <c r="AI1426" t="s">
        <v>1165</v>
      </c>
      <c r="AJ1426" s="4" t="s">
        <v>1148</v>
      </c>
      <c r="AK1426" s="4">
        <v>0</v>
      </c>
      <c r="AP1426" s="4">
        <v>28</v>
      </c>
      <c r="AQ1426" t="s">
        <v>1336</v>
      </c>
      <c r="AR1426" s="4" t="s">
        <v>1335</v>
      </c>
      <c r="AS1426" t="s">
        <v>3001</v>
      </c>
    </row>
    <row r="1427" spans="1:45" x14ac:dyDescent="0.2">
      <c r="A1427" t="s">
        <v>1326</v>
      </c>
      <c r="B1427" s="4" t="s">
        <v>1146</v>
      </c>
      <c r="C1427" s="4" t="s">
        <v>1149</v>
      </c>
      <c r="D1427" t="s">
        <v>1346</v>
      </c>
      <c r="E1427" t="s">
        <v>1347</v>
      </c>
      <c r="G1427" s="4" t="s">
        <v>1165</v>
      </c>
      <c r="H1427" t="s">
        <v>1165</v>
      </c>
      <c r="I1427" t="s">
        <v>1328</v>
      </c>
      <c r="J1427" t="s">
        <v>1337</v>
      </c>
      <c r="K1427" t="s">
        <v>1338</v>
      </c>
      <c r="L1427">
        <v>2000</v>
      </c>
      <c r="M1427" t="s">
        <v>1327</v>
      </c>
      <c r="O1427">
        <v>2005</v>
      </c>
      <c r="P1427">
        <v>2005</v>
      </c>
      <c r="Q1427" t="s">
        <v>1329</v>
      </c>
      <c r="R1427">
        <v>10</v>
      </c>
      <c r="T1427" t="s">
        <v>1330</v>
      </c>
      <c r="U1427" t="s">
        <v>1340</v>
      </c>
      <c r="V1427" s="9" t="s">
        <v>1339</v>
      </c>
      <c r="W1427">
        <v>0</v>
      </c>
      <c r="X1427" s="9" t="s">
        <v>1264</v>
      </c>
      <c r="Z1427">
        <v>12</v>
      </c>
      <c r="AD1427" t="s">
        <v>1165</v>
      </c>
      <c r="AF1427" t="s">
        <v>1165</v>
      </c>
      <c r="AI1427" t="s">
        <v>1165</v>
      </c>
      <c r="AJ1427" s="4" t="s">
        <v>1148</v>
      </c>
      <c r="AK1427" s="4">
        <v>0</v>
      </c>
      <c r="AP1427" s="4">
        <v>28</v>
      </c>
      <c r="AQ1427" t="s">
        <v>1336</v>
      </c>
      <c r="AR1427" s="4" t="s">
        <v>1335</v>
      </c>
      <c r="AS1427" t="s">
        <v>3001</v>
      </c>
    </row>
    <row r="1428" spans="1:45" x14ac:dyDescent="0.2">
      <c r="A1428" t="s">
        <v>1326</v>
      </c>
      <c r="B1428" s="4" t="s">
        <v>1146</v>
      </c>
      <c r="C1428" s="4" t="s">
        <v>1149</v>
      </c>
      <c r="D1428" t="s">
        <v>1346</v>
      </c>
      <c r="E1428" t="s">
        <v>1347</v>
      </c>
      <c r="G1428" s="4" t="s">
        <v>1165</v>
      </c>
      <c r="H1428" t="s">
        <v>1165</v>
      </c>
      <c r="I1428" t="s">
        <v>1328</v>
      </c>
      <c r="J1428" t="s">
        <v>1337</v>
      </c>
      <c r="K1428" t="s">
        <v>1338</v>
      </c>
      <c r="L1428">
        <v>2000</v>
      </c>
      <c r="M1428" t="s">
        <v>1327</v>
      </c>
      <c r="O1428">
        <v>2005</v>
      </c>
      <c r="P1428">
        <v>2005</v>
      </c>
      <c r="Q1428" t="s">
        <v>1329</v>
      </c>
      <c r="R1428">
        <v>10</v>
      </c>
      <c r="T1428" t="s">
        <v>1330</v>
      </c>
      <c r="U1428" t="s">
        <v>1340</v>
      </c>
      <c r="V1428" s="9" t="s">
        <v>1339</v>
      </c>
      <c r="W1428">
        <v>0</v>
      </c>
      <c r="X1428" s="9" t="s">
        <v>1261</v>
      </c>
      <c r="Z1428">
        <v>12</v>
      </c>
      <c r="AD1428" t="s">
        <v>1165</v>
      </c>
      <c r="AF1428" t="s">
        <v>1165</v>
      </c>
      <c r="AI1428" t="s">
        <v>1165</v>
      </c>
      <c r="AJ1428" s="4" t="s">
        <v>1148</v>
      </c>
      <c r="AK1428" s="4">
        <v>0</v>
      </c>
      <c r="AP1428" s="4">
        <v>28</v>
      </c>
      <c r="AQ1428" t="s">
        <v>1336</v>
      </c>
      <c r="AR1428" s="4" t="s">
        <v>1335</v>
      </c>
      <c r="AS1428" t="s">
        <v>3001</v>
      </c>
    </row>
    <row r="1429" spans="1:45" x14ac:dyDescent="0.2">
      <c r="A1429" t="s">
        <v>1326</v>
      </c>
      <c r="B1429" s="4" t="s">
        <v>1146</v>
      </c>
      <c r="C1429" s="4" t="s">
        <v>1149</v>
      </c>
      <c r="D1429" t="s">
        <v>1346</v>
      </c>
      <c r="E1429" t="s">
        <v>1347</v>
      </c>
      <c r="G1429" s="4" t="s">
        <v>1165</v>
      </c>
      <c r="H1429" t="s">
        <v>1165</v>
      </c>
      <c r="I1429" t="s">
        <v>1328</v>
      </c>
      <c r="J1429" t="s">
        <v>1337</v>
      </c>
      <c r="K1429" t="s">
        <v>1338</v>
      </c>
      <c r="L1429">
        <v>2000</v>
      </c>
      <c r="M1429" t="s">
        <v>1327</v>
      </c>
      <c r="O1429">
        <v>2005</v>
      </c>
      <c r="P1429">
        <v>2005</v>
      </c>
      <c r="Q1429" t="s">
        <v>1329</v>
      </c>
      <c r="R1429">
        <v>10</v>
      </c>
      <c r="T1429" t="s">
        <v>1330</v>
      </c>
      <c r="U1429" t="s">
        <v>1340</v>
      </c>
      <c r="V1429" s="9" t="s">
        <v>1339</v>
      </c>
      <c r="W1429">
        <v>0</v>
      </c>
      <c r="X1429" s="9" t="s">
        <v>1334</v>
      </c>
      <c r="Z1429">
        <v>12</v>
      </c>
      <c r="AD1429" t="s">
        <v>1165</v>
      </c>
      <c r="AF1429" t="s">
        <v>1165</v>
      </c>
      <c r="AI1429" t="s">
        <v>1165</v>
      </c>
      <c r="AJ1429" s="4" t="s">
        <v>1148</v>
      </c>
      <c r="AK1429" s="4">
        <v>0</v>
      </c>
      <c r="AP1429" s="4">
        <v>28</v>
      </c>
      <c r="AQ1429" t="s">
        <v>1336</v>
      </c>
      <c r="AR1429" s="4" t="s">
        <v>1335</v>
      </c>
      <c r="AS1429" t="s">
        <v>3001</v>
      </c>
    </row>
    <row r="1430" spans="1:45" x14ac:dyDescent="0.2">
      <c r="A1430" t="s">
        <v>1326</v>
      </c>
      <c r="B1430" s="4" t="s">
        <v>1146</v>
      </c>
      <c r="C1430" s="4" t="s">
        <v>1149</v>
      </c>
      <c r="D1430" t="s">
        <v>1346</v>
      </c>
      <c r="E1430" t="s">
        <v>1347</v>
      </c>
      <c r="G1430" s="4" t="s">
        <v>1165</v>
      </c>
      <c r="H1430" t="s">
        <v>1165</v>
      </c>
      <c r="I1430" t="s">
        <v>1328</v>
      </c>
      <c r="J1430" t="s">
        <v>1337</v>
      </c>
      <c r="K1430" t="s">
        <v>1338</v>
      </c>
      <c r="L1430">
        <v>2000</v>
      </c>
      <c r="M1430" t="s">
        <v>1327</v>
      </c>
      <c r="O1430">
        <v>2005</v>
      </c>
      <c r="P1430">
        <v>2005</v>
      </c>
      <c r="Q1430" t="s">
        <v>1329</v>
      </c>
      <c r="R1430">
        <v>10</v>
      </c>
      <c r="T1430" t="s">
        <v>1330</v>
      </c>
      <c r="U1430" t="s">
        <v>1340</v>
      </c>
      <c r="V1430" s="9" t="s">
        <v>1339</v>
      </c>
      <c r="W1430">
        <v>0</v>
      </c>
      <c r="X1430" s="9" t="s">
        <v>1333</v>
      </c>
      <c r="Z1430">
        <v>0</v>
      </c>
      <c r="AD1430" t="s">
        <v>1165</v>
      </c>
      <c r="AF1430" t="s">
        <v>1165</v>
      </c>
      <c r="AI1430" t="s">
        <v>1165</v>
      </c>
      <c r="AJ1430" s="4" t="s">
        <v>1148</v>
      </c>
      <c r="AK1430" s="4">
        <v>0</v>
      </c>
      <c r="AP1430" s="4">
        <v>28</v>
      </c>
      <c r="AQ1430" t="s">
        <v>1336</v>
      </c>
      <c r="AR1430" s="4" t="s">
        <v>1335</v>
      </c>
      <c r="AS1430" t="s">
        <v>3001</v>
      </c>
    </row>
    <row r="1431" spans="1:45" x14ac:dyDescent="0.2">
      <c r="A1431" t="s">
        <v>1326</v>
      </c>
      <c r="B1431" s="4" t="s">
        <v>1146</v>
      </c>
      <c r="C1431" s="4" t="s">
        <v>1149</v>
      </c>
      <c r="D1431" t="s">
        <v>1346</v>
      </c>
      <c r="E1431" t="s">
        <v>1347</v>
      </c>
      <c r="G1431" s="4" t="s">
        <v>1165</v>
      </c>
      <c r="H1431" t="s">
        <v>1165</v>
      </c>
      <c r="I1431" t="s">
        <v>1328</v>
      </c>
      <c r="J1431" t="s">
        <v>1337</v>
      </c>
      <c r="K1431" t="s">
        <v>1338</v>
      </c>
      <c r="L1431">
        <v>2000</v>
      </c>
      <c r="M1431" t="s">
        <v>1327</v>
      </c>
      <c r="O1431">
        <v>2005</v>
      </c>
      <c r="P1431">
        <v>2005</v>
      </c>
      <c r="Q1431" t="s">
        <v>1329</v>
      </c>
      <c r="R1431">
        <v>10</v>
      </c>
      <c r="T1431" t="s">
        <v>1330</v>
      </c>
      <c r="U1431" t="s">
        <v>1340</v>
      </c>
      <c r="V1431" s="9" t="s">
        <v>1339</v>
      </c>
      <c r="W1431">
        <v>0</v>
      </c>
      <c r="X1431" s="9" t="s">
        <v>1264</v>
      </c>
      <c r="Z1431">
        <v>0</v>
      </c>
      <c r="AD1431" t="s">
        <v>1165</v>
      </c>
      <c r="AF1431" t="s">
        <v>1165</v>
      </c>
      <c r="AI1431" t="s">
        <v>1165</v>
      </c>
      <c r="AJ1431" s="4" t="s">
        <v>1148</v>
      </c>
      <c r="AK1431" s="4">
        <v>0</v>
      </c>
      <c r="AP1431" s="4">
        <v>28</v>
      </c>
      <c r="AQ1431" t="s">
        <v>1336</v>
      </c>
      <c r="AR1431" s="4" t="s">
        <v>1335</v>
      </c>
      <c r="AS1431" t="s">
        <v>3001</v>
      </c>
    </row>
    <row r="1432" spans="1:45" x14ac:dyDescent="0.2">
      <c r="A1432" t="s">
        <v>1326</v>
      </c>
      <c r="B1432" s="4" t="s">
        <v>1146</v>
      </c>
      <c r="C1432" s="4" t="s">
        <v>1149</v>
      </c>
      <c r="D1432" t="s">
        <v>1346</v>
      </c>
      <c r="E1432" t="s">
        <v>1347</v>
      </c>
      <c r="G1432" s="4" t="s">
        <v>1165</v>
      </c>
      <c r="H1432" t="s">
        <v>1165</v>
      </c>
      <c r="I1432" t="s">
        <v>1328</v>
      </c>
      <c r="J1432" t="s">
        <v>1337</v>
      </c>
      <c r="K1432" t="s">
        <v>1338</v>
      </c>
      <c r="L1432">
        <v>2000</v>
      </c>
      <c r="M1432" t="s">
        <v>1327</v>
      </c>
      <c r="O1432">
        <v>2005</v>
      </c>
      <c r="P1432">
        <v>2005</v>
      </c>
      <c r="Q1432" t="s">
        <v>1329</v>
      </c>
      <c r="R1432">
        <v>10</v>
      </c>
      <c r="T1432" t="s">
        <v>1330</v>
      </c>
      <c r="U1432" t="s">
        <v>1340</v>
      </c>
      <c r="V1432" s="9" t="s">
        <v>1339</v>
      </c>
      <c r="W1432">
        <v>0</v>
      </c>
      <c r="X1432" s="9" t="s">
        <v>1261</v>
      </c>
      <c r="Z1432">
        <v>0</v>
      </c>
      <c r="AD1432" t="s">
        <v>1165</v>
      </c>
      <c r="AF1432" t="s">
        <v>1165</v>
      </c>
      <c r="AI1432" t="s">
        <v>1165</v>
      </c>
      <c r="AJ1432" s="4" t="s">
        <v>1148</v>
      </c>
      <c r="AK1432" s="4">
        <v>0</v>
      </c>
      <c r="AP1432" s="4">
        <v>28</v>
      </c>
      <c r="AQ1432" t="s">
        <v>1336</v>
      </c>
      <c r="AR1432" s="4" t="s">
        <v>1335</v>
      </c>
      <c r="AS1432" t="s">
        <v>3001</v>
      </c>
    </row>
    <row r="1433" spans="1:45" x14ac:dyDescent="0.2">
      <c r="A1433" t="s">
        <v>1326</v>
      </c>
      <c r="B1433" s="4" t="s">
        <v>1146</v>
      </c>
      <c r="C1433" s="4" t="s">
        <v>1149</v>
      </c>
      <c r="D1433" t="s">
        <v>1346</v>
      </c>
      <c r="E1433" t="s">
        <v>1347</v>
      </c>
      <c r="G1433" s="4" t="s">
        <v>1165</v>
      </c>
      <c r="H1433" t="s">
        <v>1165</v>
      </c>
      <c r="I1433" t="s">
        <v>1328</v>
      </c>
      <c r="J1433" t="s">
        <v>1337</v>
      </c>
      <c r="K1433" t="s">
        <v>1338</v>
      </c>
      <c r="L1433">
        <v>2000</v>
      </c>
      <c r="M1433" t="s">
        <v>1327</v>
      </c>
      <c r="O1433">
        <v>2005</v>
      </c>
      <c r="P1433">
        <v>2005</v>
      </c>
      <c r="Q1433" t="s">
        <v>1329</v>
      </c>
      <c r="R1433">
        <v>10</v>
      </c>
      <c r="T1433" t="s">
        <v>1330</v>
      </c>
      <c r="U1433" t="s">
        <v>1340</v>
      </c>
      <c r="V1433" s="9" t="s">
        <v>1339</v>
      </c>
      <c r="W1433">
        <v>0</v>
      </c>
      <c r="X1433" s="9" t="s">
        <v>1334</v>
      </c>
      <c r="Z1433">
        <v>0</v>
      </c>
      <c r="AD1433" t="s">
        <v>1165</v>
      </c>
      <c r="AF1433" t="s">
        <v>1165</v>
      </c>
      <c r="AI1433" t="s">
        <v>1165</v>
      </c>
      <c r="AJ1433" s="4" t="s">
        <v>1148</v>
      </c>
      <c r="AK1433" s="4">
        <v>0</v>
      </c>
      <c r="AP1433" s="4">
        <v>28</v>
      </c>
      <c r="AQ1433" t="s">
        <v>1336</v>
      </c>
      <c r="AR1433" s="4" t="s">
        <v>1335</v>
      </c>
      <c r="AS1433" t="s">
        <v>3001</v>
      </c>
    </row>
    <row r="1434" spans="1:45" x14ac:dyDescent="0.2">
      <c r="A1434" t="s">
        <v>1326</v>
      </c>
      <c r="B1434" s="4" t="s">
        <v>1146</v>
      </c>
      <c r="C1434" s="4" t="s">
        <v>1149</v>
      </c>
      <c r="D1434" t="s">
        <v>1346</v>
      </c>
      <c r="E1434" t="s">
        <v>1347</v>
      </c>
      <c r="G1434" s="4" t="s">
        <v>1165</v>
      </c>
      <c r="H1434" t="s">
        <v>1165</v>
      </c>
      <c r="I1434" t="s">
        <v>1328</v>
      </c>
      <c r="J1434" t="s">
        <v>1337</v>
      </c>
      <c r="K1434" t="s">
        <v>1338</v>
      </c>
      <c r="L1434">
        <v>2000</v>
      </c>
      <c r="M1434" t="s">
        <v>1327</v>
      </c>
      <c r="O1434">
        <v>2005</v>
      </c>
      <c r="P1434">
        <v>2005</v>
      </c>
      <c r="Q1434" t="s">
        <v>1329</v>
      </c>
      <c r="R1434">
        <v>10</v>
      </c>
      <c r="T1434" t="s">
        <v>1330</v>
      </c>
      <c r="U1434" t="s">
        <v>1340</v>
      </c>
      <c r="V1434" s="9" t="s">
        <v>1339</v>
      </c>
      <c r="W1434">
        <v>17.5</v>
      </c>
      <c r="X1434" s="9" t="s">
        <v>1333</v>
      </c>
      <c r="Z1434">
        <v>12</v>
      </c>
      <c r="AD1434" t="s">
        <v>1165</v>
      </c>
      <c r="AF1434" t="s">
        <v>1165</v>
      </c>
      <c r="AI1434" t="s">
        <v>1165</v>
      </c>
      <c r="AJ1434" s="4" t="s">
        <v>1148</v>
      </c>
      <c r="AK1434" s="4">
        <v>0</v>
      </c>
      <c r="AP1434" s="4">
        <v>28</v>
      </c>
      <c r="AQ1434" t="s">
        <v>1336</v>
      </c>
      <c r="AR1434" s="4" t="s">
        <v>1335</v>
      </c>
      <c r="AS1434" t="s">
        <v>3001</v>
      </c>
    </row>
    <row r="1435" spans="1:45" x14ac:dyDescent="0.2">
      <c r="A1435" t="s">
        <v>1326</v>
      </c>
      <c r="B1435" s="4" t="s">
        <v>1146</v>
      </c>
      <c r="C1435" s="4" t="s">
        <v>1149</v>
      </c>
      <c r="D1435" t="s">
        <v>1346</v>
      </c>
      <c r="E1435" t="s">
        <v>1347</v>
      </c>
      <c r="G1435" s="4" t="s">
        <v>1165</v>
      </c>
      <c r="H1435" t="s">
        <v>1165</v>
      </c>
      <c r="I1435" t="s">
        <v>1328</v>
      </c>
      <c r="J1435" t="s">
        <v>1337</v>
      </c>
      <c r="K1435" t="s">
        <v>1338</v>
      </c>
      <c r="L1435">
        <v>2000</v>
      </c>
      <c r="M1435" t="s">
        <v>1327</v>
      </c>
      <c r="O1435">
        <v>2005</v>
      </c>
      <c r="P1435">
        <v>2005</v>
      </c>
      <c r="Q1435" t="s">
        <v>1329</v>
      </c>
      <c r="R1435">
        <v>10</v>
      </c>
      <c r="T1435" t="s">
        <v>1330</v>
      </c>
      <c r="U1435" t="s">
        <v>1340</v>
      </c>
      <c r="V1435" s="9" t="s">
        <v>1339</v>
      </c>
      <c r="W1435">
        <v>17.5</v>
      </c>
      <c r="X1435" s="9" t="s">
        <v>1264</v>
      </c>
      <c r="Z1435">
        <v>12</v>
      </c>
      <c r="AD1435" t="s">
        <v>1165</v>
      </c>
      <c r="AF1435" t="s">
        <v>1165</v>
      </c>
      <c r="AI1435" t="s">
        <v>1165</v>
      </c>
      <c r="AJ1435" s="4" t="s">
        <v>1148</v>
      </c>
      <c r="AK1435" s="4">
        <v>0</v>
      </c>
      <c r="AP1435" s="4">
        <v>28</v>
      </c>
      <c r="AQ1435" t="s">
        <v>1336</v>
      </c>
      <c r="AR1435" s="4" t="s">
        <v>1335</v>
      </c>
      <c r="AS1435" t="s">
        <v>3001</v>
      </c>
    </row>
    <row r="1436" spans="1:45" x14ac:dyDescent="0.2">
      <c r="A1436" t="s">
        <v>1326</v>
      </c>
      <c r="B1436" s="4" t="s">
        <v>1146</v>
      </c>
      <c r="C1436" s="4" t="s">
        <v>1149</v>
      </c>
      <c r="D1436" t="s">
        <v>1346</v>
      </c>
      <c r="E1436" t="s">
        <v>1347</v>
      </c>
      <c r="G1436" s="4" t="s">
        <v>1165</v>
      </c>
      <c r="H1436" t="s">
        <v>1165</v>
      </c>
      <c r="I1436" t="s">
        <v>1328</v>
      </c>
      <c r="J1436" t="s">
        <v>1337</v>
      </c>
      <c r="K1436" t="s">
        <v>1338</v>
      </c>
      <c r="L1436">
        <v>2000</v>
      </c>
      <c r="M1436" t="s">
        <v>1327</v>
      </c>
      <c r="O1436">
        <v>2005</v>
      </c>
      <c r="P1436">
        <v>2005</v>
      </c>
      <c r="Q1436" t="s">
        <v>1329</v>
      </c>
      <c r="R1436">
        <v>10</v>
      </c>
      <c r="T1436" t="s">
        <v>1330</v>
      </c>
      <c r="U1436" t="s">
        <v>1340</v>
      </c>
      <c r="V1436" s="9" t="s">
        <v>1339</v>
      </c>
      <c r="W1436">
        <v>17.5</v>
      </c>
      <c r="X1436" s="9" t="s">
        <v>1261</v>
      </c>
      <c r="Z1436">
        <v>12</v>
      </c>
      <c r="AD1436" t="s">
        <v>1165</v>
      </c>
      <c r="AF1436" t="s">
        <v>1165</v>
      </c>
      <c r="AI1436" t="s">
        <v>1165</v>
      </c>
      <c r="AJ1436" s="4" t="s">
        <v>1148</v>
      </c>
      <c r="AK1436" s="4">
        <v>7.7380000000000004</v>
      </c>
      <c r="AP1436" s="4">
        <v>28</v>
      </c>
      <c r="AQ1436" t="s">
        <v>1336</v>
      </c>
      <c r="AR1436" s="4" t="s">
        <v>1335</v>
      </c>
      <c r="AS1436" t="s">
        <v>3001</v>
      </c>
    </row>
    <row r="1437" spans="1:45" x14ac:dyDescent="0.2">
      <c r="A1437" t="s">
        <v>1326</v>
      </c>
      <c r="B1437" s="4" t="s">
        <v>1146</v>
      </c>
      <c r="C1437" s="4" t="s">
        <v>1149</v>
      </c>
      <c r="D1437" t="s">
        <v>1346</v>
      </c>
      <c r="E1437" t="s">
        <v>1347</v>
      </c>
      <c r="G1437" s="4" t="s">
        <v>1165</v>
      </c>
      <c r="H1437" t="s">
        <v>1165</v>
      </c>
      <c r="I1437" t="s">
        <v>1328</v>
      </c>
      <c r="J1437" t="s">
        <v>1337</v>
      </c>
      <c r="K1437" t="s">
        <v>1338</v>
      </c>
      <c r="L1437">
        <v>2000</v>
      </c>
      <c r="M1437" t="s">
        <v>1327</v>
      </c>
      <c r="O1437">
        <v>2005</v>
      </c>
      <c r="P1437">
        <v>2005</v>
      </c>
      <c r="Q1437" t="s">
        <v>1329</v>
      </c>
      <c r="R1437">
        <v>10</v>
      </c>
      <c r="T1437" t="s">
        <v>1330</v>
      </c>
      <c r="U1437" t="s">
        <v>1340</v>
      </c>
      <c r="V1437" s="9" t="s">
        <v>1339</v>
      </c>
      <c r="W1437">
        <v>17.5</v>
      </c>
      <c r="X1437" s="9" t="s">
        <v>1334</v>
      </c>
      <c r="Z1437">
        <v>12</v>
      </c>
      <c r="AD1437" t="s">
        <v>1165</v>
      </c>
      <c r="AF1437" t="s">
        <v>1165</v>
      </c>
      <c r="AI1437" t="s">
        <v>1165</v>
      </c>
      <c r="AJ1437" s="4" t="s">
        <v>1148</v>
      </c>
      <c r="AK1437" s="4">
        <v>0</v>
      </c>
      <c r="AP1437" s="4">
        <v>28</v>
      </c>
      <c r="AQ1437" t="s">
        <v>1336</v>
      </c>
      <c r="AR1437" s="4" t="s">
        <v>1335</v>
      </c>
      <c r="AS1437" t="s">
        <v>3001</v>
      </c>
    </row>
    <row r="1438" spans="1:45" x14ac:dyDescent="0.2">
      <c r="A1438" t="s">
        <v>1326</v>
      </c>
      <c r="B1438" s="4" t="s">
        <v>1146</v>
      </c>
      <c r="C1438" s="4" t="s">
        <v>1149</v>
      </c>
      <c r="D1438" t="s">
        <v>1346</v>
      </c>
      <c r="E1438" t="s">
        <v>1347</v>
      </c>
      <c r="G1438" s="4" t="s">
        <v>1165</v>
      </c>
      <c r="H1438" t="s">
        <v>1165</v>
      </c>
      <c r="I1438" t="s">
        <v>1328</v>
      </c>
      <c r="J1438" t="s">
        <v>1337</v>
      </c>
      <c r="K1438" t="s">
        <v>1338</v>
      </c>
      <c r="L1438">
        <v>2000</v>
      </c>
      <c r="M1438" t="s">
        <v>1327</v>
      </c>
      <c r="O1438">
        <v>2005</v>
      </c>
      <c r="P1438">
        <v>2005</v>
      </c>
      <c r="Q1438" t="s">
        <v>1329</v>
      </c>
      <c r="R1438">
        <v>10</v>
      </c>
      <c r="T1438" t="s">
        <v>1330</v>
      </c>
      <c r="U1438" t="s">
        <v>1340</v>
      </c>
      <c r="V1438" s="9" t="s">
        <v>1339</v>
      </c>
      <c r="W1438">
        <v>17.5</v>
      </c>
      <c r="X1438" s="9" t="s">
        <v>1333</v>
      </c>
      <c r="Z1438">
        <v>0</v>
      </c>
      <c r="AD1438" t="s">
        <v>1165</v>
      </c>
      <c r="AF1438" t="s">
        <v>1165</v>
      </c>
      <c r="AI1438" t="s">
        <v>1165</v>
      </c>
      <c r="AJ1438" s="4" t="s">
        <v>1148</v>
      </c>
      <c r="AK1438" s="4">
        <v>0</v>
      </c>
      <c r="AP1438" s="4">
        <v>28</v>
      </c>
      <c r="AQ1438" t="s">
        <v>1336</v>
      </c>
      <c r="AR1438" s="4" t="s">
        <v>1335</v>
      </c>
      <c r="AS1438" t="s">
        <v>3001</v>
      </c>
    </row>
    <row r="1439" spans="1:45" x14ac:dyDescent="0.2">
      <c r="A1439" t="s">
        <v>1326</v>
      </c>
      <c r="B1439" s="4" t="s">
        <v>1146</v>
      </c>
      <c r="C1439" s="4" t="s">
        <v>1149</v>
      </c>
      <c r="D1439" t="s">
        <v>1346</v>
      </c>
      <c r="E1439" t="s">
        <v>1347</v>
      </c>
      <c r="G1439" s="4" t="s">
        <v>1165</v>
      </c>
      <c r="H1439" t="s">
        <v>1165</v>
      </c>
      <c r="I1439" t="s">
        <v>1328</v>
      </c>
      <c r="J1439" t="s">
        <v>1337</v>
      </c>
      <c r="K1439" t="s">
        <v>1338</v>
      </c>
      <c r="L1439">
        <v>2000</v>
      </c>
      <c r="M1439" t="s">
        <v>1327</v>
      </c>
      <c r="O1439">
        <v>2005</v>
      </c>
      <c r="P1439">
        <v>2005</v>
      </c>
      <c r="Q1439" t="s">
        <v>1329</v>
      </c>
      <c r="R1439">
        <v>10</v>
      </c>
      <c r="T1439" t="s">
        <v>1330</v>
      </c>
      <c r="U1439" t="s">
        <v>1340</v>
      </c>
      <c r="V1439" s="9" t="s">
        <v>1339</v>
      </c>
      <c r="W1439">
        <v>17.5</v>
      </c>
      <c r="X1439" s="9" t="s">
        <v>1264</v>
      </c>
      <c r="Z1439">
        <v>0</v>
      </c>
      <c r="AD1439" t="s">
        <v>1165</v>
      </c>
      <c r="AF1439" t="s">
        <v>1165</v>
      </c>
      <c r="AI1439" t="s">
        <v>1165</v>
      </c>
      <c r="AJ1439" s="4" t="s">
        <v>1148</v>
      </c>
      <c r="AK1439" s="4">
        <v>0</v>
      </c>
      <c r="AP1439" s="4">
        <v>28</v>
      </c>
      <c r="AQ1439" t="s">
        <v>1336</v>
      </c>
      <c r="AR1439" s="4" t="s">
        <v>1335</v>
      </c>
      <c r="AS1439" t="s">
        <v>3001</v>
      </c>
    </row>
    <row r="1440" spans="1:45" x14ac:dyDescent="0.2">
      <c r="A1440" t="s">
        <v>1326</v>
      </c>
      <c r="B1440" s="4" t="s">
        <v>1146</v>
      </c>
      <c r="C1440" s="4" t="s">
        <v>1149</v>
      </c>
      <c r="D1440" t="s">
        <v>1346</v>
      </c>
      <c r="E1440" t="s">
        <v>1347</v>
      </c>
      <c r="G1440" s="4" t="s">
        <v>1165</v>
      </c>
      <c r="H1440" t="s">
        <v>1165</v>
      </c>
      <c r="I1440" t="s">
        <v>1328</v>
      </c>
      <c r="J1440" t="s">
        <v>1337</v>
      </c>
      <c r="K1440" t="s">
        <v>1338</v>
      </c>
      <c r="L1440">
        <v>2000</v>
      </c>
      <c r="M1440" t="s">
        <v>1327</v>
      </c>
      <c r="O1440">
        <v>2005</v>
      </c>
      <c r="P1440">
        <v>2005</v>
      </c>
      <c r="Q1440" t="s">
        <v>1329</v>
      </c>
      <c r="R1440">
        <v>10</v>
      </c>
      <c r="T1440" t="s">
        <v>1330</v>
      </c>
      <c r="U1440" t="s">
        <v>1340</v>
      </c>
      <c r="V1440" s="9" t="s">
        <v>1339</v>
      </c>
      <c r="W1440">
        <v>17.5</v>
      </c>
      <c r="X1440" s="9" t="s">
        <v>1261</v>
      </c>
      <c r="Z1440">
        <v>0</v>
      </c>
      <c r="AD1440" t="s">
        <v>1165</v>
      </c>
      <c r="AF1440" t="s">
        <v>1165</v>
      </c>
      <c r="AI1440" t="s">
        <v>1165</v>
      </c>
      <c r="AJ1440" s="4" t="s">
        <v>1148</v>
      </c>
      <c r="AK1440" s="4">
        <v>0</v>
      </c>
      <c r="AP1440" s="4">
        <v>28</v>
      </c>
      <c r="AQ1440" t="s">
        <v>1336</v>
      </c>
      <c r="AR1440" s="4" t="s">
        <v>1335</v>
      </c>
      <c r="AS1440" t="s">
        <v>3001</v>
      </c>
    </row>
    <row r="1441" spans="1:45" x14ac:dyDescent="0.2">
      <c r="A1441" t="s">
        <v>1326</v>
      </c>
      <c r="B1441" s="4" t="s">
        <v>1146</v>
      </c>
      <c r="C1441" s="4" t="s">
        <v>1149</v>
      </c>
      <c r="D1441" t="s">
        <v>1346</v>
      </c>
      <c r="E1441" t="s">
        <v>1347</v>
      </c>
      <c r="G1441" s="4" t="s">
        <v>1165</v>
      </c>
      <c r="H1441" t="s">
        <v>1165</v>
      </c>
      <c r="I1441" t="s">
        <v>1328</v>
      </c>
      <c r="J1441" t="s">
        <v>1337</v>
      </c>
      <c r="K1441" t="s">
        <v>1338</v>
      </c>
      <c r="L1441">
        <v>2000</v>
      </c>
      <c r="M1441" t="s">
        <v>1327</v>
      </c>
      <c r="O1441">
        <v>2005</v>
      </c>
      <c r="P1441">
        <v>2005</v>
      </c>
      <c r="Q1441" t="s">
        <v>1329</v>
      </c>
      <c r="R1441">
        <v>10</v>
      </c>
      <c r="T1441" t="s">
        <v>1330</v>
      </c>
      <c r="U1441" t="s">
        <v>1340</v>
      </c>
      <c r="V1441" s="9" t="s">
        <v>1339</v>
      </c>
      <c r="W1441">
        <v>17.5</v>
      </c>
      <c r="X1441" s="9" t="s">
        <v>1334</v>
      </c>
      <c r="Z1441">
        <v>0</v>
      </c>
      <c r="AD1441" t="s">
        <v>1165</v>
      </c>
      <c r="AF1441" t="s">
        <v>1165</v>
      </c>
      <c r="AI1441" t="s">
        <v>1165</v>
      </c>
      <c r="AJ1441" s="4" t="s">
        <v>1148</v>
      </c>
      <c r="AK1441" s="4">
        <v>0</v>
      </c>
      <c r="AP1441" s="4">
        <v>28</v>
      </c>
      <c r="AQ1441" t="s">
        <v>1336</v>
      </c>
      <c r="AR1441" s="4" t="s">
        <v>1335</v>
      </c>
      <c r="AS1441" t="s">
        <v>3001</v>
      </c>
    </row>
    <row r="1442" spans="1:45" x14ac:dyDescent="0.2">
      <c r="A1442" t="s">
        <v>1326</v>
      </c>
      <c r="B1442" s="4" t="s">
        <v>1146</v>
      </c>
      <c r="C1442" s="4" t="s">
        <v>1149</v>
      </c>
      <c r="D1442" t="s">
        <v>1346</v>
      </c>
      <c r="E1442" t="s">
        <v>1347</v>
      </c>
      <c r="G1442" s="4" t="s">
        <v>1165</v>
      </c>
      <c r="H1442" t="s">
        <v>1165</v>
      </c>
      <c r="I1442" t="s">
        <v>1328</v>
      </c>
      <c r="J1442" t="s">
        <v>1337</v>
      </c>
      <c r="K1442" t="s">
        <v>1338</v>
      </c>
      <c r="L1442">
        <v>2000</v>
      </c>
      <c r="M1442" t="s">
        <v>1327</v>
      </c>
      <c r="O1442">
        <v>2005</v>
      </c>
      <c r="P1442">
        <v>2005</v>
      </c>
      <c r="Q1442" t="s">
        <v>1329</v>
      </c>
      <c r="R1442">
        <v>10</v>
      </c>
      <c r="T1442" t="s">
        <v>1330</v>
      </c>
      <c r="U1442" t="s">
        <v>1340</v>
      </c>
      <c r="V1442" s="9" t="s">
        <v>1339</v>
      </c>
      <c r="W1442">
        <v>35</v>
      </c>
      <c r="X1442" s="9" t="s">
        <v>1333</v>
      </c>
      <c r="Z1442">
        <v>12</v>
      </c>
      <c r="AD1442" t="s">
        <v>1165</v>
      </c>
      <c r="AF1442" t="s">
        <v>1165</v>
      </c>
      <c r="AI1442" t="s">
        <v>1165</v>
      </c>
      <c r="AJ1442" s="4" t="s">
        <v>1148</v>
      </c>
      <c r="AK1442" s="4">
        <v>0</v>
      </c>
      <c r="AP1442" s="4">
        <v>28</v>
      </c>
      <c r="AQ1442" t="s">
        <v>1336</v>
      </c>
      <c r="AR1442" s="4" t="s">
        <v>1335</v>
      </c>
      <c r="AS1442" t="s">
        <v>3001</v>
      </c>
    </row>
    <row r="1443" spans="1:45" x14ac:dyDescent="0.2">
      <c r="A1443" t="s">
        <v>1326</v>
      </c>
      <c r="B1443" s="4" t="s">
        <v>1146</v>
      </c>
      <c r="C1443" s="4" t="s">
        <v>1149</v>
      </c>
      <c r="D1443" t="s">
        <v>1346</v>
      </c>
      <c r="E1443" t="s">
        <v>1347</v>
      </c>
      <c r="G1443" s="4" t="s">
        <v>1165</v>
      </c>
      <c r="H1443" t="s">
        <v>1165</v>
      </c>
      <c r="I1443" t="s">
        <v>1328</v>
      </c>
      <c r="J1443" t="s">
        <v>1337</v>
      </c>
      <c r="K1443" t="s">
        <v>1338</v>
      </c>
      <c r="L1443">
        <v>2000</v>
      </c>
      <c r="M1443" t="s">
        <v>1327</v>
      </c>
      <c r="O1443">
        <v>2005</v>
      </c>
      <c r="P1443">
        <v>2005</v>
      </c>
      <c r="Q1443" t="s">
        <v>1329</v>
      </c>
      <c r="R1443">
        <v>10</v>
      </c>
      <c r="T1443" t="s">
        <v>1330</v>
      </c>
      <c r="U1443" t="s">
        <v>1340</v>
      </c>
      <c r="V1443" s="9" t="s">
        <v>1339</v>
      </c>
      <c r="W1443">
        <v>35</v>
      </c>
      <c r="X1443" s="9" t="s">
        <v>1264</v>
      </c>
      <c r="Z1443">
        <v>12</v>
      </c>
      <c r="AD1443" t="s">
        <v>1165</v>
      </c>
      <c r="AF1443" t="s">
        <v>1165</v>
      </c>
      <c r="AI1443" t="s">
        <v>1165</v>
      </c>
      <c r="AJ1443" s="4" t="s">
        <v>1148</v>
      </c>
      <c r="AK1443" s="4">
        <v>5.6550000000000002</v>
      </c>
      <c r="AP1443" s="4">
        <v>28</v>
      </c>
      <c r="AQ1443" t="s">
        <v>1336</v>
      </c>
      <c r="AR1443" s="4" t="s">
        <v>1335</v>
      </c>
      <c r="AS1443" t="s">
        <v>3001</v>
      </c>
    </row>
    <row r="1444" spans="1:45" x14ac:dyDescent="0.2">
      <c r="A1444" t="s">
        <v>1326</v>
      </c>
      <c r="B1444" s="4" t="s">
        <v>1146</v>
      </c>
      <c r="C1444" s="4" t="s">
        <v>1149</v>
      </c>
      <c r="D1444" t="s">
        <v>1346</v>
      </c>
      <c r="E1444" t="s">
        <v>1347</v>
      </c>
      <c r="G1444" s="4" t="s">
        <v>1165</v>
      </c>
      <c r="H1444" t="s">
        <v>1165</v>
      </c>
      <c r="I1444" t="s">
        <v>1328</v>
      </c>
      <c r="J1444" t="s">
        <v>1337</v>
      </c>
      <c r="K1444" t="s">
        <v>1338</v>
      </c>
      <c r="L1444">
        <v>2000</v>
      </c>
      <c r="M1444" t="s">
        <v>1327</v>
      </c>
      <c r="O1444">
        <v>2005</v>
      </c>
      <c r="P1444">
        <v>2005</v>
      </c>
      <c r="Q1444" t="s">
        <v>1329</v>
      </c>
      <c r="R1444">
        <v>10</v>
      </c>
      <c r="T1444" t="s">
        <v>1330</v>
      </c>
      <c r="U1444" t="s">
        <v>1340</v>
      </c>
      <c r="V1444" s="9" t="s">
        <v>1339</v>
      </c>
      <c r="W1444">
        <v>35</v>
      </c>
      <c r="X1444" s="9" t="s">
        <v>1261</v>
      </c>
      <c r="Z1444">
        <v>12</v>
      </c>
      <c r="AD1444" t="s">
        <v>1165</v>
      </c>
      <c r="AF1444" t="s">
        <v>1165</v>
      </c>
      <c r="AI1444" t="s">
        <v>1165</v>
      </c>
      <c r="AJ1444" s="4" t="s">
        <v>1148</v>
      </c>
      <c r="AK1444" s="4">
        <v>5.6550000000000002</v>
      </c>
      <c r="AP1444" s="4">
        <v>28</v>
      </c>
      <c r="AQ1444" t="s">
        <v>1336</v>
      </c>
      <c r="AR1444" s="4" t="s">
        <v>1335</v>
      </c>
      <c r="AS1444" t="s">
        <v>3001</v>
      </c>
    </row>
    <row r="1445" spans="1:45" x14ac:dyDescent="0.2">
      <c r="A1445" t="s">
        <v>1326</v>
      </c>
      <c r="B1445" s="4" t="s">
        <v>1146</v>
      </c>
      <c r="C1445" s="4" t="s">
        <v>1149</v>
      </c>
      <c r="D1445" t="s">
        <v>1346</v>
      </c>
      <c r="E1445" t="s">
        <v>1347</v>
      </c>
      <c r="G1445" s="4" t="s">
        <v>1165</v>
      </c>
      <c r="H1445" t="s">
        <v>1165</v>
      </c>
      <c r="I1445" t="s">
        <v>1328</v>
      </c>
      <c r="J1445" t="s">
        <v>1337</v>
      </c>
      <c r="K1445" t="s">
        <v>1338</v>
      </c>
      <c r="L1445">
        <v>2000</v>
      </c>
      <c r="M1445" t="s">
        <v>1327</v>
      </c>
      <c r="O1445">
        <v>2005</v>
      </c>
      <c r="P1445">
        <v>2005</v>
      </c>
      <c r="Q1445" t="s">
        <v>1329</v>
      </c>
      <c r="R1445">
        <v>10</v>
      </c>
      <c r="T1445" t="s">
        <v>1330</v>
      </c>
      <c r="U1445" t="s">
        <v>1340</v>
      </c>
      <c r="V1445" s="9" t="s">
        <v>1339</v>
      </c>
      <c r="W1445">
        <v>35</v>
      </c>
      <c r="X1445" s="9" t="s">
        <v>1334</v>
      </c>
      <c r="Z1445">
        <v>12</v>
      </c>
      <c r="AD1445" t="s">
        <v>1165</v>
      </c>
      <c r="AF1445" t="s">
        <v>1165</v>
      </c>
      <c r="AI1445" t="s">
        <v>1165</v>
      </c>
      <c r="AJ1445" s="4" t="s">
        <v>1148</v>
      </c>
      <c r="AK1445" s="4">
        <v>0</v>
      </c>
      <c r="AP1445" s="4">
        <v>28</v>
      </c>
      <c r="AQ1445" t="s">
        <v>1336</v>
      </c>
      <c r="AR1445" s="4" t="s">
        <v>1335</v>
      </c>
      <c r="AS1445" t="s">
        <v>3001</v>
      </c>
    </row>
    <row r="1446" spans="1:45" x14ac:dyDescent="0.2">
      <c r="A1446" t="s">
        <v>1326</v>
      </c>
      <c r="B1446" s="4" t="s">
        <v>1146</v>
      </c>
      <c r="C1446" s="4" t="s">
        <v>1149</v>
      </c>
      <c r="D1446" t="s">
        <v>1346</v>
      </c>
      <c r="E1446" t="s">
        <v>1347</v>
      </c>
      <c r="G1446" s="4" t="s">
        <v>1165</v>
      </c>
      <c r="H1446" t="s">
        <v>1165</v>
      </c>
      <c r="I1446" t="s">
        <v>1328</v>
      </c>
      <c r="J1446" t="s">
        <v>1337</v>
      </c>
      <c r="K1446" t="s">
        <v>1338</v>
      </c>
      <c r="L1446">
        <v>2000</v>
      </c>
      <c r="M1446" t="s">
        <v>1327</v>
      </c>
      <c r="O1446">
        <v>2005</v>
      </c>
      <c r="P1446">
        <v>2005</v>
      </c>
      <c r="Q1446" t="s">
        <v>1329</v>
      </c>
      <c r="R1446">
        <v>10</v>
      </c>
      <c r="T1446" t="s">
        <v>1330</v>
      </c>
      <c r="U1446" t="s">
        <v>1340</v>
      </c>
      <c r="V1446" s="9" t="s">
        <v>1339</v>
      </c>
      <c r="W1446">
        <v>35</v>
      </c>
      <c r="X1446" s="9" t="s">
        <v>1333</v>
      </c>
      <c r="Z1446">
        <v>0</v>
      </c>
      <c r="AD1446" t="s">
        <v>1165</v>
      </c>
      <c r="AF1446" t="s">
        <v>1165</v>
      </c>
      <c r="AI1446" t="s">
        <v>1165</v>
      </c>
      <c r="AJ1446" s="4" t="s">
        <v>1148</v>
      </c>
      <c r="AP1446" s="4">
        <v>28</v>
      </c>
      <c r="AQ1446" t="s">
        <v>1336</v>
      </c>
      <c r="AR1446" s="4" t="s">
        <v>1335</v>
      </c>
      <c r="AS1446" t="s">
        <v>3001</v>
      </c>
    </row>
    <row r="1447" spans="1:45" x14ac:dyDescent="0.2">
      <c r="A1447" t="s">
        <v>1326</v>
      </c>
      <c r="B1447" s="4" t="s">
        <v>1146</v>
      </c>
      <c r="C1447" s="4" t="s">
        <v>1149</v>
      </c>
      <c r="D1447" t="s">
        <v>1346</v>
      </c>
      <c r="E1447" t="s">
        <v>1347</v>
      </c>
      <c r="G1447" s="4" t="s">
        <v>1165</v>
      </c>
      <c r="H1447" t="s">
        <v>1165</v>
      </c>
      <c r="I1447" t="s">
        <v>1328</v>
      </c>
      <c r="J1447" t="s">
        <v>1337</v>
      </c>
      <c r="K1447" t="s">
        <v>1338</v>
      </c>
      <c r="L1447">
        <v>2000</v>
      </c>
      <c r="M1447" t="s">
        <v>1327</v>
      </c>
      <c r="O1447">
        <v>2005</v>
      </c>
      <c r="P1447">
        <v>2005</v>
      </c>
      <c r="Q1447" t="s">
        <v>1329</v>
      </c>
      <c r="R1447">
        <v>10</v>
      </c>
      <c r="T1447" t="s">
        <v>1330</v>
      </c>
      <c r="U1447" t="s">
        <v>1340</v>
      </c>
      <c r="V1447" s="9" t="s">
        <v>1339</v>
      </c>
      <c r="W1447">
        <v>35</v>
      </c>
      <c r="X1447" s="9" t="s">
        <v>1264</v>
      </c>
      <c r="Z1447">
        <v>0</v>
      </c>
      <c r="AD1447" t="s">
        <v>1165</v>
      </c>
      <c r="AF1447" t="s">
        <v>1165</v>
      </c>
      <c r="AI1447" t="s">
        <v>1165</v>
      </c>
      <c r="AJ1447" s="4" t="s">
        <v>1148</v>
      </c>
      <c r="AP1447" s="4">
        <v>28</v>
      </c>
      <c r="AQ1447" t="s">
        <v>1336</v>
      </c>
      <c r="AR1447" s="4" t="s">
        <v>1335</v>
      </c>
      <c r="AS1447" t="s">
        <v>3001</v>
      </c>
    </row>
    <row r="1448" spans="1:45" x14ac:dyDescent="0.2">
      <c r="A1448" t="s">
        <v>1326</v>
      </c>
      <c r="B1448" s="4" t="s">
        <v>1146</v>
      </c>
      <c r="C1448" s="4" t="s">
        <v>1149</v>
      </c>
      <c r="D1448" t="s">
        <v>1346</v>
      </c>
      <c r="E1448" t="s">
        <v>1347</v>
      </c>
      <c r="G1448" s="4" t="s">
        <v>1165</v>
      </c>
      <c r="H1448" t="s">
        <v>1165</v>
      </c>
      <c r="I1448" t="s">
        <v>1328</v>
      </c>
      <c r="J1448" t="s">
        <v>1337</v>
      </c>
      <c r="K1448" t="s">
        <v>1338</v>
      </c>
      <c r="L1448">
        <v>2000</v>
      </c>
      <c r="M1448" t="s">
        <v>1327</v>
      </c>
      <c r="O1448">
        <v>2005</v>
      </c>
      <c r="P1448">
        <v>2005</v>
      </c>
      <c r="Q1448" t="s">
        <v>1329</v>
      </c>
      <c r="R1448">
        <v>10</v>
      </c>
      <c r="T1448" t="s">
        <v>1330</v>
      </c>
      <c r="U1448" t="s">
        <v>1340</v>
      </c>
      <c r="V1448" s="9" t="s">
        <v>1339</v>
      </c>
      <c r="W1448">
        <v>35</v>
      </c>
      <c r="X1448" s="9" t="s">
        <v>1261</v>
      </c>
      <c r="Z1448">
        <v>0</v>
      </c>
      <c r="AD1448" t="s">
        <v>1165</v>
      </c>
      <c r="AF1448" t="s">
        <v>1165</v>
      </c>
      <c r="AI1448" t="s">
        <v>1165</v>
      </c>
      <c r="AJ1448" s="4" t="s">
        <v>1148</v>
      </c>
      <c r="AP1448" s="4">
        <v>28</v>
      </c>
      <c r="AQ1448" t="s">
        <v>1336</v>
      </c>
      <c r="AR1448" s="4" t="s">
        <v>1335</v>
      </c>
      <c r="AS1448" t="s">
        <v>3001</v>
      </c>
    </row>
    <row r="1449" spans="1:45" x14ac:dyDescent="0.2">
      <c r="A1449" t="s">
        <v>1326</v>
      </c>
      <c r="B1449" s="4" t="s">
        <v>1146</v>
      </c>
      <c r="C1449" s="4" t="s">
        <v>1149</v>
      </c>
      <c r="D1449" t="s">
        <v>1346</v>
      </c>
      <c r="E1449" t="s">
        <v>1347</v>
      </c>
      <c r="G1449" s="4" t="s">
        <v>1165</v>
      </c>
      <c r="H1449" t="s">
        <v>1165</v>
      </c>
      <c r="I1449" t="s">
        <v>1328</v>
      </c>
      <c r="J1449" t="s">
        <v>1337</v>
      </c>
      <c r="K1449" t="s">
        <v>1338</v>
      </c>
      <c r="L1449">
        <v>2000</v>
      </c>
      <c r="M1449" t="s">
        <v>1327</v>
      </c>
      <c r="O1449">
        <v>2005</v>
      </c>
      <c r="P1449">
        <v>2005</v>
      </c>
      <c r="Q1449" t="s">
        <v>1329</v>
      </c>
      <c r="R1449">
        <v>10</v>
      </c>
      <c r="T1449" t="s">
        <v>1330</v>
      </c>
      <c r="U1449" t="s">
        <v>1340</v>
      </c>
      <c r="V1449" s="9" t="s">
        <v>1339</v>
      </c>
      <c r="W1449">
        <v>35</v>
      </c>
      <c r="X1449" s="9" t="s">
        <v>1334</v>
      </c>
      <c r="Z1449">
        <v>0</v>
      </c>
      <c r="AD1449" t="s">
        <v>1165</v>
      </c>
      <c r="AF1449" t="s">
        <v>1165</v>
      </c>
      <c r="AI1449" t="s">
        <v>1165</v>
      </c>
      <c r="AJ1449" s="4" t="s">
        <v>1148</v>
      </c>
      <c r="AP1449" s="4">
        <v>28</v>
      </c>
      <c r="AQ1449" t="s">
        <v>1336</v>
      </c>
      <c r="AR1449" s="4" t="s">
        <v>1335</v>
      </c>
      <c r="AS1449" t="s">
        <v>3001</v>
      </c>
    </row>
    <row r="1450" spans="1:45" x14ac:dyDescent="0.2">
      <c r="A1450" t="s">
        <v>1326</v>
      </c>
      <c r="B1450" s="4" t="s">
        <v>1146</v>
      </c>
      <c r="C1450" s="4" t="s">
        <v>1149</v>
      </c>
      <c r="D1450" t="s">
        <v>1346</v>
      </c>
      <c r="E1450" t="s">
        <v>1347</v>
      </c>
      <c r="G1450" s="4" t="s">
        <v>1165</v>
      </c>
      <c r="H1450" t="s">
        <v>1165</v>
      </c>
      <c r="I1450" t="s">
        <v>1328</v>
      </c>
      <c r="J1450" t="s">
        <v>1337</v>
      </c>
      <c r="K1450" t="s">
        <v>1338</v>
      </c>
      <c r="L1450">
        <v>2000</v>
      </c>
      <c r="M1450" t="s">
        <v>1327</v>
      </c>
      <c r="O1450">
        <v>2005</v>
      </c>
      <c r="P1450">
        <v>2005</v>
      </c>
      <c r="Q1450" t="s">
        <v>1329</v>
      </c>
      <c r="R1450">
        <v>10</v>
      </c>
      <c r="T1450" t="s">
        <v>1330</v>
      </c>
      <c r="U1450" t="s">
        <v>1340</v>
      </c>
      <c r="V1450" s="9" t="s">
        <v>1339</v>
      </c>
      <c r="W1450">
        <v>70</v>
      </c>
      <c r="X1450" s="9" t="s">
        <v>1333</v>
      </c>
      <c r="Z1450">
        <v>12</v>
      </c>
      <c r="AD1450" t="s">
        <v>1165</v>
      </c>
      <c r="AF1450" t="s">
        <v>1165</v>
      </c>
      <c r="AI1450" t="s">
        <v>1165</v>
      </c>
      <c r="AJ1450" s="4" t="s">
        <v>1148</v>
      </c>
      <c r="AK1450" s="4">
        <v>0</v>
      </c>
      <c r="AP1450" s="4">
        <v>28</v>
      </c>
      <c r="AQ1450" t="s">
        <v>1336</v>
      </c>
      <c r="AR1450" s="4" t="s">
        <v>1335</v>
      </c>
      <c r="AS1450" t="s">
        <v>3001</v>
      </c>
    </row>
    <row r="1451" spans="1:45" x14ac:dyDescent="0.2">
      <c r="A1451" t="s">
        <v>1326</v>
      </c>
      <c r="B1451" s="4" t="s">
        <v>1146</v>
      </c>
      <c r="C1451" s="4" t="s">
        <v>1149</v>
      </c>
      <c r="D1451" t="s">
        <v>1346</v>
      </c>
      <c r="E1451" t="s">
        <v>1347</v>
      </c>
      <c r="G1451" s="4" t="s">
        <v>1165</v>
      </c>
      <c r="H1451" t="s">
        <v>1165</v>
      </c>
      <c r="I1451" t="s">
        <v>1328</v>
      </c>
      <c r="J1451" t="s">
        <v>1337</v>
      </c>
      <c r="K1451" t="s">
        <v>1338</v>
      </c>
      <c r="L1451">
        <v>2000</v>
      </c>
      <c r="M1451" t="s">
        <v>1327</v>
      </c>
      <c r="O1451">
        <v>2005</v>
      </c>
      <c r="P1451">
        <v>2005</v>
      </c>
      <c r="Q1451" t="s">
        <v>1329</v>
      </c>
      <c r="R1451">
        <v>10</v>
      </c>
      <c r="T1451" t="s">
        <v>1330</v>
      </c>
      <c r="U1451" t="s">
        <v>1340</v>
      </c>
      <c r="V1451" s="9" t="s">
        <v>1339</v>
      </c>
      <c r="W1451">
        <v>70</v>
      </c>
      <c r="X1451" s="9" t="s">
        <v>1264</v>
      </c>
      <c r="Z1451">
        <v>12</v>
      </c>
      <c r="AD1451" t="s">
        <v>1165</v>
      </c>
      <c r="AF1451" t="s">
        <v>1165</v>
      </c>
      <c r="AI1451" t="s">
        <v>1165</v>
      </c>
      <c r="AJ1451" s="4" t="s">
        <v>1148</v>
      </c>
      <c r="AK1451" s="4">
        <v>4.0670000000000002</v>
      </c>
      <c r="AP1451" s="4">
        <v>28</v>
      </c>
      <c r="AQ1451" t="s">
        <v>1336</v>
      </c>
      <c r="AR1451" s="4" t="s">
        <v>1335</v>
      </c>
      <c r="AS1451" t="s">
        <v>3001</v>
      </c>
    </row>
    <row r="1452" spans="1:45" x14ac:dyDescent="0.2">
      <c r="A1452" t="s">
        <v>1326</v>
      </c>
      <c r="B1452" s="4" t="s">
        <v>1146</v>
      </c>
      <c r="C1452" s="4" t="s">
        <v>1149</v>
      </c>
      <c r="D1452" t="s">
        <v>1346</v>
      </c>
      <c r="E1452" t="s">
        <v>1347</v>
      </c>
      <c r="G1452" s="4" t="s">
        <v>1165</v>
      </c>
      <c r="H1452" t="s">
        <v>1165</v>
      </c>
      <c r="I1452" t="s">
        <v>1328</v>
      </c>
      <c r="J1452" t="s">
        <v>1337</v>
      </c>
      <c r="K1452" t="s">
        <v>1338</v>
      </c>
      <c r="L1452">
        <v>2000</v>
      </c>
      <c r="M1452" t="s">
        <v>1327</v>
      </c>
      <c r="O1452">
        <v>2005</v>
      </c>
      <c r="P1452">
        <v>2005</v>
      </c>
      <c r="Q1452" t="s">
        <v>1329</v>
      </c>
      <c r="R1452">
        <v>10</v>
      </c>
      <c r="T1452" t="s">
        <v>1330</v>
      </c>
      <c r="U1452" t="s">
        <v>1340</v>
      </c>
      <c r="V1452" s="9" t="s">
        <v>1339</v>
      </c>
      <c r="W1452">
        <v>70</v>
      </c>
      <c r="X1452" s="9" t="s">
        <v>1261</v>
      </c>
      <c r="Z1452">
        <v>12</v>
      </c>
      <c r="AD1452" t="s">
        <v>1165</v>
      </c>
      <c r="AF1452" t="s">
        <v>1165</v>
      </c>
      <c r="AI1452" t="s">
        <v>1165</v>
      </c>
      <c r="AJ1452" s="4" t="s">
        <v>1148</v>
      </c>
      <c r="AK1452" s="4">
        <v>9.6229999999999993</v>
      </c>
      <c r="AP1452" s="4">
        <v>28</v>
      </c>
      <c r="AQ1452" t="s">
        <v>1336</v>
      </c>
      <c r="AR1452" s="4" t="s">
        <v>1335</v>
      </c>
      <c r="AS1452" t="s">
        <v>3001</v>
      </c>
    </row>
    <row r="1453" spans="1:45" x14ac:dyDescent="0.2">
      <c r="A1453" t="s">
        <v>1326</v>
      </c>
      <c r="B1453" s="4" t="s">
        <v>1146</v>
      </c>
      <c r="C1453" s="4" t="s">
        <v>1149</v>
      </c>
      <c r="D1453" t="s">
        <v>1346</v>
      </c>
      <c r="E1453" t="s">
        <v>1347</v>
      </c>
      <c r="G1453" s="4" t="s">
        <v>1165</v>
      </c>
      <c r="H1453" t="s">
        <v>1165</v>
      </c>
      <c r="I1453" t="s">
        <v>1328</v>
      </c>
      <c r="J1453" t="s">
        <v>1337</v>
      </c>
      <c r="K1453" t="s">
        <v>1338</v>
      </c>
      <c r="L1453">
        <v>2000</v>
      </c>
      <c r="M1453" t="s">
        <v>1327</v>
      </c>
      <c r="O1453">
        <v>2005</v>
      </c>
      <c r="P1453">
        <v>2005</v>
      </c>
      <c r="Q1453" t="s">
        <v>1329</v>
      </c>
      <c r="R1453">
        <v>10</v>
      </c>
      <c r="T1453" t="s">
        <v>1330</v>
      </c>
      <c r="U1453" t="s">
        <v>1340</v>
      </c>
      <c r="V1453" s="9" t="s">
        <v>1339</v>
      </c>
      <c r="W1453">
        <v>70</v>
      </c>
      <c r="X1453" s="9" t="s">
        <v>1334</v>
      </c>
      <c r="Z1453">
        <v>12</v>
      </c>
      <c r="AD1453" t="s">
        <v>1165</v>
      </c>
      <c r="AF1453" t="s">
        <v>1165</v>
      </c>
      <c r="AI1453" t="s">
        <v>1165</v>
      </c>
      <c r="AJ1453" s="4" t="s">
        <v>1148</v>
      </c>
      <c r="AK1453" s="4">
        <v>15.972</v>
      </c>
      <c r="AP1453" s="4">
        <v>28</v>
      </c>
      <c r="AQ1453" t="s">
        <v>1336</v>
      </c>
      <c r="AR1453" s="4" t="s">
        <v>1335</v>
      </c>
      <c r="AS1453" t="s">
        <v>3001</v>
      </c>
    </row>
    <row r="1454" spans="1:45" x14ac:dyDescent="0.2">
      <c r="A1454" t="s">
        <v>1326</v>
      </c>
      <c r="B1454" s="4" t="s">
        <v>1146</v>
      </c>
      <c r="C1454" s="4" t="s">
        <v>1149</v>
      </c>
      <c r="D1454" t="s">
        <v>1346</v>
      </c>
      <c r="E1454" t="s">
        <v>1347</v>
      </c>
      <c r="G1454" s="4" t="s">
        <v>1165</v>
      </c>
      <c r="H1454" t="s">
        <v>1165</v>
      </c>
      <c r="I1454" t="s">
        <v>1328</v>
      </c>
      <c r="J1454" t="s">
        <v>1337</v>
      </c>
      <c r="K1454" t="s">
        <v>1338</v>
      </c>
      <c r="L1454">
        <v>2000</v>
      </c>
      <c r="M1454" t="s">
        <v>1327</v>
      </c>
      <c r="O1454">
        <v>2005</v>
      </c>
      <c r="P1454">
        <v>2005</v>
      </c>
      <c r="Q1454" t="s">
        <v>1329</v>
      </c>
      <c r="R1454">
        <v>10</v>
      </c>
      <c r="T1454" t="s">
        <v>1330</v>
      </c>
      <c r="U1454" t="s">
        <v>1340</v>
      </c>
      <c r="V1454" s="9" t="s">
        <v>1339</v>
      </c>
      <c r="W1454">
        <v>70</v>
      </c>
      <c r="X1454" s="9" t="s">
        <v>1333</v>
      </c>
      <c r="Z1454">
        <v>0</v>
      </c>
      <c r="AD1454" t="s">
        <v>1165</v>
      </c>
      <c r="AF1454" t="s">
        <v>1165</v>
      </c>
      <c r="AI1454" t="s">
        <v>1165</v>
      </c>
      <c r="AJ1454" s="4" t="s">
        <v>1148</v>
      </c>
      <c r="AK1454" s="4">
        <v>0</v>
      </c>
      <c r="AP1454" s="4">
        <v>28</v>
      </c>
      <c r="AQ1454" t="s">
        <v>1336</v>
      </c>
      <c r="AR1454" s="4" t="s">
        <v>1335</v>
      </c>
      <c r="AS1454" t="s">
        <v>3001</v>
      </c>
    </row>
    <row r="1455" spans="1:45" x14ac:dyDescent="0.2">
      <c r="A1455" t="s">
        <v>1326</v>
      </c>
      <c r="B1455" s="4" t="s">
        <v>1146</v>
      </c>
      <c r="C1455" s="4" t="s">
        <v>1149</v>
      </c>
      <c r="D1455" t="s">
        <v>1346</v>
      </c>
      <c r="E1455" t="s">
        <v>1347</v>
      </c>
      <c r="G1455" s="4" t="s">
        <v>1165</v>
      </c>
      <c r="H1455" t="s">
        <v>1165</v>
      </c>
      <c r="I1455" t="s">
        <v>1328</v>
      </c>
      <c r="J1455" t="s">
        <v>1337</v>
      </c>
      <c r="K1455" t="s">
        <v>1338</v>
      </c>
      <c r="L1455">
        <v>2000</v>
      </c>
      <c r="M1455" t="s">
        <v>1327</v>
      </c>
      <c r="O1455">
        <v>2005</v>
      </c>
      <c r="P1455">
        <v>2005</v>
      </c>
      <c r="Q1455" t="s">
        <v>1329</v>
      </c>
      <c r="R1455">
        <v>10</v>
      </c>
      <c r="T1455" t="s">
        <v>1330</v>
      </c>
      <c r="U1455" t="s">
        <v>1340</v>
      </c>
      <c r="V1455" s="9" t="s">
        <v>1339</v>
      </c>
      <c r="W1455">
        <v>70</v>
      </c>
      <c r="X1455" s="9" t="s">
        <v>1264</v>
      </c>
      <c r="Z1455">
        <v>0</v>
      </c>
      <c r="AD1455" t="s">
        <v>1165</v>
      </c>
      <c r="AF1455" t="s">
        <v>1165</v>
      </c>
      <c r="AI1455" t="s">
        <v>1165</v>
      </c>
      <c r="AJ1455" s="4" t="s">
        <v>1148</v>
      </c>
      <c r="AK1455" s="4">
        <v>0</v>
      </c>
      <c r="AP1455" s="4">
        <v>28</v>
      </c>
      <c r="AQ1455" t="s">
        <v>1336</v>
      </c>
      <c r="AR1455" s="4" t="s">
        <v>1335</v>
      </c>
      <c r="AS1455" t="s">
        <v>3001</v>
      </c>
    </row>
    <row r="1456" spans="1:45" x14ac:dyDescent="0.2">
      <c r="A1456" t="s">
        <v>1326</v>
      </c>
      <c r="B1456" s="4" t="s">
        <v>1146</v>
      </c>
      <c r="C1456" s="4" t="s">
        <v>1149</v>
      </c>
      <c r="D1456" t="s">
        <v>1346</v>
      </c>
      <c r="E1456" t="s">
        <v>1347</v>
      </c>
      <c r="G1456" s="4" t="s">
        <v>1165</v>
      </c>
      <c r="H1456" t="s">
        <v>1165</v>
      </c>
      <c r="I1456" t="s">
        <v>1328</v>
      </c>
      <c r="J1456" t="s">
        <v>1337</v>
      </c>
      <c r="K1456" t="s">
        <v>1338</v>
      </c>
      <c r="L1456">
        <v>2000</v>
      </c>
      <c r="M1456" t="s">
        <v>1327</v>
      </c>
      <c r="O1456">
        <v>2005</v>
      </c>
      <c r="P1456">
        <v>2005</v>
      </c>
      <c r="Q1456" t="s">
        <v>1329</v>
      </c>
      <c r="R1456">
        <v>10</v>
      </c>
      <c r="T1456" t="s">
        <v>1330</v>
      </c>
      <c r="U1456" t="s">
        <v>1340</v>
      </c>
      <c r="V1456" s="9" t="s">
        <v>1339</v>
      </c>
      <c r="W1456">
        <v>70</v>
      </c>
      <c r="X1456" s="9" t="s">
        <v>1261</v>
      </c>
      <c r="Z1456">
        <v>0</v>
      </c>
      <c r="AD1456" t="s">
        <v>1165</v>
      </c>
      <c r="AF1456" t="s">
        <v>1165</v>
      </c>
      <c r="AI1456" t="s">
        <v>1165</v>
      </c>
      <c r="AJ1456" s="4" t="s">
        <v>1148</v>
      </c>
      <c r="AK1456" s="4">
        <v>0</v>
      </c>
      <c r="AP1456" s="4">
        <v>28</v>
      </c>
      <c r="AQ1456" t="s">
        <v>1336</v>
      </c>
      <c r="AR1456" s="4" t="s">
        <v>1335</v>
      </c>
      <c r="AS1456" t="s">
        <v>3001</v>
      </c>
    </row>
    <row r="1457" spans="1:45" x14ac:dyDescent="0.2">
      <c r="A1457" t="s">
        <v>1326</v>
      </c>
      <c r="B1457" s="4" t="s">
        <v>1146</v>
      </c>
      <c r="C1457" s="4" t="s">
        <v>1149</v>
      </c>
      <c r="D1457" t="s">
        <v>1346</v>
      </c>
      <c r="E1457" t="s">
        <v>1347</v>
      </c>
      <c r="G1457" s="4" t="s">
        <v>1165</v>
      </c>
      <c r="H1457" t="s">
        <v>1165</v>
      </c>
      <c r="I1457" t="s">
        <v>1328</v>
      </c>
      <c r="J1457" t="s">
        <v>1337</v>
      </c>
      <c r="K1457" t="s">
        <v>1338</v>
      </c>
      <c r="L1457">
        <v>2000</v>
      </c>
      <c r="M1457" t="s">
        <v>1327</v>
      </c>
      <c r="O1457">
        <v>2005</v>
      </c>
      <c r="P1457">
        <v>2005</v>
      </c>
      <c r="Q1457" t="s">
        <v>1329</v>
      </c>
      <c r="R1457">
        <v>10</v>
      </c>
      <c r="T1457" t="s">
        <v>1330</v>
      </c>
      <c r="U1457" t="s">
        <v>1340</v>
      </c>
      <c r="V1457" s="9" t="s">
        <v>1339</v>
      </c>
      <c r="W1457">
        <v>70</v>
      </c>
      <c r="X1457" s="9" t="s">
        <v>1334</v>
      </c>
      <c r="Z1457">
        <v>0</v>
      </c>
      <c r="AD1457" t="s">
        <v>1165</v>
      </c>
      <c r="AF1457" t="s">
        <v>1165</v>
      </c>
      <c r="AI1457" t="s">
        <v>1165</v>
      </c>
      <c r="AJ1457" s="4" t="s">
        <v>1148</v>
      </c>
      <c r="AK1457" s="4">
        <v>0</v>
      </c>
      <c r="AP1457" s="4">
        <v>28</v>
      </c>
      <c r="AQ1457" t="s">
        <v>1336</v>
      </c>
      <c r="AR1457" s="4" t="s">
        <v>1335</v>
      </c>
      <c r="AS1457" t="s">
        <v>3001</v>
      </c>
    </row>
    <row r="1458" spans="1:45" x14ac:dyDescent="0.2">
      <c r="A1458" t="s">
        <v>1326</v>
      </c>
      <c r="B1458" s="4" t="s">
        <v>1146</v>
      </c>
      <c r="C1458" s="4" t="s">
        <v>1149</v>
      </c>
      <c r="D1458" t="s">
        <v>1346</v>
      </c>
      <c r="E1458" t="s">
        <v>1347</v>
      </c>
      <c r="G1458" s="4" t="s">
        <v>1165</v>
      </c>
      <c r="H1458" t="s">
        <v>1165</v>
      </c>
      <c r="I1458" t="s">
        <v>1328</v>
      </c>
      <c r="J1458" t="s">
        <v>1337</v>
      </c>
      <c r="K1458" t="s">
        <v>1338</v>
      </c>
      <c r="L1458">
        <v>2000</v>
      </c>
      <c r="M1458" t="s">
        <v>1327</v>
      </c>
      <c r="O1458">
        <v>2005</v>
      </c>
      <c r="P1458">
        <v>2005</v>
      </c>
      <c r="Q1458" t="s">
        <v>1329</v>
      </c>
      <c r="R1458">
        <v>10</v>
      </c>
      <c r="T1458" t="s">
        <v>1330</v>
      </c>
      <c r="U1458" t="s">
        <v>1340</v>
      </c>
      <c r="V1458" s="9" t="s">
        <v>1339</v>
      </c>
      <c r="W1458">
        <v>140</v>
      </c>
      <c r="X1458" s="9" t="s">
        <v>1333</v>
      </c>
      <c r="Z1458">
        <v>12</v>
      </c>
      <c r="AD1458" t="s">
        <v>1165</v>
      </c>
      <c r="AF1458" t="s">
        <v>1165</v>
      </c>
      <c r="AI1458" t="s">
        <v>1165</v>
      </c>
      <c r="AJ1458" s="4" t="s">
        <v>1148</v>
      </c>
      <c r="AK1458" s="4">
        <v>3.274</v>
      </c>
      <c r="AP1458" s="4">
        <v>28</v>
      </c>
      <c r="AQ1458" t="s">
        <v>1336</v>
      </c>
      <c r="AR1458" s="4" t="s">
        <v>1335</v>
      </c>
      <c r="AS1458" t="s">
        <v>3001</v>
      </c>
    </row>
    <row r="1459" spans="1:45" x14ac:dyDescent="0.2">
      <c r="A1459" t="s">
        <v>1326</v>
      </c>
      <c r="B1459" s="4" t="s">
        <v>1146</v>
      </c>
      <c r="C1459" s="4" t="s">
        <v>1149</v>
      </c>
      <c r="D1459" t="s">
        <v>1346</v>
      </c>
      <c r="E1459" t="s">
        <v>1347</v>
      </c>
      <c r="G1459" s="4" t="s">
        <v>1165</v>
      </c>
      <c r="H1459" t="s">
        <v>1165</v>
      </c>
      <c r="I1459" t="s">
        <v>1328</v>
      </c>
      <c r="J1459" t="s">
        <v>1337</v>
      </c>
      <c r="K1459" t="s">
        <v>1338</v>
      </c>
      <c r="L1459">
        <v>2000</v>
      </c>
      <c r="M1459" t="s">
        <v>1327</v>
      </c>
      <c r="O1459">
        <v>2005</v>
      </c>
      <c r="P1459">
        <v>2005</v>
      </c>
      <c r="Q1459" t="s">
        <v>1329</v>
      </c>
      <c r="R1459">
        <v>10</v>
      </c>
      <c r="T1459" t="s">
        <v>1330</v>
      </c>
      <c r="U1459" t="s">
        <v>1340</v>
      </c>
      <c r="V1459" s="9" t="s">
        <v>1339</v>
      </c>
      <c r="W1459">
        <v>140</v>
      </c>
      <c r="X1459" s="9" t="s">
        <v>1264</v>
      </c>
      <c r="Z1459">
        <v>12</v>
      </c>
      <c r="AD1459" t="s">
        <v>1165</v>
      </c>
      <c r="AF1459" t="s">
        <v>1165</v>
      </c>
      <c r="AI1459" t="s">
        <v>1165</v>
      </c>
      <c r="AJ1459" s="4" t="s">
        <v>1148</v>
      </c>
      <c r="AK1459" s="4">
        <v>23.114999999999998</v>
      </c>
      <c r="AP1459" s="4">
        <v>28</v>
      </c>
      <c r="AQ1459" t="s">
        <v>1336</v>
      </c>
      <c r="AR1459" s="4" t="s">
        <v>1335</v>
      </c>
      <c r="AS1459" t="s">
        <v>3001</v>
      </c>
    </row>
    <row r="1460" spans="1:45" x14ac:dyDescent="0.2">
      <c r="A1460" t="s">
        <v>1326</v>
      </c>
      <c r="B1460" s="4" t="s">
        <v>1146</v>
      </c>
      <c r="C1460" s="4" t="s">
        <v>1149</v>
      </c>
      <c r="D1460" t="s">
        <v>1346</v>
      </c>
      <c r="E1460" t="s">
        <v>1347</v>
      </c>
      <c r="G1460" s="4" t="s">
        <v>1165</v>
      </c>
      <c r="H1460" t="s">
        <v>1165</v>
      </c>
      <c r="I1460" t="s">
        <v>1328</v>
      </c>
      <c r="J1460" t="s">
        <v>1337</v>
      </c>
      <c r="K1460" t="s">
        <v>1338</v>
      </c>
      <c r="L1460">
        <v>2000</v>
      </c>
      <c r="M1460" t="s">
        <v>1327</v>
      </c>
      <c r="O1460">
        <v>2005</v>
      </c>
      <c r="P1460">
        <v>2005</v>
      </c>
      <c r="Q1460" t="s">
        <v>1329</v>
      </c>
      <c r="R1460">
        <v>10</v>
      </c>
      <c r="T1460" t="s">
        <v>1330</v>
      </c>
      <c r="U1460" t="s">
        <v>1340</v>
      </c>
      <c r="V1460" s="9" t="s">
        <v>1339</v>
      </c>
      <c r="W1460">
        <v>140</v>
      </c>
      <c r="X1460" s="9" t="s">
        <v>1261</v>
      </c>
      <c r="Z1460">
        <v>12</v>
      </c>
      <c r="AD1460" t="s">
        <v>1165</v>
      </c>
      <c r="AF1460" t="s">
        <v>1165</v>
      </c>
      <c r="AI1460" t="s">
        <v>1165</v>
      </c>
      <c r="AJ1460" s="4" t="s">
        <v>1148</v>
      </c>
      <c r="AK1460" s="4">
        <v>36.606999999999999</v>
      </c>
      <c r="AP1460" s="4">
        <v>28</v>
      </c>
      <c r="AQ1460" t="s">
        <v>1336</v>
      </c>
      <c r="AR1460" s="4" t="s">
        <v>1335</v>
      </c>
      <c r="AS1460" t="s">
        <v>3001</v>
      </c>
    </row>
    <row r="1461" spans="1:45" x14ac:dyDescent="0.2">
      <c r="A1461" t="s">
        <v>1326</v>
      </c>
      <c r="B1461" s="4" t="s">
        <v>1146</v>
      </c>
      <c r="C1461" s="4" t="s">
        <v>1149</v>
      </c>
      <c r="D1461" t="s">
        <v>1346</v>
      </c>
      <c r="E1461" t="s">
        <v>1347</v>
      </c>
      <c r="G1461" s="4" t="s">
        <v>1165</v>
      </c>
      <c r="H1461" t="s">
        <v>1165</v>
      </c>
      <c r="I1461" t="s">
        <v>1328</v>
      </c>
      <c r="J1461" t="s">
        <v>1337</v>
      </c>
      <c r="K1461" t="s">
        <v>1338</v>
      </c>
      <c r="L1461">
        <v>2000</v>
      </c>
      <c r="M1461" t="s">
        <v>1327</v>
      </c>
      <c r="O1461">
        <v>2005</v>
      </c>
      <c r="P1461">
        <v>2005</v>
      </c>
      <c r="Q1461" t="s">
        <v>1329</v>
      </c>
      <c r="R1461">
        <v>10</v>
      </c>
      <c r="T1461" t="s">
        <v>1330</v>
      </c>
      <c r="U1461" t="s">
        <v>1340</v>
      </c>
      <c r="V1461" s="9" t="s">
        <v>1339</v>
      </c>
      <c r="W1461">
        <v>140</v>
      </c>
      <c r="X1461" s="9" t="s">
        <v>1334</v>
      </c>
      <c r="Z1461">
        <v>12</v>
      </c>
      <c r="AD1461" t="s">
        <v>1165</v>
      </c>
      <c r="AF1461" t="s">
        <v>1165</v>
      </c>
      <c r="AI1461" t="s">
        <v>1165</v>
      </c>
      <c r="AJ1461" s="4" t="s">
        <v>1148</v>
      </c>
      <c r="AK1461" s="4">
        <v>15.972</v>
      </c>
      <c r="AP1461" s="4">
        <v>28</v>
      </c>
      <c r="AQ1461" t="s">
        <v>1336</v>
      </c>
      <c r="AR1461" s="4" t="s">
        <v>1335</v>
      </c>
      <c r="AS1461" t="s">
        <v>3001</v>
      </c>
    </row>
    <row r="1462" spans="1:45" x14ac:dyDescent="0.2">
      <c r="A1462" t="s">
        <v>1326</v>
      </c>
      <c r="B1462" s="4" t="s">
        <v>1146</v>
      </c>
      <c r="C1462" s="4" t="s">
        <v>1149</v>
      </c>
      <c r="D1462" t="s">
        <v>1346</v>
      </c>
      <c r="E1462" t="s">
        <v>1347</v>
      </c>
      <c r="G1462" s="4" t="s">
        <v>1165</v>
      </c>
      <c r="H1462" t="s">
        <v>1165</v>
      </c>
      <c r="I1462" t="s">
        <v>1328</v>
      </c>
      <c r="J1462" t="s">
        <v>1337</v>
      </c>
      <c r="K1462" t="s">
        <v>1338</v>
      </c>
      <c r="L1462">
        <v>2000</v>
      </c>
      <c r="M1462" t="s">
        <v>1327</v>
      </c>
      <c r="O1462">
        <v>2005</v>
      </c>
      <c r="P1462">
        <v>2005</v>
      </c>
      <c r="Q1462" t="s">
        <v>1329</v>
      </c>
      <c r="R1462">
        <v>10</v>
      </c>
      <c r="T1462" t="s">
        <v>1330</v>
      </c>
      <c r="U1462" t="s">
        <v>1340</v>
      </c>
      <c r="V1462" s="9" t="s">
        <v>1339</v>
      </c>
      <c r="W1462">
        <v>140</v>
      </c>
      <c r="X1462" s="9" t="s">
        <v>1333</v>
      </c>
      <c r="Z1462">
        <v>0</v>
      </c>
      <c r="AD1462" t="s">
        <v>1165</v>
      </c>
      <c r="AF1462" t="s">
        <v>1165</v>
      </c>
      <c r="AI1462" t="s">
        <v>1165</v>
      </c>
      <c r="AJ1462" s="4" t="s">
        <v>1148</v>
      </c>
      <c r="AK1462" s="4">
        <v>0</v>
      </c>
      <c r="AP1462" s="4">
        <v>28</v>
      </c>
      <c r="AQ1462" t="s">
        <v>1336</v>
      </c>
      <c r="AR1462" s="4" t="s">
        <v>1335</v>
      </c>
      <c r="AS1462" t="s">
        <v>3001</v>
      </c>
    </row>
    <row r="1463" spans="1:45" x14ac:dyDescent="0.2">
      <c r="A1463" t="s">
        <v>1326</v>
      </c>
      <c r="B1463" s="4" t="s">
        <v>1146</v>
      </c>
      <c r="C1463" s="4" t="s">
        <v>1149</v>
      </c>
      <c r="D1463" t="s">
        <v>1346</v>
      </c>
      <c r="E1463" t="s">
        <v>1347</v>
      </c>
      <c r="G1463" s="4" t="s">
        <v>1165</v>
      </c>
      <c r="H1463" t="s">
        <v>1165</v>
      </c>
      <c r="I1463" t="s">
        <v>1328</v>
      </c>
      <c r="J1463" t="s">
        <v>1337</v>
      </c>
      <c r="K1463" t="s">
        <v>1338</v>
      </c>
      <c r="L1463">
        <v>2000</v>
      </c>
      <c r="M1463" t="s">
        <v>1327</v>
      </c>
      <c r="O1463">
        <v>2005</v>
      </c>
      <c r="P1463">
        <v>2005</v>
      </c>
      <c r="Q1463" t="s">
        <v>1329</v>
      </c>
      <c r="R1463">
        <v>10</v>
      </c>
      <c r="T1463" t="s">
        <v>1330</v>
      </c>
      <c r="U1463" t="s">
        <v>1340</v>
      </c>
      <c r="V1463" s="9" t="s">
        <v>1339</v>
      </c>
      <c r="W1463">
        <v>140</v>
      </c>
      <c r="X1463" s="9" t="s">
        <v>1264</v>
      </c>
      <c r="Z1463">
        <v>0</v>
      </c>
      <c r="AD1463" t="s">
        <v>1165</v>
      </c>
      <c r="AF1463" t="s">
        <v>1165</v>
      </c>
      <c r="AI1463" t="s">
        <v>1165</v>
      </c>
      <c r="AJ1463" s="4" t="s">
        <v>1148</v>
      </c>
      <c r="AK1463" s="4">
        <v>0</v>
      </c>
      <c r="AP1463" s="4">
        <v>28</v>
      </c>
      <c r="AQ1463" t="s">
        <v>1336</v>
      </c>
      <c r="AR1463" s="4" t="s">
        <v>1335</v>
      </c>
      <c r="AS1463" t="s">
        <v>3001</v>
      </c>
    </row>
    <row r="1464" spans="1:45" x14ac:dyDescent="0.2">
      <c r="A1464" t="s">
        <v>1326</v>
      </c>
      <c r="B1464" s="4" t="s">
        <v>1146</v>
      </c>
      <c r="C1464" s="4" t="s">
        <v>1149</v>
      </c>
      <c r="D1464" t="s">
        <v>1346</v>
      </c>
      <c r="E1464" t="s">
        <v>1347</v>
      </c>
      <c r="G1464" s="4" t="s">
        <v>1165</v>
      </c>
      <c r="H1464" t="s">
        <v>1165</v>
      </c>
      <c r="I1464" t="s">
        <v>1328</v>
      </c>
      <c r="J1464" t="s">
        <v>1337</v>
      </c>
      <c r="K1464" t="s">
        <v>1338</v>
      </c>
      <c r="L1464">
        <v>2000</v>
      </c>
      <c r="M1464" t="s">
        <v>1327</v>
      </c>
      <c r="O1464">
        <v>2005</v>
      </c>
      <c r="P1464">
        <v>2005</v>
      </c>
      <c r="Q1464" t="s">
        <v>1329</v>
      </c>
      <c r="R1464">
        <v>10</v>
      </c>
      <c r="T1464" t="s">
        <v>1330</v>
      </c>
      <c r="U1464" t="s">
        <v>1340</v>
      </c>
      <c r="V1464" s="9" t="s">
        <v>1339</v>
      </c>
      <c r="W1464">
        <v>140</v>
      </c>
      <c r="X1464" s="9" t="s">
        <v>1261</v>
      </c>
      <c r="Z1464">
        <v>0</v>
      </c>
      <c r="AD1464" t="s">
        <v>1165</v>
      </c>
      <c r="AF1464" t="s">
        <v>1165</v>
      </c>
      <c r="AI1464" t="s">
        <v>1165</v>
      </c>
      <c r="AJ1464" s="4" t="s">
        <v>1148</v>
      </c>
      <c r="AK1464" s="4">
        <v>0</v>
      </c>
      <c r="AP1464" s="4">
        <v>28</v>
      </c>
      <c r="AQ1464" t="s">
        <v>1336</v>
      </c>
      <c r="AR1464" s="4" t="s">
        <v>1335</v>
      </c>
      <c r="AS1464" t="s">
        <v>3001</v>
      </c>
    </row>
    <row r="1465" spans="1:45" x14ac:dyDescent="0.2">
      <c r="A1465" t="s">
        <v>1326</v>
      </c>
      <c r="B1465" s="4" t="s">
        <v>1146</v>
      </c>
      <c r="C1465" s="4" t="s">
        <v>1149</v>
      </c>
      <c r="D1465" t="s">
        <v>1346</v>
      </c>
      <c r="E1465" t="s">
        <v>1347</v>
      </c>
      <c r="G1465" s="4" t="s">
        <v>1165</v>
      </c>
      <c r="H1465" t="s">
        <v>1165</v>
      </c>
      <c r="I1465" t="s">
        <v>1328</v>
      </c>
      <c r="J1465" t="s">
        <v>1337</v>
      </c>
      <c r="K1465" t="s">
        <v>1338</v>
      </c>
      <c r="L1465">
        <v>2000</v>
      </c>
      <c r="M1465" t="s">
        <v>1327</v>
      </c>
      <c r="O1465">
        <v>2005</v>
      </c>
      <c r="P1465">
        <v>2005</v>
      </c>
      <c r="Q1465" t="s">
        <v>1329</v>
      </c>
      <c r="R1465">
        <v>10</v>
      </c>
      <c r="T1465" t="s">
        <v>1330</v>
      </c>
      <c r="U1465" t="s">
        <v>1340</v>
      </c>
      <c r="V1465" s="9" t="s">
        <v>1339</v>
      </c>
      <c r="W1465">
        <v>140</v>
      </c>
      <c r="X1465" s="9" t="s">
        <v>1334</v>
      </c>
      <c r="Z1465">
        <v>0</v>
      </c>
      <c r="AD1465" t="s">
        <v>1165</v>
      </c>
      <c r="AF1465" t="s">
        <v>1165</v>
      </c>
      <c r="AI1465" t="s">
        <v>1165</v>
      </c>
      <c r="AJ1465" s="4" t="s">
        <v>1148</v>
      </c>
      <c r="AK1465" s="4">
        <v>0</v>
      </c>
      <c r="AP1465" s="4">
        <v>28</v>
      </c>
      <c r="AQ1465" t="s">
        <v>1336</v>
      </c>
      <c r="AR1465" s="4" t="s">
        <v>1335</v>
      </c>
      <c r="AS1465" t="s">
        <v>3001</v>
      </c>
    </row>
    <row r="1466" spans="1:45" x14ac:dyDescent="0.2">
      <c r="A1466" t="s">
        <v>1326</v>
      </c>
      <c r="B1466" s="4" t="s">
        <v>1146</v>
      </c>
      <c r="C1466" s="4" t="s">
        <v>1149</v>
      </c>
      <c r="D1466" t="s">
        <v>1346</v>
      </c>
      <c r="E1466" t="s">
        <v>1347</v>
      </c>
      <c r="G1466" s="4" t="s">
        <v>1165</v>
      </c>
      <c r="H1466" t="s">
        <v>1165</v>
      </c>
      <c r="I1466" t="s">
        <v>1328</v>
      </c>
      <c r="J1466" t="s">
        <v>1337</v>
      </c>
      <c r="K1466" t="s">
        <v>1338</v>
      </c>
      <c r="L1466">
        <v>2000</v>
      </c>
      <c r="M1466" t="s">
        <v>1327</v>
      </c>
      <c r="O1466">
        <v>2005</v>
      </c>
      <c r="P1466">
        <v>2005</v>
      </c>
      <c r="Q1466" t="s">
        <v>1329</v>
      </c>
      <c r="R1466">
        <v>10</v>
      </c>
      <c r="T1466" t="s">
        <v>1330</v>
      </c>
      <c r="U1466" t="s">
        <v>1340</v>
      </c>
      <c r="V1466" s="9" t="s">
        <v>1339</v>
      </c>
      <c r="W1466">
        <v>210</v>
      </c>
      <c r="X1466" s="9" t="s">
        <v>1333</v>
      </c>
      <c r="Z1466">
        <v>12</v>
      </c>
      <c r="AD1466" t="s">
        <v>1165</v>
      </c>
      <c r="AF1466" t="s">
        <v>1165</v>
      </c>
      <c r="AI1466" t="s">
        <v>1165</v>
      </c>
      <c r="AJ1466" s="4" t="s">
        <v>1148</v>
      </c>
      <c r="AK1466" s="4">
        <v>4.0670000000000002</v>
      </c>
      <c r="AP1466" s="4">
        <v>28</v>
      </c>
      <c r="AQ1466" t="s">
        <v>1336</v>
      </c>
      <c r="AR1466" s="4" t="s">
        <v>1335</v>
      </c>
      <c r="AS1466" t="s">
        <v>3001</v>
      </c>
    </row>
    <row r="1467" spans="1:45" x14ac:dyDescent="0.2">
      <c r="A1467" t="s">
        <v>1326</v>
      </c>
      <c r="B1467" s="4" t="s">
        <v>1146</v>
      </c>
      <c r="C1467" s="4" t="s">
        <v>1149</v>
      </c>
      <c r="D1467" t="s">
        <v>1346</v>
      </c>
      <c r="E1467" t="s">
        <v>1347</v>
      </c>
      <c r="G1467" s="4" t="s">
        <v>1165</v>
      </c>
      <c r="H1467" t="s">
        <v>1165</v>
      </c>
      <c r="I1467" t="s">
        <v>1328</v>
      </c>
      <c r="J1467" t="s">
        <v>1337</v>
      </c>
      <c r="K1467" t="s">
        <v>1338</v>
      </c>
      <c r="L1467">
        <v>2000</v>
      </c>
      <c r="M1467" t="s">
        <v>1327</v>
      </c>
      <c r="O1467">
        <v>2005</v>
      </c>
      <c r="P1467">
        <v>2005</v>
      </c>
      <c r="Q1467" t="s">
        <v>1329</v>
      </c>
      <c r="R1467">
        <v>10</v>
      </c>
      <c r="T1467" t="s">
        <v>1330</v>
      </c>
      <c r="U1467" t="s">
        <v>1340</v>
      </c>
      <c r="V1467" s="9" t="s">
        <v>1339</v>
      </c>
      <c r="W1467">
        <v>210</v>
      </c>
      <c r="X1467" s="9" t="s">
        <v>1264</v>
      </c>
      <c r="Z1467">
        <v>12</v>
      </c>
      <c r="AD1467" t="s">
        <v>1165</v>
      </c>
      <c r="AF1467" t="s">
        <v>1165</v>
      </c>
      <c r="AI1467" t="s">
        <v>1165</v>
      </c>
      <c r="AJ1467" s="4" t="s">
        <v>1148</v>
      </c>
      <c r="AK1467" s="4">
        <v>31.052</v>
      </c>
      <c r="AP1467" s="4">
        <v>28</v>
      </c>
      <c r="AQ1467" t="s">
        <v>1336</v>
      </c>
      <c r="AR1467" s="4" t="s">
        <v>1335</v>
      </c>
      <c r="AS1467" t="s">
        <v>3001</v>
      </c>
    </row>
    <row r="1468" spans="1:45" x14ac:dyDescent="0.2">
      <c r="A1468" t="s">
        <v>1326</v>
      </c>
      <c r="B1468" s="4" t="s">
        <v>1146</v>
      </c>
      <c r="C1468" s="4" t="s">
        <v>1149</v>
      </c>
      <c r="D1468" t="s">
        <v>1346</v>
      </c>
      <c r="E1468" t="s">
        <v>1347</v>
      </c>
      <c r="G1468" s="4" t="s">
        <v>1165</v>
      </c>
      <c r="H1468" t="s">
        <v>1165</v>
      </c>
      <c r="I1468" t="s">
        <v>1328</v>
      </c>
      <c r="J1468" t="s">
        <v>1337</v>
      </c>
      <c r="K1468" t="s">
        <v>1338</v>
      </c>
      <c r="L1468">
        <v>2000</v>
      </c>
      <c r="M1468" t="s">
        <v>1327</v>
      </c>
      <c r="O1468">
        <v>2005</v>
      </c>
      <c r="P1468">
        <v>2005</v>
      </c>
      <c r="Q1468" t="s">
        <v>1329</v>
      </c>
      <c r="R1468">
        <v>10</v>
      </c>
      <c r="T1468" t="s">
        <v>1330</v>
      </c>
      <c r="U1468" t="s">
        <v>1340</v>
      </c>
      <c r="V1468" s="9" t="s">
        <v>1339</v>
      </c>
      <c r="W1468">
        <v>210</v>
      </c>
      <c r="X1468" s="9" t="s">
        <v>1261</v>
      </c>
      <c r="Z1468">
        <v>12</v>
      </c>
      <c r="AD1468" t="s">
        <v>1165</v>
      </c>
      <c r="AF1468" t="s">
        <v>1165</v>
      </c>
      <c r="AI1468" t="s">
        <v>1165</v>
      </c>
      <c r="AJ1468" s="4" t="s">
        <v>1148</v>
      </c>
      <c r="AK1468" s="4">
        <v>42.956000000000003</v>
      </c>
      <c r="AP1468" s="4">
        <v>28</v>
      </c>
      <c r="AQ1468" t="s">
        <v>1336</v>
      </c>
      <c r="AR1468" s="4" t="s">
        <v>1335</v>
      </c>
      <c r="AS1468" t="s">
        <v>3001</v>
      </c>
    </row>
    <row r="1469" spans="1:45" x14ac:dyDescent="0.2">
      <c r="A1469" t="s">
        <v>1326</v>
      </c>
      <c r="B1469" s="4" t="s">
        <v>1146</v>
      </c>
      <c r="C1469" s="4" t="s">
        <v>1149</v>
      </c>
      <c r="D1469" t="s">
        <v>1346</v>
      </c>
      <c r="E1469" t="s">
        <v>1347</v>
      </c>
      <c r="G1469" s="4" t="s">
        <v>1165</v>
      </c>
      <c r="H1469" t="s">
        <v>1165</v>
      </c>
      <c r="I1469" t="s">
        <v>1328</v>
      </c>
      <c r="J1469" t="s">
        <v>1337</v>
      </c>
      <c r="K1469" t="s">
        <v>1338</v>
      </c>
      <c r="L1469">
        <v>2000</v>
      </c>
      <c r="M1469" t="s">
        <v>1327</v>
      </c>
      <c r="O1469">
        <v>2005</v>
      </c>
      <c r="P1469">
        <v>2005</v>
      </c>
      <c r="Q1469" t="s">
        <v>1329</v>
      </c>
      <c r="R1469">
        <v>10</v>
      </c>
      <c r="T1469" t="s">
        <v>1330</v>
      </c>
      <c r="U1469" t="s">
        <v>1340</v>
      </c>
      <c r="V1469" s="9" t="s">
        <v>1339</v>
      </c>
      <c r="W1469">
        <v>210</v>
      </c>
      <c r="X1469" s="9" t="s">
        <v>1334</v>
      </c>
      <c r="Z1469">
        <v>12</v>
      </c>
      <c r="AD1469" t="s">
        <v>1165</v>
      </c>
      <c r="AF1469" t="s">
        <v>1165</v>
      </c>
      <c r="AI1469" t="s">
        <v>1165</v>
      </c>
      <c r="AJ1469" s="4" t="s">
        <v>1148</v>
      </c>
      <c r="AK1469" s="4">
        <v>23.908999999999999</v>
      </c>
      <c r="AP1469" s="4">
        <v>28</v>
      </c>
      <c r="AQ1469" t="s">
        <v>1336</v>
      </c>
      <c r="AR1469" s="4" t="s">
        <v>1335</v>
      </c>
      <c r="AS1469" t="s">
        <v>3001</v>
      </c>
    </row>
    <row r="1470" spans="1:45" x14ac:dyDescent="0.2">
      <c r="A1470" t="s">
        <v>1326</v>
      </c>
      <c r="B1470" s="4" t="s">
        <v>1146</v>
      </c>
      <c r="C1470" s="4" t="s">
        <v>1149</v>
      </c>
      <c r="D1470" t="s">
        <v>1346</v>
      </c>
      <c r="E1470" t="s">
        <v>1347</v>
      </c>
      <c r="G1470" s="4" t="s">
        <v>1165</v>
      </c>
      <c r="H1470" t="s">
        <v>1165</v>
      </c>
      <c r="I1470" t="s">
        <v>1328</v>
      </c>
      <c r="J1470" t="s">
        <v>1337</v>
      </c>
      <c r="K1470" t="s">
        <v>1338</v>
      </c>
      <c r="L1470">
        <v>2000</v>
      </c>
      <c r="M1470" t="s">
        <v>1327</v>
      </c>
      <c r="O1470">
        <v>2005</v>
      </c>
      <c r="P1470">
        <v>2005</v>
      </c>
      <c r="Q1470" t="s">
        <v>1329</v>
      </c>
      <c r="R1470">
        <v>10</v>
      </c>
      <c r="T1470" t="s">
        <v>1330</v>
      </c>
      <c r="U1470" t="s">
        <v>1340</v>
      </c>
      <c r="V1470" s="9" t="s">
        <v>1339</v>
      </c>
      <c r="W1470">
        <v>210</v>
      </c>
      <c r="X1470" s="9" t="s">
        <v>1333</v>
      </c>
      <c r="Z1470">
        <v>0</v>
      </c>
      <c r="AD1470" t="s">
        <v>1165</v>
      </c>
      <c r="AF1470" t="s">
        <v>1165</v>
      </c>
      <c r="AI1470" t="s">
        <v>1165</v>
      </c>
      <c r="AJ1470" s="4" t="s">
        <v>1148</v>
      </c>
      <c r="AK1470" s="4">
        <v>0</v>
      </c>
      <c r="AP1470" s="4">
        <v>28</v>
      </c>
      <c r="AQ1470" t="s">
        <v>1336</v>
      </c>
      <c r="AR1470" s="4" t="s">
        <v>1335</v>
      </c>
      <c r="AS1470" t="s">
        <v>3001</v>
      </c>
    </row>
    <row r="1471" spans="1:45" x14ac:dyDescent="0.2">
      <c r="A1471" t="s">
        <v>1326</v>
      </c>
      <c r="B1471" s="4" t="s">
        <v>1146</v>
      </c>
      <c r="C1471" s="4" t="s">
        <v>1149</v>
      </c>
      <c r="D1471" t="s">
        <v>1346</v>
      </c>
      <c r="E1471" t="s">
        <v>1347</v>
      </c>
      <c r="G1471" s="4" t="s">
        <v>1165</v>
      </c>
      <c r="H1471" t="s">
        <v>1165</v>
      </c>
      <c r="I1471" t="s">
        <v>1328</v>
      </c>
      <c r="J1471" t="s">
        <v>1337</v>
      </c>
      <c r="K1471" t="s">
        <v>1338</v>
      </c>
      <c r="L1471">
        <v>2000</v>
      </c>
      <c r="M1471" t="s">
        <v>1327</v>
      </c>
      <c r="O1471">
        <v>2005</v>
      </c>
      <c r="P1471">
        <v>2005</v>
      </c>
      <c r="Q1471" t="s">
        <v>1329</v>
      </c>
      <c r="R1471">
        <v>10</v>
      </c>
      <c r="T1471" t="s">
        <v>1330</v>
      </c>
      <c r="U1471" t="s">
        <v>1340</v>
      </c>
      <c r="V1471" s="9" t="s">
        <v>1339</v>
      </c>
      <c r="W1471">
        <v>210</v>
      </c>
      <c r="X1471" s="9" t="s">
        <v>1264</v>
      </c>
      <c r="Z1471">
        <v>0</v>
      </c>
      <c r="AD1471" t="s">
        <v>1165</v>
      </c>
      <c r="AF1471" t="s">
        <v>1165</v>
      </c>
      <c r="AI1471" t="s">
        <v>1165</v>
      </c>
      <c r="AJ1471" s="4" t="s">
        <v>1148</v>
      </c>
      <c r="AK1471" s="4">
        <v>0</v>
      </c>
      <c r="AP1471" s="4">
        <v>28</v>
      </c>
      <c r="AQ1471" t="s">
        <v>1336</v>
      </c>
      <c r="AR1471" s="4" t="s">
        <v>1335</v>
      </c>
      <c r="AS1471" t="s">
        <v>3001</v>
      </c>
    </row>
    <row r="1472" spans="1:45" x14ac:dyDescent="0.2">
      <c r="A1472" t="s">
        <v>1326</v>
      </c>
      <c r="B1472" s="4" t="s">
        <v>1146</v>
      </c>
      <c r="C1472" s="4" t="s">
        <v>1149</v>
      </c>
      <c r="D1472" t="s">
        <v>1346</v>
      </c>
      <c r="E1472" t="s">
        <v>1347</v>
      </c>
      <c r="G1472" s="4" t="s">
        <v>1165</v>
      </c>
      <c r="H1472" t="s">
        <v>1165</v>
      </c>
      <c r="I1472" t="s">
        <v>1328</v>
      </c>
      <c r="J1472" t="s">
        <v>1337</v>
      </c>
      <c r="K1472" t="s">
        <v>1338</v>
      </c>
      <c r="L1472">
        <v>2000</v>
      </c>
      <c r="M1472" t="s">
        <v>1327</v>
      </c>
      <c r="O1472">
        <v>2005</v>
      </c>
      <c r="P1472">
        <v>2005</v>
      </c>
      <c r="Q1472" t="s">
        <v>1329</v>
      </c>
      <c r="R1472">
        <v>10</v>
      </c>
      <c r="T1472" t="s">
        <v>1330</v>
      </c>
      <c r="U1472" t="s">
        <v>1340</v>
      </c>
      <c r="V1472" s="9" t="s">
        <v>1339</v>
      </c>
      <c r="W1472">
        <v>210</v>
      </c>
      <c r="X1472" s="9" t="s">
        <v>1261</v>
      </c>
      <c r="Z1472">
        <v>0</v>
      </c>
      <c r="AD1472" t="s">
        <v>1165</v>
      </c>
      <c r="AF1472" t="s">
        <v>1165</v>
      </c>
      <c r="AI1472" t="s">
        <v>1165</v>
      </c>
      <c r="AJ1472" s="4" t="s">
        <v>1148</v>
      </c>
      <c r="AK1472" s="4">
        <v>0</v>
      </c>
      <c r="AP1472" s="4">
        <v>28</v>
      </c>
      <c r="AQ1472" t="s">
        <v>1336</v>
      </c>
      <c r="AR1472" s="4" t="s">
        <v>1335</v>
      </c>
      <c r="AS1472" t="s">
        <v>3001</v>
      </c>
    </row>
    <row r="1473" spans="1:45" x14ac:dyDescent="0.2">
      <c r="A1473" t="s">
        <v>1326</v>
      </c>
      <c r="B1473" s="4" t="s">
        <v>1146</v>
      </c>
      <c r="C1473" s="4" t="s">
        <v>1149</v>
      </c>
      <c r="D1473" t="s">
        <v>1346</v>
      </c>
      <c r="E1473" t="s">
        <v>1347</v>
      </c>
      <c r="G1473" s="4" t="s">
        <v>1165</v>
      </c>
      <c r="H1473" t="s">
        <v>1165</v>
      </c>
      <c r="I1473" t="s">
        <v>1328</v>
      </c>
      <c r="J1473" t="s">
        <v>1337</v>
      </c>
      <c r="K1473" t="s">
        <v>1338</v>
      </c>
      <c r="L1473">
        <v>2000</v>
      </c>
      <c r="M1473" t="s">
        <v>1327</v>
      </c>
      <c r="O1473">
        <v>2005</v>
      </c>
      <c r="P1473">
        <v>2005</v>
      </c>
      <c r="Q1473" t="s">
        <v>1329</v>
      </c>
      <c r="R1473">
        <v>10</v>
      </c>
      <c r="T1473" t="s">
        <v>1330</v>
      </c>
      <c r="U1473" t="s">
        <v>1340</v>
      </c>
      <c r="V1473" s="9" t="s">
        <v>1339</v>
      </c>
      <c r="W1473">
        <v>210</v>
      </c>
      <c r="X1473" s="9" t="s">
        <v>1334</v>
      </c>
      <c r="Z1473">
        <v>0</v>
      </c>
      <c r="AD1473" t="s">
        <v>1165</v>
      </c>
      <c r="AF1473" t="s">
        <v>1165</v>
      </c>
      <c r="AI1473" t="s">
        <v>1165</v>
      </c>
      <c r="AJ1473" s="4" t="s">
        <v>1148</v>
      </c>
      <c r="AK1473" s="4">
        <v>0</v>
      </c>
      <c r="AP1473" s="4">
        <v>28</v>
      </c>
      <c r="AQ1473" t="s">
        <v>1336</v>
      </c>
      <c r="AR1473" s="4" t="s">
        <v>1335</v>
      </c>
      <c r="AS1473" t="s">
        <v>3001</v>
      </c>
    </row>
    <row r="1474" spans="1:45" s="14" customFormat="1" x14ac:dyDescent="0.2">
      <c r="A1474" s="14" t="s">
        <v>1326</v>
      </c>
      <c r="B1474" s="15" t="s">
        <v>1146</v>
      </c>
      <c r="C1474" s="15" t="s">
        <v>1149</v>
      </c>
      <c r="D1474" s="14" t="s">
        <v>1346</v>
      </c>
      <c r="E1474" s="14" t="s">
        <v>1347</v>
      </c>
      <c r="G1474" s="15" t="s">
        <v>1165</v>
      </c>
      <c r="H1474" s="14" t="s">
        <v>1165</v>
      </c>
      <c r="I1474" s="14" t="s">
        <v>1328</v>
      </c>
      <c r="J1474" s="14" t="s">
        <v>1337</v>
      </c>
      <c r="K1474" s="14" t="s">
        <v>1338</v>
      </c>
      <c r="L1474" s="14">
        <v>2000</v>
      </c>
      <c r="M1474" s="14" t="s">
        <v>1327</v>
      </c>
      <c r="O1474" s="14">
        <v>2005</v>
      </c>
      <c r="P1474" s="14">
        <v>2005</v>
      </c>
      <c r="Q1474" s="14" t="s">
        <v>1329</v>
      </c>
      <c r="R1474" s="14">
        <v>10</v>
      </c>
      <c r="T1474" s="14" t="s">
        <v>1330</v>
      </c>
      <c r="U1474" s="14" t="s">
        <v>1341</v>
      </c>
      <c r="V1474" s="12"/>
      <c r="W1474" s="14">
        <v>0</v>
      </c>
      <c r="X1474" s="12" t="s">
        <v>1333</v>
      </c>
      <c r="Y1474" s="14" t="s">
        <v>2994</v>
      </c>
      <c r="Z1474" s="14">
        <v>12</v>
      </c>
      <c r="AD1474" s="14" t="s">
        <v>1165</v>
      </c>
      <c r="AF1474" s="14" t="s">
        <v>1165</v>
      </c>
      <c r="AI1474" s="14" t="s">
        <v>1165</v>
      </c>
      <c r="AJ1474" s="15" t="s">
        <v>1148</v>
      </c>
      <c r="AK1474" s="15">
        <v>0</v>
      </c>
      <c r="AP1474" s="15">
        <v>28</v>
      </c>
      <c r="AQ1474" s="14" t="s">
        <v>1336</v>
      </c>
      <c r="AR1474" s="15" t="s">
        <v>1335</v>
      </c>
      <c r="AS1474" s="14" t="s">
        <v>3002</v>
      </c>
    </row>
    <row r="1475" spans="1:45" s="14" customFormat="1" x14ac:dyDescent="0.2">
      <c r="A1475" s="14" t="s">
        <v>1326</v>
      </c>
      <c r="B1475" s="15" t="s">
        <v>1146</v>
      </c>
      <c r="C1475" s="15" t="s">
        <v>1149</v>
      </c>
      <c r="D1475" s="14" t="s">
        <v>1346</v>
      </c>
      <c r="E1475" s="14" t="s">
        <v>1347</v>
      </c>
      <c r="G1475" s="15" t="s">
        <v>1165</v>
      </c>
      <c r="H1475" s="14" t="s">
        <v>1165</v>
      </c>
      <c r="I1475" s="14" t="s">
        <v>1328</v>
      </c>
      <c r="J1475" s="14" t="s">
        <v>1337</v>
      </c>
      <c r="K1475" s="14" t="s">
        <v>1338</v>
      </c>
      <c r="L1475" s="14">
        <v>2000</v>
      </c>
      <c r="M1475" s="14" t="s">
        <v>1327</v>
      </c>
      <c r="O1475" s="14">
        <v>2005</v>
      </c>
      <c r="P1475" s="14">
        <v>2005</v>
      </c>
      <c r="Q1475" s="14" t="s">
        <v>1329</v>
      </c>
      <c r="R1475" s="14">
        <v>10</v>
      </c>
      <c r="T1475" s="14" t="s">
        <v>1330</v>
      </c>
      <c r="U1475" s="14" t="s">
        <v>1341</v>
      </c>
      <c r="V1475" s="12"/>
      <c r="W1475" s="14">
        <v>0</v>
      </c>
      <c r="X1475" s="12" t="s">
        <v>1264</v>
      </c>
      <c r="Y1475" s="14" t="s">
        <v>2994</v>
      </c>
      <c r="Z1475" s="14">
        <v>12</v>
      </c>
      <c r="AD1475" s="14" t="s">
        <v>1165</v>
      </c>
      <c r="AF1475" s="14" t="s">
        <v>1165</v>
      </c>
      <c r="AI1475" s="14" t="s">
        <v>1165</v>
      </c>
      <c r="AJ1475" s="15" t="s">
        <v>1148</v>
      </c>
      <c r="AK1475" s="15">
        <v>0</v>
      </c>
      <c r="AP1475" s="15">
        <v>28</v>
      </c>
      <c r="AQ1475" s="14" t="s">
        <v>1336</v>
      </c>
      <c r="AR1475" s="15" t="s">
        <v>1335</v>
      </c>
      <c r="AS1475" s="14" t="s">
        <v>3002</v>
      </c>
    </row>
    <row r="1476" spans="1:45" s="14" customFormat="1" x14ac:dyDescent="0.2">
      <c r="A1476" s="14" t="s">
        <v>1326</v>
      </c>
      <c r="B1476" s="15" t="s">
        <v>1146</v>
      </c>
      <c r="C1476" s="15" t="s">
        <v>1149</v>
      </c>
      <c r="D1476" s="14" t="s">
        <v>1346</v>
      </c>
      <c r="E1476" s="14" t="s">
        <v>1347</v>
      </c>
      <c r="G1476" s="15" t="s">
        <v>1165</v>
      </c>
      <c r="H1476" s="14" t="s">
        <v>1165</v>
      </c>
      <c r="I1476" s="14" t="s">
        <v>1328</v>
      </c>
      <c r="J1476" s="14" t="s">
        <v>1337</v>
      </c>
      <c r="K1476" s="14" t="s">
        <v>1338</v>
      </c>
      <c r="L1476" s="14">
        <v>2000</v>
      </c>
      <c r="M1476" s="14" t="s">
        <v>1327</v>
      </c>
      <c r="O1476" s="14">
        <v>2005</v>
      </c>
      <c r="P1476" s="14">
        <v>2005</v>
      </c>
      <c r="Q1476" s="14" t="s">
        <v>1329</v>
      </c>
      <c r="R1476" s="14">
        <v>10</v>
      </c>
      <c r="T1476" s="14" t="s">
        <v>1330</v>
      </c>
      <c r="U1476" s="14" t="s">
        <v>1341</v>
      </c>
      <c r="V1476" s="12"/>
      <c r="W1476" s="14">
        <v>0</v>
      </c>
      <c r="X1476" s="12" t="s">
        <v>1261</v>
      </c>
      <c r="Y1476" s="14" t="s">
        <v>2994</v>
      </c>
      <c r="Z1476" s="14">
        <v>12</v>
      </c>
      <c r="AD1476" s="14" t="s">
        <v>1165</v>
      </c>
      <c r="AF1476" s="14" t="s">
        <v>1165</v>
      </c>
      <c r="AI1476" s="14" t="s">
        <v>1165</v>
      </c>
      <c r="AJ1476" s="15" t="s">
        <v>1148</v>
      </c>
      <c r="AK1476" s="15">
        <v>0</v>
      </c>
      <c r="AP1476" s="15">
        <v>28</v>
      </c>
      <c r="AQ1476" s="14" t="s">
        <v>1336</v>
      </c>
      <c r="AR1476" s="15" t="s">
        <v>1335</v>
      </c>
      <c r="AS1476" s="14" t="s">
        <v>3002</v>
      </c>
    </row>
    <row r="1477" spans="1:45" s="14" customFormat="1" x14ac:dyDescent="0.2">
      <c r="A1477" s="14" t="s">
        <v>1326</v>
      </c>
      <c r="B1477" s="15" t="s">
        <v>1146</v>
      </c>
      <c r="C1477" s="15" t="s">
        <v>1149</v>
      </c>
      <c r="D1477" s="14" t="s">
        <v>1346</v>
      </c>
      <c r="E1477" s="14" t="s">
        <v>1347</v>
      </c>
      <c r="G1477" s="15" t="s">
        <v>1165</v>
      </c>
      <c r="H1477" s="14" t="s">
        <v>1165</v>
      </c>
      <c r="I1477" s="14" t="s">
        <v>1328</v>
      </c>
      <c r="J1477" s="14" t="s">
        <v>1337</v>
      </c>
      <c r="K1477" s="14" t="s">
        <v>1338</v>
      </c>
      <c r="L1477" s="14">
        <v>2000</v>
      </c>
      <c r="M1477" s="14" t="s">
        <v>1327</v>
      </c>
      <c r="O1477" s="14">
        <v>2005</v>
      </c>
      <c r="P1477" s="14">
        <v>2005</v>
      </c>
      <c r="Q1477" s="14" t="s">
        <v>1329</v>
      </c>
      <c r="R1477" s="14">
        <v>10</v>
      </c>
      <c r="T1477" s="14" t="s">
        <v>1330</v>
      </c>
      <c r="U1477" s="14" t="s">
        <v>1341</v>
      </c>
      <c r="V1477" s="12"/>
      <c r="W1477" s="14">
        <v>0</v>
      </c>
      <c r="X1477" s="12" t="s">
        <v>1334</v>
      </c>
      <c r="Y1477" s="14" t="s">
        <v>2994</v>
      </c>
      <c r="Z1477" s="14">
        <v>12</v>
      </c>
      <c r="AD1477" s="14" t="s">
        <v>1165</v>
      </c>
      <c r="AF1477" s="14" t="s">
        <v>1165</v>
      </c>
      <c r="AI1477" s="14" t="s">
        <v>1165</v>
      </c>
      <c r="AJ1477" s="15" t="s">
        <v>1148</v>
      </c>
      <c r="AK1477" s="15">
        <v>0</v>
      </c>
      <c r="AP1477" s="15">
        <v>28</v>
      </c>
      <c r="AQ1477" s="14" t="s">
        <v>1336</v>
      </c>
      <c r="AR1477" s="15" t="s">
        <v>1335</v>
      </c>
      <c r="AS1477" s="14" t="s">
        <v>3002</v>
      </c>
    </row>
    <row r="1478" spans="1:45" s="14" customFormat="1" x14ac:dyDescent="0.2">
      <c r="A1478" s="14" t="s">
        <v>1326</v>
      </c>
      <c r="B1478" s="15" t="s">
        <v>1146</v>
      </c>
      <c r="C1478" s="15" t="s">
        <v>1149</v>
      </c>
      <c r="D1478" s="14" t="s">
        <v>1346</v>
      </c>
      <c r="E1478" s="14" t="s">
        <v>1347</v>
      </c>
      <c r="G1478" s="15" t="s">
        <v>1165</v>
      </c>
      <c r="H1478" s="14" t="s">
        <v>1165</v>
      </c>
      <c r="I1478" s="14" t="s">
        <v>1328</v>
      </c>
      <c r="J1478" s="14" t="s">
        <v>1337</v>
      </c>
      <c r="K1478" s="14" t="s">
        <v>1338</v>
      </c>
      <c r="L1478" s="14">
        <v>2000</v>
      </c>
      <c r="M1478" s="14" t="s">
        <v>1327</v>
      </c>
      <c r="O1478" s="14">
        <v>2005</v>
      </c>
      <c r="P1478" s="14">
        <v>2005</v>
      </c>
      <c r="Q1478" s="14" t="s">
        <v>1329</v>
      </c>
      <c r="R1478" s="14">
        <v>10</v>
      </c>
      <c r="T1478" s="14" t="s">
        <v>1330</v>
      </c>
      <c r="U1478" s="14" t="s">
        <v>1341</v>
      </c>
      <c r="V1478" s="12"/>
      <c r="W1478" s="14">
        <v>0</v>
      </c>
      <c r="X1478" s="12" t="s">
        <v>1333</v>
      </c>
      <c r="Y1478" s="14" t="s">
        <v>2994</v>
      </c>
      <c r="Z1478" s="14">
        <v>0</v>
      </c>
      <c r="AD1478" s="14" t="s">
        <v>1165</v>
      </c>
      <c r="AF1478" s="14" t="s">
        <v>1165</v>
      </c>
      <c r="AI1478" s="14" t="s">
        <v>1165</v>
      </c>
      <c r="AJ1478" s="15" t="s">
        <v>1148</v>
      </c>
      <c r="AK1478" s="15">
        <v>0</v>
      </c>
      <c r="AP1478" s="15">
        <v>28</v>
      </c>
      <c r="AQ1478" s="14" t="s">
        <v>1336</v>
      </c>
      <c r="AR1478" s="15" t="s">
        <v>1335</v>
      </c>
      <c r="AS1478" s="14" t="s">
        <v>3002</v>
      </c>
    </row>
    <row r="1479" spans="1:45" s="14" customFormat="1" x14ac:dyDescent="0.2">
      <c r="A1479" s="14" t="s">
        <v>1326</v>
      </c>
      <c r="B1479" s="15" t="s">
        <v>1146</v>
      </c>
      <c r="C1479" s="15" t="s">
        <v>1149</v>
      </c>
      <c r="D1479" s="14" t="s">
        <v>1346</v>
      </c>
      <c r="E1479" s="14" t="s">
        <v>1347</v>
      </c>
      <c r="G1479" s="15" t="s">
        <v>1165</v>
      </c>
      <c r="H1479" s="14" t="s">
        <v>1165</v>
      </c>
      <c r="I1479" s="14" t="s">
        <v>1328</v>
      </c>
      <c r="J1479" s="14" t="s">
        <v>1337</v>
      </c>
      <c r="K1479" s="14" t="s">
        <v>1338</v>
      </c>
      <c r="L1479" s="14">
        <v>2000</v>
      </c>
      <c r="M1479" s="14" t="s">
        <v>1327</v>
      </c>
      <c r="O1479" s="14">
        <v>2005</v>
      </c>
      <c r="P1479" s="14">
        <v>2005</v>
      </c>
      <c r="Q1479" s="14" t="s">
        <v>1329</v>
      </c>
      <c r="R1479" s="14">
        <v>10</v>
      </c>
      <c r="T1479" s="14" t="s">
        <v>1330</v>
      </c>
      <c r="U1479" s="14" t="s">
        <v>1341</v>
      </c>
      <c r="V1479" s="12"/>
      <c r="W1479" s="14">
        <v>0</v>
      </c>
      <c r="X1479" s="12" t="s">
        <v>1264</v>
      </c>
      <c r="Y1479" s="14" t="s">
        <v>2994</v>
      </c>
      <c r="Z1479" s="14">
        <v>0</v>
      </c>
      <c r="AD1479" s="14" t="s">
        <v>1165</v>
      </c>
      <c r="AF1479" s="14" t="s">
        <v>1165</v>
      </c>
      <c r="AI1479" s="14" t="s">
        <v>1165</v>
      </c>
      <c r="AJ1479" s="15" t="s">
        <v>1148</v>
      </c>
      <c r="AK1479" s="15">
        <v>0</v>
      </c>
      <c r="AP1479" s="15">
        <v>28</v>
      </c>
      <c r="AQ1479" s="14" t="s">
        <v>1336</v>
      </c>
      <c r="AR1479" s="15" t="s">
        <v>1335</v>
      </c>
      <c r="AS1479" s="14" t="s">
        <v>3002</v>
      </c>
    </row>
    <row r="1480" spans="1:45" s="14" customFormat="1" x14ac:dyDescent="0.2">
      <c r="A1480" s="14" t="s">
        <v>1326</v>
      </c>
      <c r="B1480" s="15" t="s">
        <v>1146</v>
      </c>
      <c r="C1480" s="15" t="s">
        <v>1149</v>
      </c>
      <c r="D1480" s="14" t="s">
        <v>1346</v>
      </c>
      <c r="E1480" s="14" t="s">
        <v>1347</v>
      </c>
      <c r="G1480" s="15" t="s">
        <v>1165</v>
      </c>
      <c r="H1480" s="14" t="s">
        <v>1165</v>
      </c>
      <c r="I1480" s="14" t="s">
        <v>1328</v>
      </c>
      <c r="J1480" s="14" t="s">
        <v>1337</v>
      </c>
      <c r="K1480" s="14" t="s">
        <v>1338</v>
      </c>
      <c r="L1480" s="14">
        <v>2000</v>
      </c>
      <c r="M1480" s="14" t="s">
        <v>1327</v>
      </c>
      <c r="O1480" s="14">
        <v>2005</v>
      </c>
      <c r="P1480" s="14">
        <v>2005</v>
      </c>
      <c r="Q1480" s="14" t="s">
        <v>1329</v>
      </c>
      <c r="R1480" s="14">
        <v>10</v>
      </c>
      <c r="T1480" s="14" t="s">
        <v>1330</v>
      </c>
      <c r="U1480" s="14" t="s">
        <v>1341</v>
      </c>
      <c r="V1480" s="12"/>
      <c r="W1480" s="14">
        <v>0</v>
      </c>
      <c r="X1480" s="12" t="s">
        <v>1261</v>
      </c>
      <c r="Y1480" s="14" t="s">
        <v>2994</v>
      </c>
      <c r="Z1480" s="14">
        <v>0</v>
      </c>
      <c r="AD1480" s="14" t="s">
        <v>1165</v>
      </c>
      <c r="AF1480" s="14" t="s">
        <v>1165</v>
      </c>
      <c r="AI1480" s="14" t="s">
        <v>1165</v>
      </c>
      <c r="AJ1480" s="15" t="s">
        <v>1148</v>
      </c>
      <c r="AK1480" s="15">
        <v>0</v>
      </c>
      <c r="AP1480" s="15">
        <v>28</v>
      </c>
      <c r="AQ1480" s="14" t="s">
        <v>1336</v>
      </c>
      <c r="AR1480" s="15" t="s">
        <v>1335</v>
      </c>
      <c r="AS1480" s="14" t="s">
        <v>3002</v>
      </c>
    </row>
    <row r="1481" spans="1:45" s="14" customFormat="1" x14ac:dyDescent="0.2">
      <c r="A1481" s="14" t="s">
        <v>1326</v>
      </c>
      <c r="B1481" s="15" t="s">
        <v>1146</v>
      </c>
      <c r="C1481" s="15" t="s">
        <v>1149</v>
      </c>
      <c r="D1481" s="14" t="s">
        <v>1346</v>
      </c>
      <c r="E1481" s="14" t="s">
        <v>1347</v>
      </c>
      <c r="G1481" s="15" t="s">
        <v>1165</v>
      </c>
      <c r="H1481" s="14" t="s">
        <v>1165</v>
      </c>
      <c r="I1481" s="14" t="s">
        <v>1328</v>
      </c>
      <c r="J1481" s="14" t="s">
        <v>1337</v>
      </c>
      <c r="K1481" s="14" t="s">
        <v>1338</v>
      </c>
      <c r="L1481" s="14">
        <v>2000</v>
      </c>
      <c r="M1481" s="14" t="s">
        <v>1327</v>
      </c>
      <c r="O1481" s="14">
        <v>2005</v>
      </c>
      <c r="P1481" s="14">
        <v>2005</v>
      </c>
      <c r="Q1481" s="14" t="s">
        <v>1329</v>
      </c>
      <c r="R1481" s="14">
        <v>10</v>
      </c>
      <c r="T1481" s="14" t="s">
        <v>1330</v>
      </c>
      <c r="U1481" s="14" t="s">
        <v>1341</v>
      </c>
      <c r="V1481" s="12"/>
      <c r="W1481" s="14">
        <v>0</v>
      </c>
      <c r="X1481" s="12" t="s">
        <v>1334</v>
      </c>
      <c r="Y1481" s="14" t="s">
        <v>2994</v>
      </c>
      <c r="Z1481" s="14">
        <v>0</v>
      </c>
      <c r="AD1481" s="14" t="s">
        <v>1165</v>
      </c>
      <c r="AF1481" s="14" t="s">
        <v>1165</v>
      </c>
      <c r="AI1481" s="14" t="s">
        <v>1165</v>
      </c>
      <c r="AJ1481" s="15" t="s">
        <v>1148</v>
      </c>
      <c r="AK1481" s="15">
        <v>0</v>
      </c>
      <c r="AP1481" s="15">
        <v>28</v>
      </c>
      <c r="AQ1481" s="14" t="s">
        <v>1336</v>
      </c>
      <c r="AR1481" s="15" t="s">
        <v>1335</v>
      </c>
      <c r="AS1481" s="14" t="s">
        <v>3002</v>
      </c>
    </row>
    <row r="1482" spans="1:45" s="14" customFormat="1" x14ac:dyDescent="0.2">
      <c r="A1482" s="14" t="s">
        <v>1326</v>
      </c>
      <c r="B1482" s="15" t="s">
        <v>1146</v>
      </c>
      <c r="C1482" s="15" t="s">
        <v>1149</v>
      </c>
      <c r="D1482" s="14" t="s">
        <v>1346</v>
      </c>
      <c r="E1482" s="14" t="s">
        <v>1347</v>
      </c>
      <c r="G1482" s="15" t="s">
        <v>1165</v>
      </c>
      <c r="H1482" s="14" t="s">
        <v>1165</v>
      </c>
      <c r="I1482" s="14" t="s">
        <v>1328</v>
      </c>
      <c r="J1482" s="14" t="s">
        <v>1337</v>
      </c>
      <c r="K1482" s="14" t="s">
        <v>1338</v>
      </c>
      <c r="L1482" s="14">
        <v>2000</v>
      </c>
      <c r="M1482" s="14" t="s">
        <v>1327</v>
      </c>
      <c r="O1482" s="14">
        <v>2005</v>
      </c>
      <c r="P1482" s="14">
        <v>2005</v>
      </c>
      <c r="Q1482" s="14" t="s">
        <v>1329</v>
      </c>
      <c r="R1482" s="14">
        <v>10</v>
      </c>
      <c r="T1482" s="14" t="s">
        <v>1330</v>
      </c>
      <c r="U1482" s="14" t="s">
        <v>1341</v>
      </c>
      <c r="V1482" s="12"/>
      <c r="W1482" s="14">
        <v>17.5</v>
      </c>
      <c r="X1482" s="12" t="s">
        <v>1333</v>
      </c>
      <c r="Y1482" s="14" t="s">
        <v>2995</v>
      </c>
      <c r="Z1482" s="14">
        <v>12</v>
      </c>
      <c r="AD1482" s="14" t="s">
        <v>1165</v>
      </c>
      <c r="AF1482" s="14" t="s">
        <v>1165</v>
      </c>
      <c r="AI1482" s="14" t="s">
        <v>1165</v>
      </c>
      <c r="AJ1482" s="15" t="s">
        <v>1148</v>
      </c>
      <c r="AK1482" s="15">
        <v>0</v>
      </c>
      <c r="AP1482" s="15">
        <v>28</v>
      </c>
      <c r="AQ1482" s="14" t="s">
        <v>1336</v>
      </c>
      <c r="AR1482" s="15" t="s">
        <v>1335</v>
      </c>
      <c r="AS1482" s="14" t="s">
        <v>3002</v>
      </c>
    </row>
    <row r="1483" spans="1:45" s="14" customFormat="1" x14ac:dyDescent="0.2">
      <c r="A1483" s="14" t="s">
        <v>1326</v>
      </c>
      <c r="B1483" s="15" t="s">
        <v>1146</v>
      </c>
      <c r="C1483" s="15" t="s">
        <v>1149</v>
      </c>
      <c r="D1483" s="14" t="s">
        <v>1346</v>
      </c>
      <c r="E1483" s="14" t="s">
        <v>1347</v>
      </c>
      <c r="G1483" s="15" t="s">
        <v>1165</v>
      </c>
      <c r="H1483" s="14" t="s">
        <v>1165</v>
      </c>
      <c r="I1483" s="14" t="s">
        <v>1328</v>
      </c>
      <c r="J1483" s="14" t="s">
        <v>1337</v>
      </c>
      <c r="K1483" s="14" t="s">
        <v>1338</v>
      </c>
      <c r="L1483" s="14">
        <v>2000</v>
      </c>
      <c r="M1483" s="14" t="s">
        <v>1327</v>
      </c>
      <c r="O1483" s="14">
        <v>2005</v>
      </c>
      <c r="P1483" s="14">
        <v>2005</v>
      </c>
      <c r="Q1483" s="14" t="s">
        <v>1329</v>
      </c>
      <c r="R1483" s="14">
        <v>10</v>
      </c>
      <c r="T1483" s="14" t="s">
        <v>1330</v>
      </c>
      <c r="U1483" s="14" t="s">
        <v>1341</v>
      </c>
      <c r="V1483" s="12"/>
      <c r="W1483" s="14">
        <v>17.5</v>
      </c>
      <c r="X1483" s="12" t="s">
        <v>1264</v>
      </c>
      <c r="Y1483" s="14" t="s">
        <v>2995</v>
      </c>
      <c r="Z1483" s="14">
        <v>12</v>
      </c>
      <c r="AD1483" s="14" t="s">
        <v>1165</v>
      </c>
      <c r="AF1483" s="14" t="s">
        <v>1165</v>
      </c>
      <c r="AI1483" s="14" t="s">
        <v>1165</v>
      </c>
      <c r="AJ1483" s="15" t="s">
        <v>1148</v>
      </c>
      <c r="AK1483" s="15">
        <v>0</v>
      </c>
      <c r="AP1483" s="15">
        <v>28</v>
      </c>
      <c r="AQ1483" s="14" t="s">
        <v>1336</v>
      </c>
      <c r="AR1483" s="15" t="s">
        <v>1335</v>
      </c>
      <c r="AS1483" s="14" t="s">
        <v>3002</v>
      </c>
    </row>
    <row r="1484" spans="1:45" s="14" customFormat="1" x14ac:dyDescent="0.2">
      <c r="A1484" s="14" t="s">
        <v>1326</v>
      </c>
      <c r="B1484" s="15" t="s">
        <v>1146</v>
      </c>
      <c r="C1484" s="15" t="s">
        <v>1149</v>
      </c>
      <c r="D1484" s="14" t="s">
        <v>1346</v>
      </c>
      <c r="E1484" s="14" t="s">
        <v>1347</v>
      </c>
      <c r="G1484" s="15" t="s">
        <v>1165</v>
      </c>
      <c r="H1484" s="14" t="s">
        <v>1165</v>
      </c>
      <c r="I1484" s="14" t="s">
        <v>1328</v>
      </c>
      <c r="J1484" s="14" t="s">
        <v>1337</v>
      </c>
      <c r="K1484" s="14" t="s">
        <v>1338</v>
      </c>
      <c r="L1484" s="14">
        <v>2000</v>
      </c>
      <c r="M1484" s="14" t="s">
        <v>1327</v>
      </c>
      <c r="O1484" s="14">
        <v>2005</v>
      </c>
      <c r="P1484" s="14">
        <v>2005</v>
      </c>
      <c r="Q1484" s="14" t="s">
        <v>1329</v>
      </c>
      <c r="R1484" s="14">
        <v>10</v>
      </c>
      <c r="T1484" s="14" t="s">
        <v>1330</v>
      </c>
      <c r="U1484" s="14" t="s">
        <v>1341</v>
      </c>
      <c r="V1484" s="12"/>
      <c r="W1484" s="14">
        <v>17.5</v>
      </c>
      <c r="X1484" s="12" t="s">
        <v>1261</v>
      </c>
      <c r="Y1484" s="14" t="s">
        <v>2995</v>
      </c>
      <c r="Z1484" s="14">
        <v>12</v>
      </c>
      <c r="AD1484" s="14" t="s">
        <v>1165</v>
      </c>
      <c r="AF1484" s="14" t="s">
        <v>1165</v>
      </c>
      <c r="AI1484" s="14" t="s">
        <v>1165</v>
      </c>
      <c r="AJ1484" s="15" t="s">
        <v>1148</v>
      </c>
      <c r="AK1484" s="15">
        <v>0</v>
      </c>
      <c r="AP1484" s="15">
        <v>28</v>
      </c>
      <c r="AQ1484" s="14" t="s">
        <v>1336</v>
      </c>
      <c r="AR1484" s="15" t="s">
        <v>1335</v>
      </c>
      <c r="AS1484" s="14" t="s">
        <v>3002</v>
      </c>
    </row>
    <row r="1485" spans="1:45" s="14" customFormat="1" x14ac:dyDescent="0.2">
      <c r="A1485" s="14" t="s">
        <v>1326</v>
      </c>
      <c r="B1485" s="15" t="s">
        <v>1146</v>
      </c>
      <c r="C1485" s="15" t="s">
        <v>1149</v>
      </c>
      <c r="D1485" s="14" t="s">
        <v>1346</v>
      </c>
      <c r="E1485" s="14" t="s">
        <v>1347</v>
      </c>
      <c r="G1485" s="15" t="s">
        <v>1165</v>
      </c>
      <c r="H1485" s="14" t="s">
        <v>1165</v>
      </c>
      <c r="I1485" s="14" t="s">
        <v>1328</v>
      </c>
      <c r="J1485" s="14" t="s">
        <v>1337</v>
      </c>
      <c r="K1485" s="14" t="s">
        <v>1338</v>
      </c>
      <c r="L1485" s="14">
        <v>2000</v>
      </c>
      <c r="M1485" s="14" t="s">
        <v>1327</v>
      </c>
      <c r="O1485" s="14">
        <v>2005</v>
      </c>
      <c r="P1485" s="14">
        <v>2005</v>
      </c>
      <c r="Q1485" s="14" t="s">
        <v>1329</v>
      </c>
      <c r="R1485" s="14">
        <v>10</v>
      </c>
      <c r="T1485" s="14" t="s">
        <v>1330</v>
      </c>
      <c r="U1485" s="14" t="s">
        <v>1341</v>
      </c>
      <c r="V1485" s="12"/>
      <c r="W1485" s="14">
        <v>17.5</v>
      </c>
      <c r="X1485" s="12" t="s">
        <v>1334</v>
      </c>
      <c r="Y1485" s="14" t="s">
        <v>2995</v>
      </c>
      <c r="Z1485" s="14">
        <v>12</v>
      </c>
      <c r="AD1485" s="14" t="s">
        <v>1165</v>
      </c>
      <c r="AF1485" s="14" t="s">
        <v>1165</v>
      </c>
      <c r="AI1485" s="14" t="s">
        <v>1165</v>
      </c>
      <c r="AJ1485" s="15" t="s">
        <v>1148</v>
      </c>
      <c r="AK1485" s="15">
        <v>0</v>
      </c>
      <c r="AP1485" s="15">
        <v>28</v>
      </c>
      <c r="AQ1485" s="14" t="s">
        <v>1336</v>
      </c>
      <c r="AR1485" s="15" t="s">
        <v>1335</v>
      </c>
      <c r="AS1485" s="14" t="s">
        <v>3002</v>
      </c>
    </row>
    <row r="1486" spans="1:45" s="14" customFormat="1" x14ac:dyDescent="0.2">
      <c r="A1486" s="14" t="s">
        <v>1326</v>
      </c>
      <c r="B1486" s="15" t="s">
        <v>1146</v>
      </c>
      <c r="C1486" s="15" t="s">
        <v>1149</v>
      </c>
      <c r="D1486" s="14" t="s">
        <v>1346</v>
      </c>
      <c r="E1486" s="14" t="s">
        <v>1347</v>
      </c>
      <c r="G1486" s="15" t="s">
        <v>1165</v>
      </c>
      <c r="H1486" s="14" t="s">
        <v>1165</v>
      </c>
      <c r="I1486" s="14" t="s">
        <v>1328</v>
      </c>
      <c r="J1486" s="14" t="s">
        <v>1337</v>
      </c>
      <c r="K1486" s="14" t="s">
        <v>1338</v>
      </c>
      <c r="L1486" s="14">
        <v>2000</v>
      </c>
      <c r="M1486" s="14" t="s">
        <v>1327</v>
      </c>
      <c r="O1486" s="14">
        <v>2005</v>
      </c>
      <c r="P1486" s="14">
        <v>2005</v>
      </c>
      <c r="Q1486" s="14" t="s">
        <v>1329</v>
      </c>
      <c r="R1486" s="14">
        <v>10</v>
      </c>
      <c r="T1486" s="14" t="s">
        <v>1330</v>
      </c>
      <c r="U1486" s="14" t="s">
        <v>1341</v>
      </c>
      <c r="V1486" s="12"/>
      <c r="W1486" s="14">
        <v>17.5</v>
      </c>
      <c r="X1486" s="12" t="s">
        <v>1333</v>
      </c>
      <c r="Y1486" s="14" t="s">
        <v>2995</v>
      </c>
      <c r="Z1486" s="14">
        <v>0</v>
      </c>
      <c r="AD1486" s="14" t="s">
        <v>1165</v>
      </c>
      <c r="AF1486" s="14" t="s">
        <v>1165</v>
      </c>
      <c r="AI1486" s="14" t="s">
        <v>1165</v>
      </c>
      <c r="AJ1486" s="15" t="s">
        <v>1148</v>
      </c>
      <c r="AK1486" s="15">
        <v>0</v>
      </c>
      <c r="AP1486" s="15">
        <v>28</v>
      </c>
      <c r="AQ1486" s="14" t="s">
        <v>1336</v>
      </c>
      <c r="AR1486" s="15" t="s">
        <v>1335</v>
      </c>
      <c r="AS1486" s="14" t="s">
        <v>3002</v>
      </c>
    </row>
    <row r="1487" spans="1:45" s="14" customFormat="1" x14ac:dyDescent="0.2">
      <c r="A1487" s="14" t="s">
        <v>1326</v>
      </c>
      <c r="B1487" s="15" t="s">
        <v>1146</v>
      </c>
      <c r="C1487" s="15" t="s">
        <v>1149</v>
      </c>
      <c r="D1487" s="14" t="s">
        <v>1346</v>
      </c>
      <c r="E1487" s="14" t="s">
        <v>1347</v>
      </c>
      <c r="G1487" s="15" t="s">
        <v>1165</v>
      </c>
      <c r="H1487" s="14" t="s">
        <v>1165</v>
      </c>
      <c r="I1487" s="14" t="s">
        <v>1328</v>
      </c>
      <c r="J1487" s="14" t="s">
        <v>1337</v>
      </c>
      <c r="K1487" s="14" t="s">
        <v>1338</v>
      </c>
      <c r="L1487" s="14">
        <v>2000</v>
      </c>
      <c r="M1487" s="14" t="s">
        <v>1327</v>
      </c>
      <c r="O1487" s="14">
        <v>2005</v>
      </c>
      <c r="P1487" s="14">
        <v>2005</v>
      </c>
      <c r="Q1487" s="14" t="s">
        <v>1329</v>
      </c>
      <c r="R1487" s="14">
        <v>10</v>
      </c>
      <c r="T1487" s="14" t="s">
        <v>1330</v>
      </c>
      <c r="U1487" s="14" t="s">
        <v>1341</v>
      </c>
      <c r="V1487" s="12"/>
      <c r="W1487" s="14">
        <v>17.5</v>
      </c>
      <c r="X1487" s="12" t="s">
        <v>1264</v>
      </c>
      <c r="Y1487" s="14" t="s">
        <v>2995</v>
      </c>
      <c r="Z1487" s="14">
        <v>0</v>
      </c>
      <c r="AD1487" s="14" t="s">
        <v>1165</v>
      </c>
      <c r="AF1487" s="14" t="s">
        <v>1165</v>
      </c>
      <c r="AI1487" s="14" t="s">
        <v>1165</v>
      </c>
      <c r="AJ1487" s="15" t="s">
        <v>1148</v>
      </c>
      <c r="AK1487" s="15">
        <v>0</v>
      </c>
      <c r="AP1487" s="15">
        <v>28</v>
      </c>
      <c r="AQ1487" s="14" t="s">
        <v>1336</v>
      </c>
      <c r="AR1487" s="15" t="s">
        <v>1335</v>
      </c>
      <c r="AS1487" s="14" t="s">
        <v>3002</v>
      </c>
    </row>
    <row r="1488" spans="1:45" s="14" customFormat="1" x14ac:dyDescent="0.2">
      <c r="A1488" s="14" t="s">
        <v>1326</v>
      </c>
      <c r="B1488" s="15" t="s">
        <v>1146</v>
      </c>
      <c r="C1488" s="15" t="s">
        <v>1149</v>
      </c>
      <c r="D1488" s="14" t="s">
        <v>1346</v>
      </c>
      <c r="E1488" s="14" t="s">
        <v>1347</v>
      </c>
      <c r="G1488" s="15" t="s">
        <v>1165</v>
      </c>
      <c r="H1488" s="14" t="s">
        <v>1165</v>
      </c>
      <c r="I1488" s="14" t="s">
        <v>1328</v>
      </c>
      <c r="J1488" s="14" t="s">
        <v>1337</v>
      </c>
      <c r="K1488" s="14" t="s">
        <v>1338</v>
      </c>
      <c r="L1488" s="14">
        <v>2000</v>
      </c>
      <c r="M1488" s="14" t="s">
        <v>1327</v>
      </c>
      <c r="O1488" s="14">
        <v>2005</v>
      </c>
      <c r="P1488" s="14">
        <v>2005</v>
      </c>
      <c r="Q1488" s="14" t="s">
        <v>1329</v>
      </c>
      <c r="R1488" s="14">
        <v>10</v>
      </c>
      <c r="T1488" s="14" t="s">
        <v>1330</v>
      </c>
      <c r="U1488" s="14" t="s">
        <v>1341</v>
      </c>
      <c r="V1488" s="12"/>
      <c r="W1488" s="14">
        <v>17.5</v>
      </c>
      <c r="X1488" s="12" t="s">
        <v>1261</v>
      </c>
      <c r="Y1488" s="14" t="s">
        <v>2995</v>
      </c>
      <c r="Z1488" s="14">
        <v>0</v>
      </c>
      <c r="AD1488" s="14" t="s">
        <v>1165</v>
      </c>
      <c r="AF1488" s="14" t="s">
        <v>1165</v>
      </c>
      <c r="AI1488" s="14" t="s">
        <v>1165</v>
      </c>
      <c r="AJ1488" s="15" t="s">
        <v>1148</v>
      </c>
      <c r="AK1488" s="15">
        <v>0</v>
      </c>
      <c r="AP1488" s="15">
        <v>28</v>
      </c>
      <c r="AQ1488" s="14" t="s">
        <v>1336</v>
      </c>
      <c r="AR1488" s="15" t="s">
        <v>1335</v>
      </c>
      <c r="AS1488" s="14" t="s">
        <v>3002</v>
      </c>
    </row>
    <row r="1489" spans="1:45" s="14" customFormat="1" x14ac:dyDescent="0.2">
      <c r="A1489" s="14" t="s">
        <v>1326</v>
      </c>
      <c r="B1489" s="15" t="s">
        <v>1146</v>
      </c>
      <c r="C1489" s="15" t="s">
        <v>1149</v>
      </c>
      <c r="D1489" s="14" t="s">
        <v>1346</v>
      </c>
      <c r="E1489" s="14" t="s">
        <v>1347</v>
      </c>
      <c r="G1489" s="15" t="s">
        <v>1165</v>
      </c>
      <c r="H1489" s="14" t="s">
        <v>1165</v>
      </c>
      <c r="I1489" s="14" t="s">
        <v>1328</v>
      </c>
      <c r="J1489" s="14" t="s">
        <v>1337</v>
      </c>
      <c r="K1489" s="14" t="s">
        <v>1338</v>
      </c>
      <c r="L1489" s="14">
        <v>2000</v>
      </c>
      <c r="M1489" s="14" t="s">
        <v>1327</v>
      </c>
      <c r="O1489" s="14">
        <v>2005</v>
      </c>
      <c r="P1489" s="14">
        <v>2005</v>
      </c>
      <c r="Q1489" s="14" t="s">
        <v>1329</v>
      </c>
      <c r="R1489" s="14">
        <v>10</v>
      </c>
      <c r="T1489" s="14" t="s">
        <v>1330</v>
      </c>
      <c r="U1489" s="14" t="s">
        <v>1341</v>
      </c>
      <c r="V1489" s="12"/>
      <c r="W1489" s="14">
        <v>17.5</v>
      </c>
      <c r="X1489" s="12" t="s">
        <v>1334</v>
      </c>
      <c r="Y1489" s="14" t="s">
        <v>2995</v>
      </c>
      <c r="Z1489" s="14">
        <v>0</v>
      </c>
      <c r="AD1489" s="14" t="s">
        <v>1165</v>
      </c>
      <c r="AF1489" s="14" t="s">
        <v>1165</v>
      </c>
      <c r="AI1489" s="14" t="s">
        <v>1165</v>
      </c>
      <c r="AJ1489" s="15" t="s">
        <v>1148</v>
      </c>
      <c r="AK1489" s="15">
        <v>0</v>
      </c>
      <c r="AP1489" s="15">
        <v>28</v>
      </c>
      <c r="AQ1489" s="14" t="s">
        <v>1336</v>
      </c>
      <c r="AR1489" s="15" t="s">
        <v>1335</v>
      </c>
      <c r="AS1489" s="14" t="s">
        <v>3002</v>
      </c>
    </row>
    <row r="1490" spans="1:45" s="14" customFormat="1" x14ac:dyDescent="0.2">
      <c r="A1490" s="14" t="s">
        <v>1326</v>
      </c>
      <c r="B1490" s="15" t="s">
        <v>1146</v>
      </c>
      <c r="C1490" s="15" t="s">
        <v>1149</v>
      </c>
      <c r="D1490" s="14" t="s">
        <v>1346</v>
      </c>
      <c r="E1490" s="14" t="s">
        <v>1347</v>
      </c>
      <c r="G1490" s="15" t="s">
        <v>1165</v>
      </c>
      <c r="H1490" s="14" t="s">
        <v>1165</v>
      </c>
      <c r="I1490" s="14" t="s">
        <v>1328</v>
      </c>
      <c r="J1490" s="14" t="s">
        <v>1337</v>
      </c>
      <c r="K1490" s="14" t="s">
        <v>1338</v>
      </c>
      <c r="L1490" s="14">
        <v>2000</v>
      </c>
      <c r="M1490" s="14" t="s">
        <v>1327</v>
      </c>
      <c r="O1490" s="14">
        <v>2005</v>
      </c>
      <c r="P1490" s="14">
        <v>2005</v>
      </c>
      <c r="Q1490" s="14" t="s">
        <v>1329</v>
      </c>
      <c r="R1490" s="14">
        <v>10</v>
      </c>
      <c r="T1490" s="14" t="s">
        <v>1330</v>
      </c>
      <c r="U1490" s="14" t="s">
        <v>1341</v>
      </c>
      <c r="V1490" s="12"/>
      <c r="W1490" s="14">
        <v>35</v>
      </c>
      <c r="X1490" s="12" t="s">
        <v>1333</v>
      </c>
      <c r="Y1490" s="14" t="s">
        <v>2996</v>
      </c>
      <c r="Z1490" s="14">
        <v>12</v>
      </c>
      <c r="AD1490" s="14" t="s">
        <v>1165</v>
      </c>
      <c r="AF1490" s="14" t="s">
        <v>1165</v>
      </c>
      <c r="AI1490" s="14" t="s">
        <v>1165</v>
      </c>
      <c r="AJ1490" s="15" t="s">
        <v>1148</v>
      </c>
      <c r="AK1490" s="15">
        <v>0</v>
      </c>
      <c r="AP1490" s="15">
        <v>28</v>
      </c>
      <c r="AQ1490" s="14" t="s">
        <v>1336</v>
      </c>
      <c r="AR1490" s="15" t="s">
        <v>1335</v>
      </c>
      <c r="AS1490" s="14" t="s">
        <v>3002</v>
      </c>
    </row>
    <row r="1491" spans="1:45" s="14" customFormat="1" x14ac:dyDescent="0.2">
      <c r="A1491" s="14" t="s">
        <v>1326</v>
      </c>
      <c r="B1491" s="15" t="s">
        <v>1146</v>
      </c>
      <c r="C1491" s="15" t="s">
        <v>1149</v>
      </c>
      <c r="D1491" s="14" t="s">
        <v>1346</v>
      </c>
      <c r="E1491" s="14" t="s">
        <v>1347</v>
      </c>
      <c r="G1491" s="15" t="s">
        <v>1165</v>
      </c>
      <c r="H1491" s="14" t="s">
        <v>1165</v>
      </c>
      <c r="I1491" s="14" t="s">
        <v>1328</v>
      </c>
      <c r="J1491" s="14" t="s">
        <v>1337</v>
      </c>
      <c r="K1491" s="14" t="s">
        <v>1338</v>
      </c>
      <c r="L1491" s="14">
        <v>2000</v>
      </c>
      <c r="M1491" s="14" t="s">
        <v>1327</v>
      </c>
      <c r="O1491" s="14">
        <v>2005</v>
      </c>
      <c r="P1491" s="14">
        <v>2005</v>
      </c>
      <c r="Q1491" s="14" t="s">
        <v>1329</v>
      </c>
      <c r="R1491" s="14">
        <v>10</v>
      </c>
      <c r="T1491" s="14" t="s">
        <v>1330</v>
      </c>
      <c r="U1491" s="14" t="s">
        <v>1341</v>
      </c>
      <c r="V1491" s="12"/>
      <c r="W1491" s="14">
        <v>35</v>
      </c>
      <c r="X1491" s="12" t="s">
        <v>1264</v>
      </c>
      <c r="Y1491" s="14" t="s">
        <v>2996</v>
      </c>
      <c r="Z1491" s="14">
        <v>12</v>
      </c>
      <c r="AD1491" s="14" t="s">
        <v>1165</v>
      </c>
      <c r="AF1491" s="14" t="s">
        <v>1165</v>
      </c>
      <c r="AI1491" s="14" t="s">
        <v>1165</v>
      </c>
      <c r="AJ1491" s="15" t="s">
        <v>1148</v>
      </c>
      <c r="AK1491" s="15">
        <v>0</v>
      </c>
      <c r="AP1491" s="15">
        <v>28</v>
      </c>
      <c r="AQ1491" s="14" t="s">
        <v>1336</v>
      </c>
      <c r="AR1491" s="15" t="s">
        <v>1335</v>
      </c>
      <c r="AS1491" s="14" t="s">
        <v>3002</v>
      </c>
    </row>
    <row r="1492" spans="1:45" s="14" customFormat="1" x14ac:dyDescent="0.2">
      <c r="A1492" s="14" t="s">
        <v>1326</v>
      </c>
      <c r="B1492" s="15" t="s">
        <v>1146</v>
      </c>
      <c r="C1492" s="15" t="s">
        <v>1149</v>
      </c>
      <c r="D1492" s="14" t="s">
        <v>1346</v>
      </c>
      <c r="E1492" s="14" t="s">
        <v>1347</v>
      </c>
      <c r="G1492" s="15" t="s">
        <v>1165</v>
      </c>
      <c r="H1492" s="14" t="s">
        <v>1165</v>
      </c>
      <c r="I1492" s="14" t="s">
        <v>1328</v>
      </c>
      <c r="J1492" s="14" t="s">
        <v>1337</v>
      </c>
      <c r="K1492" s="14" t="s">
        <v>1338</v>
      </c>
      <c r="L1492" s="14">
        <v>2000</v>
      </c>
      <c r="M1492" s="14" t="s">
        <v>1327</v>
      </c>
      <c r="O1492" s="14">
        <v>2005</v>
      </c>
      <c r="P1492" s="14">
        <v>2005</v>
      </c>
      <c r="Q1492" s="14" t="s">
        <v>1329</v>
      </c>
      <c r="R1492" s="14">
        <v>10</v>
      </c>
      <c r="T1492" s="14" t="s">
        <v>1330</v>
      </c>
      <c r="U1492" s="14" t="s">
        <v>1341</v>
      </c>
      <c r="V1492" s="12"/>
      <c r="W1492" s="14">
        <v>35</v>
      </c>
      <c r="X1492" s="12" t="s">
        <v>1261</v>
      </c>
      <c r="Y1492" s="14" t="s">
        <v>2996</v>
      </c>
      <c r="Z1492" s="14">
        <v>12</v>
      </c>
      <c r="AD1492" s="14" t="s">
        <v>1165</v>
      </c>
      <c r="AF1492" s="14" t="s">
        <v>1165</v>
      </c>
      <c r="AI1492" s="14" t="s">
        <v>1165</v>
      </c>
      <c r="AJ1492" s="15" t="s">
        <v>1148</v>
      </c>
      <c r="AK1492" s="15">
        <v>0</v>
      </c>
      <c r="AP1492" s="15">
        <v>28</v>
      </c>
      <c r="AQ1492" s="14" t="s">
        <v>1336</v>
      </c>
      <c r="AR1492" s="15" t="s">
        <v>1335</v>
      </c>
      <c r="AS1492" s="14" t="s">
        <v>3002</v>
      </c>
    </row>
    <row r="1493" spans="1:45" s="14" customFormat="1" x14ac:dyDescent="0.2">
      <c r="A1493" s="14" t="s">
        <v>1326</v>
      </c>
      <c r="B1493" s="15" t="s">
        <v>1146</v>
      </c>
      <c r="C1493" s="15" t="s">
        <v>1149</v>
      </c>
      <c r="D1493" s="14" t="s">
        <v>1346</v>
      </c>
      <c r="E1493" s="14" t="s">
        <v>1347</v>
      </c>
      <c r="G1493" s="15" t="s">
        <v>1165</v>
      </c>
      <c r="H1493" s="14" t="s">
        <v>1165</v>
      </c>
      <c r="I1493" s="14" t="s">
        <v>1328</v>
      </c>
      <c r="J1493" s="14" t="s">
        <v>1337</v>
      </c>
      <c r="K1493" s="14" t="s">
        <v>1338</v>
      </c>
      <c r="L1493" s="14">
        <v>2000</v>
      </c>
      <c r="M1493" s="14" t="s">
        <v>1327</v>
      </c>
      <c r="O1493" s="14">
        <v>2005</v>
      </c>
      <c r="P1493" s="14">
        <v>2005</v>
      </c>
      <c r="Q1493" s="14" t="s">
        <v>1329</v>
      </c>
      <c r="R1493" s="14">
        <v>10</v>
      </c>
      <c r="T1493" s="14" t="s">
        <v>1330</v>
      </c>
      <c r="U1493" s="14" t="s">
        <v>1341</v>
      </c>
      <c r="V1493" s="12"/>
      <c r="W1493" s="14">
        <v>35</v>
      </c>
      <c r="X1493" s="12" t="s">
        <v>1334</v>
      </c>
      <c r="Y1493" s="14" t="s">
        <v>2996</v>
      </c>
      <c r="Z1493" s="14">
        <v>12</v>
      </c>
      <c r="AD1493" s="14" t="s">
        <v>1165</v>
      </c>
      <c r="AF1493" s="14" t="s">
        <v>1165</v>
      </c>
      <c r="AI1493" s="14" t="s">
        <v>1165</v>
      </c>
      <c r="AJ1493" s="15" t="s">
        <v>1148</v>
      </c>
      <c r="AK1493" s="15">
        <v>0</v>
      </c>
      <c r="AP1493" s="15">
        <v>28</v>
      </c>
      <c r="AQ1493" s="14" t="s">
        <v>1336</v>
      </c>
      <c r="AR1493" s="15" t="s">
        <v>1335</v>
      </c>
      <c r="AS1493" s="14" t="s">
        <v>3002</v>
      </c>
    </row>
    <row r="1494" spans="1:45" s="14" customFormat="1" x14ac:dyDescent="0.2">
      <c r="A1494" s="14" t="s">
        <v>1326</v>
      </c>
      <c r="B1494" s="15" t="s">
        <v>1146</v>
      </c>
      <c r="C1494" s="15" t="s">
        <v>1149</v>
      </c>
      <c r="D1494" s="14" t="s">
        <v>1346</v>
      </c>
      <c r="E1494" s="14" t="s">
        <v>1347</v>
      </c>
      <c r="G1494" s="15" t="s">
        <v>1165</v>
      </c>
      <c r="H1494" s="14" t="s">
        <v>1165</v>
      </c>
      <c r="I1494" s="14" t="s">
        <v>1328</v>
      </c>
      <c r="J1494" s="14" t="s">
        <v>1337</v>
      </c>
      <c r="K1494" s="14" t="s">
        <v>1338</v>
      </c>
      <c r="L1494" s="14">
        <v>2000</v>
      </c>
      <c r="M1494" s="14" t="s">
        <v>1327</v>
      </c>
      <c r="O1494" s="14">
        <v>2005</v>
      </c>
      <c r="P1494" s="14">
        <v>2005</v>
      </c>
      <c r="Q1494" s="14" t="s">
        <v>1329</v>
      </c>
      <c r="R1494" s="14">
        <v>10</v>
      </c>
      <c r="T1494" s="14" t="s">
        <v>1330</v>
      </c>
      <c r="U1494" s="14" t="s">
        <v>1341</v>
      </c>
      <c r="V1494" s="12"/>
      <c r="W1494" s="14">
        <v>35</v>
      </c>
      <c r="X1494" s="12" t="s">
        <v>1333</v>
      </c>
      <c r="Y1494" s="14" t="s">
        <v>2996</v>
      </c>
      <c r="Z1494" s="14">
        <v>0</v>
      </c>
      <c r="AD1494" s="14" t="s">
        <v>1165</v>
      </c>
      <c r="AF1494" s="14" t="s">
        <v>1165</v>
      </c>
      <c r="AI1494" s="14" t="s">
        <v>1165</v>
      </c>
      <c r="AJ1494" s="15" t="s">
        <v>1148</v>
      </c>
      <c r="AK1494" s="15">
        <v>0</v>
      </c>
      <c r="AP1494" s="15">
        <v>28</v>
      </c>
      <c r="AQ1494" s="14" t="s">
        <v>1336</v>
      </c>
      <c r="AR1494" s="15" t="s">
        <v>1335</v>
      </c>
      <c r="AS1494" s="14" t="s">
        <v>3002</v>
      </c>
    </row>
    <row r="1495" spans="1:45" s="14" customFormat="1" x14ac:dyDescent="0.2">
      <c r="A1495" s="14" t="s">
        <v>1326</v>
      </c>
      <c r="B1495" s="15" t="s">
        <v>1146</v>
      </c>
      <c r="C1495" s="15" t="s">
        <v>1149</v>
      </c>
      <c r="D1495" s="14" t="s">
        <v>1346</v>
      </c>
      <c r="E1495" s="14" t="s">
        <v>1347</v>
      </c>
      <c r="G1495" s="15" t="s">
        <v>1165</v>
      </c>
      <c r="H1495" s="14" t="s">
        <v>1165</v>
      </c>
      <c r="I1495" s="14" t="s">
        <v>1328</v>
      </c>
      <c r="J1495" s="14" t="s">
        <v>1337</v>
      </c>
      <c r="K1495" s="14" t="s">
        <v>1338</v>
      </c>
      <c r="L1495" s="14">
        <v>2000</v>
      </c>
      <c r="M1495" s="14" t="s">
        <v>1327</v>
      </c>
      <c r="O1495" s="14">
        <v>2005</v>
      </c>
      <c r="P1495" s="14">
        <v>2005</v>
      </c>
      <c r="Q1495" s="14" t="s">
        <v>1329</v>
      </c>
      <c r="R1495" s="14">
        <v>10</v>
      </c>
      <c r="T1495" s="14" t="s">
        <v>1330</v>
      </c>
      <c r="U1495" s="14" t="s">
        <v>1341</v>
      </c>
      <c r="V1495" s="12"/>
      <c r="W1495" s="14">
        <v>35</v>
      </c>
      <c r="X1495" s="12" t="s">
        <v>1264</v>
      </c>
      <c r="Y1495" s="14" t="s">
        <v>2996</v>
      </c>
      <c r="Z1495" s="14">
        <v>0</v>
      </c>
      <c r="AD1495" s="14" t="s">
        <v>1165</v>
      </c>
      <c r="AF1495" s="14" t="s">
        <v>1165</v>
      </c>
      <c r="AI1495" s="14" t="s">
        <v>1165</v>
      </c>
      <c r="AJ1495" s="15" t="s">
        <v>1148</v>
      </c>
      <c r="AK1495" s="15">
        <v>0</v>
      </c>
      <c r="AP1495" s="15">
        <v>28</v>
      </c>
      <c r="AQ1495" s="14" t="s">
        <v>1336</v>
      </c>
      <c r="AR1495" s="15" t="s">
        <v>1335</v>
      </c>
      <c r="AS1495" s="14" t="s">
        <v>3002</v>
      </c>
    </row>
    <row r="1496" spans="1:45" s="14" customFormat="1" x14ac:dyDescent="0.2">
      <c r="A1496" s="14" t="s">
        <v>1326</v>
      </c>
      <c r="B1496" s="15" t="s">
        <v>1146</v>
      </c>
      <c r="C1496" s="15" t="s">
        <v>1149</v>
      </c>
      <c r="D1496" s="14" t="s">
        <v>1346</v>
      </c>
      <c r="E1496" s="14" t="s">
        <v>1347</v>
      </c>
      <c r="G1496" s="15" t="s">
        <v>1165</v>
      </c>
      <c r="H1496" s="14" t="s">
        <v>1165</v>
      </c>
      <c r="I1496" s="14" t="s">
        <v>1328</v>
      </c>
      <c r="J1496" s="14" t="s">
        <v>1337</v>
      </c>
      <c r="K1496" s="14" t="s">
        <v>1338</v>
      </c>
      <c r="L1496" s="14">
        <v>2000</v>
      </c>
      <c r="M1496" s="14" t="s">
        <v>1327</v>
      </c>
      <c r="O1496" s="14">
        <v>2005</v>
      </c>
      <c r="P1496" s="14">
        <v>2005</v>
      </c>
      <c r="Q1496" s="14" t="s">
        <v>1329</v>
      </c>
      <c r="R1496" s="14">
        <v>10</v>
      </c>
      <c r="T1496" s="14" t="s">
        <v>1330</v>
      </c>
      <c r="U1496" s="14" t="s">
        <v>1341</v>
      </c>
      <c r="V1496" s="12"/>
      <c r="W1496" s="14">
        <v>35</v>
      </c>
      <c r="X1496" s="12" t="s">
        <v>1261</v>
      </c>
      <c r="Y1496" s="14" t="s">
        <v>2996</v>
      </c>
      <c r="Z1496" s="14">
        <v>0</v>
      </c>
      <c r="AD1496" s="14" t="s">
        <v>1165</v>
      </c>
      <c r="AF1496" s="14" t="s">
        <v>1165</v>
      </c>
      <c r="AI1496" s="14" t="s">
        <v>1165</v>
      </c>
      <c r="AJ1496" s="15" t="s">
        <v>1148</v>
      </c>
      <c r="AK1496" s="15">
        <v>0</v>
      </c>
      <c r="AP1496" s="15">
        <v>28</v>
      </c>
      <c r="AQ1496" s="14" t="s">
        <v>1336</v>
      </c>
      <c r="AR1496" s="15" t="s">
        <v>1335</v>
      </c>
      <c r="AS1496" s="14" t="s">
        <v>3002</v>
      </c>
    </row>
    <row r="1497" spans="1:45" s="14" customFormat="1" x14ac:dyDescent="0.2">
      <c r="A1497" s="14" t="s">
        <v>1326</v>
      </c>
      <c r="B1497" s="15" t="s">
        <v>1146</v>
      </c>
      <c r="C1497" s="15" t="s">
        <v>1149</v>
      </c>
      <c r="D1497" s="14" t="s">
        <v>1346</v>
      </c>
      <c r="E1497" s="14" t="s">
        <v>1347</v>
      </c>
      <c r="G1497" s="15" t="s">
        <v>1165</v>
      </c>
      <c r="H1497" s="14" t="s">
        <v>1165</v>
      </c>
      <c r="I1497" s="14" t="s">
        <v>1328</v>
      </c>
      <c r="J1497" s="14" t="s">
        <v>1337</v>
      </c>
      <c r="K1497" s="14" t="s">
        <v>1338</v>
      </c>
      <c r="L1497" s="14">
        <v>2000</v>
      </c>
      <c r="M1497" s="14" t="s">
        <v>1327</v>
      </c>
      <c r="O1497" s="14">
        <v>2005</v>
      </c>
      <c r="P1497" s="14">
        <v>2005</v>
      </c>
      <c r="Q1497" s="14" t="s">
        <v>1329</v>
      </c>
      <c r="R1497" s="14">
        <v>10</v>
      </c>
      <c r="T1497" s="14" t="s">
        <v>1330</v>
      </c>
      <c r="U1497" s="14" t="s">
        <v>1341</v>
      </c>
      <c r="V1497" s="12"/>
      <c r="W1497" s="14">
        <v>35</v>
      </c>
      <c r="X1497" s="12" t="s">
        <v>1334</v>
      </c>
      <c r="Y1497" s="14" t="s">
        <v>2996</v>
      </c>
      <c r="Z1497" s="14">
        <v>0</v>
      </c>
      <c r="AD1497" s="14" t="s">
        <v>1165</v>
      </c>
      <c r="AF1497" s="14" t="s">
        <v>1165</v>
      </c>
      <c r="AI1497" s="14" t="s">
        <v>1165</v>
      </c>
      <c r="AJ1497" s="15" t="s">
        <v>1148</v>
      </c>
      <c r="AK1497" s="15">
        <v>0</v>
      </c>
      <c r="AP1497" s="15">
        <v>28</v>
      </c>
      <c r="AQ1497" s="14" t="s">
        <v>1336</v>
      </c>
      <c r="AR1497" s="15" t="s">
        <v>1335</v>
      </c>
      <c r="AS1497" s="14" t="s">
        <v>3002</v>
      </c>
    </row>
    <row r="1498" spans="1:45" s="14" customFormat="1" x14ac:dyDescent="0.2">
      <c r="A1498" s="14" t="s">
        <v>1326</v>
      </c>
      <c r="B1498" s="15" t="s">
        <v>1146</v>
      </c>
      <c r="C1498" s="15" t="s">
        <v>1149</v>
      </c>
      <c r="D1498" s="14" t="s">
        <v>1346</v>
      </c>
      <c r="E1498" s="14" t="s">
        <v>1347</v>
      </c>
      <c r="G1498" s="15" t="s">
        <v>1165</v>
      </c>
      <c r="H1498" s="14" t="s">
        <v>1165</v>
      </c>
      <c r="I1498" s="14" t="s">
        <v>1328</v>
      </c>
      <c r="J1498" s="14" t="s">
        <v>1337</v>
      </c>
      <c r="K1498" s="14" t="s">
        <v>1338</v>
      </c>
      <c r="L1498" s="14">
        <v>2000</v>
      </c>
      <c r="M1498" s="14" t="s">
        <v>1327</v>
      </c>
      <c r="O1498" s="14">
        <v>2005</v>
      </c>
      <c r="P1498" s="14">
        <v>2005</v>
      </c>
      <c r="Q1498" s="14" t="s">
        <v>1329</v>
      </c>
      <c r="R1498" s="14">
        <v>10</v>
      </c>
      <c r="T1498" s="14" t="s">
        <v>1330</v>
      </c>
      <c r="U1498" s="14" t="s">
        <v>1341</v>
      </c>
      <c r="V1498" s="12"/>
      <c r="W1498" s="14">
        <v>70</v>
      </c>
      <c r="X1498" s="12" t="s">
        <v>1333</v>
      </c>
      <c r="Y1498" s="14" t="s">
        <v>2997</v>
      </c>
      <c r="Z1498" s="14">
        <v>12</v>
      </c>
      <c r="AD1498" s="14" t="s">
        <v>1165</v>
      </c>
      <c r="AF1498" s="14" t="s">
        <v>1165</v>
      </c>
      <c r="AI1498" s="14" t="s">
        <v>1165</v>
      </c>
      <c r="AJ1498" s="15" t="s">
        <v>1148</v>
      </c>
      <c r="AK1498" s="15">
        <v>0</v>
      </c>
      <c r="AP1498" s="15">
        <v>28</v>
      </c>
      <c r="AQ1498" s="14" t="s">
        <v>1336</v>
      </c>
      <c r="AR1498" s="15" t="s">
        <v>1335</v>
      </c>
      <c r="AS1498" s="14" t="s">
        <v>3002</v>
      </c>
    </row>
    <row r="1499" spans="1:45" s="14" customFormat="1" x14ac:dyDescent="0.2">
      <c r="A1499" s="14" t="s">
        <v>1326</v>
      </c>
      <c r="B1499" s="15" t="s">
        <v>1146</v>
      </c>
      <c r="C1499" s="15" t="s">
        <v>1149</v>
      </c>
      <c r="D1499" s="14" t="s">
        <v>1346</v>
      </c>
      <c r="E1499" s="14" t="s">
        <v>1347</v>
      </c>
      <c r="G1499" s="15" t="s">
        <v>1165</v>
      </c>
      <c r="H1499" s="14" t="s">
        <v>1165</v>
      </c>
      <c r="I1499" s="14" t="s">
        <v>1328</v>
      </c>
      <c r="J1499" s="14" t="s">
        <v>1337</v>
      </c>
      <c r="K1499" s="14" t="s">
        <v>1338</v>
      </c>
      <c r="L1499" s="14">
        <v>2000</v>
      </c>
      <c r="M1499" s="14" t="s">
        <v>1327</v>
      </c>
      <c r="O1499" s="14">
        <v>2005</v>
      </c>
      <c r="P1499" s="14">
        <v>2005</v>
      </c>
      <c r="Q1499" s="14" t="s">
        <v>1329</v>
      </c>
      <c r="R1499" s="14">
        <v>10</v>
      </c>
      <c r="T1499" s="14" t="s">
        <v>1330</v>
      </c>
      <c r="U1499" s="14" t="s">
        <v>1341</v>
      </c>
      <c r="V1499" s="12"/>
      <c r="W1499" s="14">
        <v>70</v>
      </c>
      <c r="X1499" s="12" t="s">
        <v>1264</v>
      </c>
      <c r="Y1499" s="14" t="s">
        <v>2997</v>
      </c>
      <c r="Z1499" s="14">
        <v>12</v>
      </c>
      <c r="AD1499" s="14" t="s">
        <v>1165</v>
      </c>
      <c r="AF1499" s="14" t="s">
        <v>1165</v>
      </c>
      <c r="AI1499" s="14" t="s">
        <v>1165</v>
      </c>
      <c r="AJ1499" s="15" t="s">
        <v>1148</v>
      </c>
      <c r="AK1499" s="15">
        <v>0</v>
      </c>
      <c r="AP1499" s="15">
        <v>28</v>
      </c>
      <c r="AQ1499" s="14" t="s">
        <v>1336</v>
      </c>
      <c r="AR1499" s="15" t="s">
        <v>1335</v>
      </c>
      <c r="AS1499" s="14" t="s">
        <v>3002</v>
      </c>
    </row>
    <row r="1500" spans="1:45" s="14" customFormat="1" x14ac:dyDescent="0.2">
      <c r="A1500" s="14" t="s">
        <v>1326</v>
      </c>
      <c r="B1500" s="15" t="s">
        <v>1146</v>
      </c>
      <c r="C1500" s="15" t="s">
        <v>1149</v>
      </c>
      <c r="D1500" s="14" t="s">
        <v>1346</v>
      </c>
      <c r="E1500" s="14" t="s">
        <v>1347</v>
      </c>
      <c r="G1500" s="15" t="s">
        <v>1165</v>
      </c>
      <c r="H1500" s="14" t="s">
        <v>1165</v>
      </c>
      <c r="I1500" s="14" t="s">
        <v>1328</v>
      </c>
      <c r="J1500" s="14" t="s">
        <v>1337</v>
      </c>
      <c r="K1500" s="14" t="s">
        <v>1338</v>
      </c>
      <c r="L1500" s="14">
        <v>2000</v>
      </c>
      <c r="M1500" s="14" t="s">
        <v>1327</v>
      </c>
      <c r="O1500" s="14">
        <v>2005</v>
      </c>
      <c r="P1500" s="14">
        <v>2005</v>
      </c>
      <c r="Q1500" s="14" t="s">
        <v>1329</v>
      </c>
      <c r="R1500" s="14">
        <v>10</v>
      </c>
      <c r="T1500" s="14" t="s">
        <v>1330</v>
      </c>
      <c r="U1500" s="14" t="s">
        <v>1341</v>
      </c>
      <c r="V1500" s="12"/>
      <c r="W1500" s="14">
        <v>70</v>
      </c>
      <c r="X1500" s="12" t="s">
        <v>1261</v>
      </c>
      <c r="Y1500" s="14" t="s">
        <v>2997</v>
      </c>
      <c r="Z1500" s="14">
        <v>12</v>
      </c>
      <c r="AD1500" s="14" t="s">
        <v>1165</v>
      </c>
      <c r="AF1500" s="14" t="s">
        <v>1165</v>
      </c>
      <c r="AI1500" s="14" t="s">
        <v>1165</v>
      </c>
      <c r="AJ1500" s="15" t="s">
        <v>1148</v>
      </c>
      <c r="AK1500" s="15">
        <v>0</v>
      </c>
      <c r="AP1500" s="15">
        <v>28</v>
      </c>
      <c r="AQ1500" s="14" t="s">
        <v>1336</v>
      </c>
      <c r="AR1500" s="15" t="s">
        <v>1335</v>
      </c>
      <c r="AS1500" s="14" t="s">
        <v>3002</v>
      </c>
    </row>
    <row r="1501" spans="1:45" s="14" customFormat="1" x14ac:dyDescent="0.2">
      <c r="A1501" s="14" t="s">
        <v>1326</v>
      </c>
      <c r="B1501" s="15" t="s">
        <v>1146</v>
      </c>
      <c r="C1501" s="15" t="s">
        <v>1149</v>
      </c>
      <c r="D1501" s="14" t="s">
        <v>1346</v>
      </c>
      <c r="E1501" s="14" t="s">
        <v>1347</v>
      </c>
      <c r="G1501" s="15" t="s">
        <v>1165</v>
      </c>
      <c r="H1501" s="14" t="s">
        <v>1165</v>
      </c>
      <c r="I1501" s="14" t="s">
        <v>1328</v>
      </c>
      <c r="J1501" s="14" t="s">
        <v>1337</v>
      </c>
      <c r="K1501" s="14" t="s">
        <v>1338</v>
      </c>
      <c r="L1501" s="14">
        <v>2000</v>
      </c>
      <c r="M1501" s="14" t="s">
        <v>1327</v>
      </c>
      <c r="O1501" s="14">
        <v>2005</v>
      </c>
      <c r="P1501" s="14">
        <v>2005</v>
      </c>
      <c r="Q1501" s="14" t="s">
        <v>1329</v>
      </c>
      <c r="R1501" s="14">
        <v>10</v>
      </c>
      <c r="T1501" s="14" t="s">
        <v>1330</v>
      </c>
      <c r="U1501" s="14" t="s">
        <v>1341</v>
      </c>
      <c r="V1501" s="12"/>
      <c r="W1501" s="14">
        <v>70</v>
      </c>
      <c r="X1501" s="12" t="s">
        <v>1334</v>
      </c>
      <c r="Y1501" s="14" t="s">
        <v>2997</v>
      </c>
      <c r="Z1501" s="14">
        <v>12</v>
      </c>
      <c r="AD1501" s="14" t="s">
        <v>1165</v>
      </c>
      <c r="AF1501" s="14" t="s">
        <v>1165</v>
      </c>
      <c r="AI1501" s="14" t="s">
        <v>1165</v>
      </c>
      <c r="AJ1501" s="15" t="s">
        <v>1148</v>
      </c>
      <c r="AK1501" s="15">
        <v>0</v>
      </c>
      <c r="AP1501" s="15">
        <v>28</v>
      </c>
      <c r="AQ1501" s="14" t="s">
        <v>1336</v>
      </c>
      <c r="AR1501" s="15" t="s">
        <v>1335</v>
      </c>
      <c r="AS1501" s="14" t="s">
        <v>3002</v>
      </c>
    </row>
    <row r="1502" spans="1:45" s="14" customFormat="1" x14ac:dyDescent="0.2">
      <c r="A1502" s="14" t="s">
        <v>1326</v>
      </c>
      <c r="B1502" s="15" t="s">
        <v>1146</v>
      </c>
      <c r="C1502" s="15" t="s">
        <v>1149</v>
      </c>
      <c r="D1502" s="14" t="s">
        <v>1346</v>
      </c>
      <c r="E1502" s="14" t="s">
        <v>1347</v>
      </c>
      <c r="G1502" s="15" t="s">
        <v>1165</v>
      </c>
      <c r="H1502" s="14" t="s">
        <v>1165</v>
      </c>
      <c r="I1502" s="14" t="s">
        <v>1328</v>
      </c>
      <c r="J1502" s="14" t="s">
        <v>1337</v>
      </c>
      <c r="K1502" s="14" t="s">
        <v>1338</v>
      </c>
      <c r="L1502" s="14">
        <v>2000</v>
      </c>
      <c r="M1502" s="14" t="s">
        <v>1327</v>
      </c>
      <c r="O1502" s="14">
        <v>2005</v>
      </c>
      <c r="P1502" s="14">
        <v>2005</v>
      </c>
      <c r="Q1502" s="14" t="s">
        <v>1329</v>
      </c>
      <c r="R1502" s="14">
        <v>10</v>
      </c>
      <c r="T1502" s="14" t="s">
        <v>1330</v>
      </c>
      <c r="U1502" s="14" t="s">
        <v>1341</v>
      </c>
      <c r="V1502" s="12"/>
      <c r="W1502" s="14">
        <v>70</v>
      </c>
      <c r="X1502" s="12" t="s">
        <v>1333</v>
      </c>
      <c r="Y1502" s="14" t="s">
        <v>2997</v>
      </c>
      <c r="Z1502" s="14">
        <v>0</v>
      </c>
      <c r="AD1502" s="14" t="s">
        <v>1165</v>
      </c>
      <c r="AF1502" s="14" t="s">
        <v>1165</v>
      </c>
      <c r="AI1502" s="14" t="s">
        <v>1165</v>
      </c>
      <c r="AJ1502" s="15" t="s">
        <v>1148</v>
      </c>
      <c r="AK1502" s="15">
        <v>0</v>
      </c>
      <c r="AP1502" s="15">
        <v>28</v>
      </c>
      <c r="AQ1502" s="14" t="s">
        <v>1336</v>
      </c>
      <c r="AR1502" s="15" t="s">
        <v>1335</v>
      </c>
      <c r="AS1502" s="14" t="s">
        <v>3002</v>
      </c>
    </row>
    <row r="1503" spans="1:45" s="14" customFormat="1" x14ac:dyDescent="0.2">
      <c r="A1503" s="14" t="s">
        <v>1326</v>
      </c>
      <c r="B1503" s="15" t="s">
        <v>1146</v>
      </c>
      <c r="C1503" s="15" t="s">
        <v>1149</v>
      </c>
      <c r="D1503" s="14" t="s">
        <v>1346</v>
      </c>
      <c r="E1503" s="14" t="s">
        <v>1347</v>
      </c>
      <c r="G1503" s="15" t="s">
        <v>1165</v>
      </c>
      <c r="H1503" s="14" t="s">
        <v>1165</v>
      </c>
      <c r="I1503" s="14" t="s">
        <v>1328</v>
      </c>
      <c r="J1503" s="14" t="s">
        <v>1337</v>
      </c>
      <c r="K1503" s="14" t="s">
        <v>1338</v>
      </c>
      <c r="L1503" s="14">
        <v>2000</v>
      </c>
      <c r="M1503" s="14" t="s">
        <v>1327</v>
      </c>
      <c r="O1503" s="14">
        <v>2005</v>
      </c>
      <c r="P1503" s="14">
        <v>2005</v>
      </c>
      <c r="Q1503" s="14" t="s">
        <v>1329</v>
      </c>
      <c r="R1503" s="14">
        <v>10</v>
      </c>
      <c r="T1503" s="14" t="s">
        <v>1330</v>
      </c>
      <c r="U1503" s="14" t="s">
        <v>1341</v>
      </c>
      <c r="V1503" s="12"/>
      <c r="W1503" s="14">
        <v>70</v>
      </c>
      <c r="X1503" s="12" t="s">
        <v>1264</v>
      </c>
      <c r="Y1503" s="14" t="s">
        <v>2997</v>
      </c>
      <c r="Z1503" s="14">
        <v>0</v>
      </c>
      <c r="AD1503" s="14" t="s">
        <v>1165</v>
      </c>
      <c r="AF1503" s="14" t="s">
        <v>1165</v>
      </c>
      <c r="AI1503" s="14" t="s">
        <v>1165</v>
      </c>
      <c r="AJ1503" s="15" t="s">
        <v>1148</v>
      </c>
      <c r="AK1503" s="15">
        <v>0</v>
      </c>
      <c r="AP1503" s="15">
        <v>28</v>
      </c>
      <c r="AQ1503" s="14" t="s">
        <v>1336</v>
      </c>
      <c r="AR1503" s="15" t="s">
        <v>1335</v>
      </c>
      <c r="AS1503" s="14" t="s">
        <v>3002</v>
      </c>
    </row>
    <row r="1504" spans="1:45" s="14" customFormat="1" x14ac:dyDescent="0.2">
      <c r="A1504" s="14" t="s">
        <v>1326</v>
      </c>
      <c r="B1504" s="15" t="s">
        <v>1146</v>
      </c>
      <c r="C1504" s="15" t="s">
        <v>1149</v>
      </c>
      <c r="D1504" s="14" t="s">
        <v>1346</v>
      </c>
      <c r="E1504" s="14" t="s">
        <v>1347</v>
      </c>
      <c r="G1504" s="15" t="s">
        <v>1165</v>
      </c>
      <c r="H1504" s="14" t="s">
        <v>1165</v>
      </c>
      <c r="I1504" s="14" t="s">
        <v>1328</v>
      </c>
      <c r="J1504" s="14" t="s">
        <v>1337</v>
      </c>
      <c r="K1504" s="14" t="s">
        <v>1338</v>
      </c>
      <c r="L1504" s="14">
        <v>2000</v>
      </c>
      <c r="M1504" s="14" t="s">
        <v>1327</v>
      </c>
      <c r="O1504" s="14">
        <v>2005</v>
      </c>
      <c r="P1504" s="14">
        <v>2005</v>
      </c>
      <c r="Q1504" s="14" t="s">
        <v>1329</v>
      </c>
      <c r="R1504" s="14">
        <v>10</v>
      </c>
      <c r="T1504" s="14" t="s">
        <v>1330</v>
      </c>
      <c r="U1504" s="14" t="s">
        <v>1341</v>
      </c>
      <c r="V1504" s="12"/>
      <c r="W1504" s="14">
        <v>70</v>
      </c>
      <c r="X1504" s="12" t="s">
        <v>1261</v>
      </c>
      <c r="Y1504" s="14" t="s">
        <v>2997</v>
      </c>
      <c r="Z1504" s="14">
        <v>0</v>
      </c>
      <c r="AD1504" s="14" t="s">
        <v>1165</v>
      </c>
      <c r="AF1504" s="14" t="s">
        <v>1165</v>
      </c>
      <c r="AI1504" s="14" t="s">
        <v>1165</v>
      </c>
      <c r="AJ1504" s="15" t="s">
        <v>1148</v>
      </c>
      <c r="AK1504" s="15">
        <v>0</v>
      </c>
      <c r="AP1504" s="15">
        <v>28</v>
      </c>
      <c r="AQ1504" s="14" t="s">
        <v>1336</v>
      </c>
      <c r="AR1504" s="15" t="s">
        <v>1335</v>
      </c>
      <c r="AS1504" s="14" t="s">
        <v>3002</v>
      </c>
    </row>
    <row r="1505" spans="1:45" s="14" customFormat="1" x14ac:dyDescent="0.2">
      <c r="A1505" s="14" t="s">
        <v>1326</v>
      </c>
      <c r="B1505" s="15" t="s">
        <v>1146</v>
      </c>
      <c r="C1505" s="15" t="s">
        <v>1149</v>
      </c>
      <c r="D1505" s="14" t="s">
        <v>1346</v>
      </c>
      <c r="E1505" s="14" t="s">
        <v>1347</v>
      </c>
      <c r="G1505" s="15" t="s">
        <v>1165</v>
      </c>
      <c r="H1505" s="14" t="s">
        <v>1165</v>
      </c>
      <c r="I1505" s="14" t="s">
        <v>1328</v>
      </c>
      <c r="J1505" s="14" t="s">
        <v>1337</v>
      </c>
      <c r="K1505" s="14" t="s">
        <v>1338</v>
      </c>
      <c r="L1505" s="14">
        <v>2000</v>
      </c>
      <c r="M1505" s="14" t="s">
        <v>1327</v>
      </c>
      <c r="O1505" s="14">
        <v>2005</v>
      </c>
      <c r="P1505" s="14">
        <v>2005</v>
      </c>
      <c r="Q1505" s="14" t="s">
        <v>1329</v>
      </c>
      <c r="R1505" s="14">
        <v>10</v>
      </c>
      <c r="T1505" s="14" t="s">
        <v>1330</v>
      </c>
      <c r="U1505" s="14" t="s">
        <v>1341</v>
      </c>
      <c r="V1505" s="12"/>
      <c r="W1505" s="14">
        <v>70</v>
      </c>
      <c r="X1505" s="12" t="s">
        <v>1334</v>
      </c>
      <c r="Y1505" s="14" t="s">
        <v>2997</v>
      </c>
      <c r="Z1505" s="14">
        <v>0</v>
      </c>
      <c r="AD1505" s="14" t="s">
        <v>1165</v>
      </c>
      <c r="AF1505" s="14" t="s">
        <v>1165</v>
      </c>
      <c r="AI1505" s="14" t="s">
        <v>1165</v>
      </c>
      <c r="AJ1505" s="15" t="s">
        <v>1148</v>
      </c>
      <c r="AK1505" s="15">
        <v>0</v>
      </c>
      <c r="AP1505" s="15">
        <v>28</v>
      </c>
      <c r="AQ1505" s="14" t="s">
        <v>1336</v>
      </c>
      <c r="AR1505" s="15" t="s">
        <v>1335</v>
      </c>
      <c r="AS1505" s="14" t="s">
        <v>3002</v>
      </c>
    </row>
    <row r="1506" spans="1:45" s="14" customFormat="1" x14ac:dyDescent="0.2">
      <c r="A1506" s="14" t="s">
        <v>1326</v>
      </c>
      <c r="B1506" s="15" t="s">
        <v>1146</v>
      </c>
      <c r="C1506" s="15" t="s">
        <v>1149</v>
      </c>
      <c r="D1506" s="14" t="s">
        <v>1346</v>
      </c>
      <c r="E1506" s="14" t="s">
        <v>1347</v>
      </c>
      <c r="G1506" s="15" t="s">
        <v>1165</v>
      </c>
      <c r="H1506" s="14" t="s">
        <v>1165</v>
      </c>
      <c r="I1506" s="14" t="s">
        <v>1328</v>
      </c>
      <c r="J1506" s="14" t="s">
        <v>1337</v>
      </c>
      <c r="K1506" s="14" t="s">
        <v>1338</v>
      </c>
      <c r="L1506" s="14">
        <v>2000</v>
      </c>
      <c r="M1506" s="14" t="s">
        <v>1327</v>
      </c>
      <c r="O1506" s="14">
        <v>2005</v>
      </c>
      <c r="P1506" s="14">
        <v>2005</v>
      </c>
      <c r="Q1506" s="14" t="s">
        <v>1329</v>
      </c>
      <c r="R1506" s="14">
        <v>10</v>
      </c>
      <c r="T1506" s="14" t="s">
        <v>1330</v>
      </c>
      <c r="U1506" s="14" t="s">
        <v>1341</v>
      </c>
      <c r="V1506" s="12"/>
      <c r="W1506" s="14">
        <v>140</v>
      </c>
      <c r="X1506" s="12" t="s">
        <v>1333</v>
      </c>
      <c r="Y1506" s="14" t="s">
        <v>2998</v>
      </c>
      <c r="Z1506" s="14">
        <v>12</v>
      </c>
      <c r="AD1506" s="14" t="s">
        <v>1165</v>
      </c>
      <c r="AF1506" s="14" t="s">
        <v>1165</v>
      </c>
      <c r="AI1506" s="14" t="s">
        <v>1165</v>
      </c>
      <c r="AJ1506" s="15" t="s">
        <v>1148</v>
      </c>
      <c r="AK1506" s="15">
        <v>0</v>
      </c>
      <c r="AP1506" s="15">
        <v>28</v>
      </c>
      <c r="AQ1506" s="14" t="s">
        <v>1336</v>
      </c>
      <c r="AR1506" s="15" t="s">
        <v>1335</v>
      </c>
      <c r="AS1506" s="14" t="s">
        <v>3002</v>
      </c>
    </row>
    <row r="1507" spans="1:45" s="14" customFormat="1" x14ac:dyDescent="0.2">
      <c r="A1507" s="14" t="s">
        <v>1326</v>
      </c>
      <c r="B1507" s="15" t="s">
        <v>1146</v>
      </c>
      <c r="C1507" s="15" t="s">
        <v>1149</v>
      </c>
      <c r="D1507" s="14" t="s">
        <v>1346</v>
      </c>
      <c r="E1507" s="14" t="s">
        <v>1347</v>
      </c>
      <c r="G1507" s="15" t="s">
        <v>1165</v>
      </c>
      <c r="H1507" s="14" t="s">
        <v>1165</v>
      </c>
      <c r="I1507" s="14" t="s">
        <v>1328</v>
      </c>
      <c r="J1507" s="14" t="s">
        <v>1337</v>
      </c>
      <c r="K1507" s="14" t="s">
        <v>1338</v>
      </c>
      <c r="L1507" s="14">
        <v>2000</v>
      </c>
      <c r="M1507" s="14" t="s">
        <v>1327</v>
      </c>
      <c r="O1507" s="14">
        <v>2005</v>
      </c>
      <c r="P1507" s="14">
        <v>2005</v>
      </c>
      <c r="Q1507" s="14" t="s">
        <v>1329</v>
      </c>
      <c r="R1507" s="14">
        <v>10</v>
      </c>
      <c r="T1507" s="14" t="s">
        <v>1330</v>
      </c>
      <c r="U1507" s="14" t="s">
        <v>1341</v>
      </c>
      <c r="V1507" s="12"/>
      <c r="W1507" s="14">
        <v>140</v>
      </c>
      <c r="X1507" s="12" t="s">
        <v>1264</v>
      </c>
      <c r="Y1507" s="14" t="s">
        <v>2998</v>
      </c>
      <c r="Z1507" s="14">
        <v>12</v>
      </c>
      <c r="AD1507" s="14" t="s">
        <v>1165</v>
      </c>
      <c r="AF1507" s="14" t="s">
        <v>1165</v>
      </c>
      <c r="AI1507" s="14" t="s">
        <v>1165</v>
      </c>
      <c r="AJ1507" s="15" t="s">
        <v>1148</v>
      </c>
      <c r="AK1507" s="15">
        <v>0</v>
      </c>
      <c r="AP1507" s="15">
        <v>28</v>
      </c>
      <c r="AQ1507" s="14" t="s">
        <v>1336</v>
      </c>
      <c r="AR1507" s="15" t="s">
        <v>1335</v>
      </c>
      <c r="AS1507" s="14" t="s">
        <v>3002</v>
      </c>
    </row>
    <row r="1508" spans="1:45" s="14" customFormat="1" x14ac:dyDescent="0.2">
      <c r="A1508" s="14" t="s">
        <v>1326</v>
      </c>
      <c r="B1508" s="15" t="s">
        <v>1146</v>
      </c>
      <c r="C1508" s="15" t="s">
        <v>1149</v>
      </c>
      <c r="D1508" s="14" t="s">
        <v>1346</v>
      </c>
      <c r="E1508" s="14" t="s">
        <v>1347</v>
      </c>
      <c r="G1508" s="15" t="s">
        <v>1165</v>
      </c>
      <c r="H1508" s="14" t="s">
        <v>1165</v>
      </c>
      <c r="I1508" s="14" t="s">
        <v>1328</v>
      </c>
      <c r="J1508" s="14" t="s">
        <v>1337</v>
      </c>
      <c r="K1508" s="14" t="s">
        <v>1338</v>
      </c>
      <c r="L1508" s="14">
        <v>2000</v>
      </c>
      <c r="M1508" s="14" t="s">
        <v>1327</v>
      </c>
      <c r="O1508" s="14">
        <v>2005</v>
      </c>
      <c r="P1508" s="14">
        <v>2005</v>
      </c>
      <c r="Q1508" s="14" t="s">
        <v>1329</v>
      </c>
      <c r="R1508" s="14">
        <v>10</v>
      </c>
      <c r="T1508" s="14" t="s">
        <v>1330</v>
      </c>
      <c r="U1508" s="14" t="s">
        <v>1341</v>
      </c>
      <c r="V1508" s="12"/>
      <c r="W1508" s="14">
        <v>140</v>
      </c>
      <c r="X1508" s="12" t="s">
        <v>1261</v>
      </c>
      <c r="Y1508" s="14" t="s">
        <v>2998</v>
      </c>
      <c r="Z1508" s="14">
        <v>12</v>
      </c>
      <c r="AD1508" s="14" t="s">
        <v>1165</v>
      </c>
      <c r="AF1508" s="14" t="s">
        <v>1165</v>
      </c>
      <c r="AI1508" s="14" t="s">
        <v>1165</v>
      </c>
      <c r="AJ1508" s="15" t="s">
        <v>1148</v>
      </c>
      <c r="AK1508" s="15">
        <v>0</v>
      </c>
      <c r="AP1508" s="15">
        <v>28</v>
      </c>
      <c r="AQ1508" s="14" t="s">
        <v>1336</v>
      </c>
      <c r="AR1508" s="15" t="s">
        <v>1335</v>
      </c>
      <c r="AS1508" s="14" t="s">
        <v>3002</v>
      </c>
    </row>
    <row r="1509" spans="1:45" s="14" customFormat="1" x14ac:dyDescent="0.2">
      <c r="A1509" s="14" t="s">
        <v>1326</v>
      </c>
      <c r="B1509" s="15" t="s">
        <v>1146</v>
      </c>
      <c r="C1509" s="15" t="s">
        <v>1149</v>
      </c>
      <c r="D1509" s="14" t="s">
        <v>1346</v>
      </c>
      <c r="E1509" s="14" t="s">
        <v>1347</v>
      </c>
      <c r="G1509" s="15" t="s">
        <v>1165</v>
      </c>
      <c r="H1509" s="14" t="s">
        <v>1165</v>
      </c>
      <c r="I1509" s="14" t="s">
        <v>1328</v>
      </c>
      <c r="J1509" s="14" t="s">
        <v>1337</v>
      </c>
      <c r="K1509" s="14" t="s">
        <v>1338</v>
      </c>
      <c r="L1509" s="14">
        <v>2000</v>
      </c>
      <c r="M1509" s="14" t="s">
        <v>1327</v>
      </c>
      <c r="O1509" s="14">
        <v>2005</v>
      </c>
      <c r="P1509" s="14">
        <v>2005</v>
      </c>
      <c r="Q1509" s="14" t="s">
        <v>1329</v>
      </c>
      <c r="R1509" s="14">
        <v>10</v>
      </c>
      <c r="T1509" s="14" t="s">
        <v>1330</v>
      </c>
      <c r="U1509" s="14" t="s">
        <v>1341</v>
      </c>
      <c r="V1509" s="12"/>
      <c r="W1509" s="14">
        <v>140</v>
      </c>
      <c r="X1509" s="12" t="s">
        <v>1334</v>
      </c>
      <c r="Y1509" s="14" t="s">
        <v>2998</v>
      </c>
      <c r="Z1509" s="14">
        <v>12</v>
      </c>
      <c r="AD1509" s="14" t="s">
        <v>1165</v>
      </c>
      <c r="AF1509" s="14" t="s">
        <v>1165</v>
      </c>
      <c r="AI1509" s="14" t="s">
        <v>1165</v>
      </c>
      <c r="AJ1509" s="15" t="s">
        <v>1148</v>
      </c>
      <c r="AK1509" s="15">
        <v>0</v>
      </c>
      <c r="AP1509" s="15">
        <v>28</v>
      </c>
      <c r="AQ1509" s="14" t="s">
        <v>1336</v>
      </c>
      <c r="AR1509" s="15" t="s">
        <v>1335</v>
      </c>
      <c r="AS1509" s="14" t="s">
        <v>3002</v>
      </c>
    </row>
    <row r="1510" spans="1:45" s="14" customFormat="1" x14ac:dyDescent="0.2">
      <c r="A1510" s="14" t="s">
        <v>1326</v>
      </c>
      <c r="B1510" s="15" t="s">
        <v>1146</v>
      </c>
      <c r="C1510" s="15" t="s">
        <v>1149</v>
      </c>
      <c r="D1510" s="14" t="s">
        <v>1346</v>
      </c>
      <c r="E1510" s="14" t="s">
        <v>1347</v>
      </c>
      <c r="G1510" s="15" t="s">
        <v>1165</v>
      </c>
      <c r="H1510" s="14" t="s">
        <v>1165</v>
      </c>
      <c r="I1510" s="14" t="s">
        <v>1328</v>
      </c>
      <c r="J1510" s="14" t="s">
        <v>1337</v>
      </c>
      <c r="K1510" s="14" t="s">
        <v>1338</v>
      </c>
      <c r="L1510" s="14">
        <v>2000</v>
      </c>
      <c r="M1510" s="14" t="s">
        <v>1327</v>
      </c>
      <c r="O1510" s="14">
        <v>2005</v>
      </c>
      <c r="P1510" s="14">
        <v>2005</v>
      </c>
      <c r="Q1510" s="14" t="s">
        <v>1329</v>
      </c>
      <c r="R1510" s="14">
        <v>10</v>
      </c>
      <c r="T1510" s="14" t="s">
        <v>1330</v>
      </c>
      <c r="U1510" s="14" t="s">
        <v>1341</v>
      </c>
      <c r="V1510" s="12"/>
      <c r="W1510" s="14">
        <v>140</v>
      </c>
      <c r="X1510" s="12" t="s">
        <v>1333</v>
      </c>
      <c r="Y1510" s="14" t="s">
        <v>2998</v>
      </c>
      <c r="Z1510" s="14">
        <v>0</v>
      </c>
      <c r="AD1510" s="14" t="s">
        <v>1165</v>
      </c>
      <c r="AF1510" s="14" t="s">
        <v>1165</v>
      </c>
      <c r="AI1510" s="14" t="s">
        <v>1165</v>
      </c>
      <c r="AJ1510" s="15" t="s">
        <v>1148</v>
      </c>
      <c r="AK1510" s="15">
        <v>0</v>
      </c>
      <c r="AP1510" s="15">
        <v>28</v>
      </c>
      <c r="AQ1510" s="14" t="s">
        <v>1336</v>
      </c>
      <c r="AR1510" s="15" t="s">
        <v>1335</v>
      </c>
      <c r="AS1510" s="14" t="s">
        <v>3002</v>
      </c>
    </row>
    <row r="1511" spans="1:45" s="14" customFormat="1" x14ac:dyDescent="0.2">
      <c r="A1511" s="14" t="s">
        <v>1326</v>
      </c>
      <c r="B1511" s="15" t="s">
        <v>1146</v>
      </c>
      <c r="C1511" s="15" t="s">
        <v>1149</v>
      </c>
      <c r="D1511" s="14" t="s">
        <v>1346</v>
      </c>
      <c r="E1511" s="14" t="s">
        <v>1347</v>
      </c>
      <c r="G1511" s="15" t="s">
        <v>1165</v>
      </c>
      <c r="H1511" s="14" t="s">
        <v>1165</v>
      </c>
      <c r="I1511" s="14" t="s">
        <v>1328</v>
      </c>
      <c r="J1511" s="14" t="s">
        <v>1337</v>
      </c>
      <c r="K1511" s="14" t="s">
        <v>1338</v>
      </c>
      <c r="L1511" s="14">
        <v>2000</v>
      </c>
      <c r="M1511" s="14" t="s">
        <v>1327</v>
      </c>
      <c r="O1511" s="14">
        <v>2005</v>
      </c>
      <c r="P1511" s="14">
        <v>2005</v>
      </c>
      <c r="Q1511" s="14" t="s">
        <v>1329</v>
      </c>
      <c r="R1511" s="14">
        <v>10</v>
      </c>
      <c r="T1511" s="14" t="s">
        <v>1330</v>
      </c>
      <c r="U1511" s="14" t="s">
        <v>1341</v>
      </c>
      <c r="V1511" s="12"/>
      <c r="W1511" s="14">
        <v>140</v>
      </c>
      <c r="X1511" s="12" t="s">
        <v>1264</v>
      </c>
      <c r="Y1511" s="14" t="s">
        <v>2998</v>
      </c>
      <c r="Z1511" s="14">
        <v>0</v>
      </c>
      <c r="AD1511" s="14" t="s">
        <v>1165</v>
      </c>
      <c r="AF1511" s="14" t="s">
        <v>1165</v>
      </c>
      <c r="AI1511" s="14" t="s">
        <v>1165</v>
      </c>
      <c r="AJ1511" s="15" t="s">
        <v>1148</v>
      </c>
      <c r="AK1511" s="15">
        <v>0</v>
      </c>
      <c r="AP1511" s="15">
        <v>28</v>
      </c>
      <c r="AQ1511" s="14" t="s">
        <v>1336</v>
      </c>
      <c r="AR1511" s="15" t="s">
        <v>1335</v>
      </c>
      <c r="AS1511" s="14" t="s">
        <v>3002</v>
      </c>
    </row>
    <row r="1512" spans="1:45" s="14" customFormat="1" x14ac:dyDescent="0.2">
      <c r="A1512" s="14" t="s">
        <v>1326</v>
      </c>
      <c r="B1512" s="15" t="s">
        <v>1146</v>
      </c>
      <c r="C1512" s="15" t="s">
        <v>1149</v>
      </c>
      <c r="D1512" s="14" t="s">
        <v>1346</v>
      </c>
      <c r="E1512" s="14" t="s">
        <v>1347</v>
      </c>
      <c r="G1512" s="15" t="s">
        <v>1165</v>
      </c>
      <c r="H1512" s="14" t="s">
        <v>1165</v>
      </c>
      <c r="I1512" s="14" t="s">
        <v>1328</v>
      </c>
      <c r="J1512" s="14" t="s">
        <v>1337</v>
      </c>
      <c r="K1512" s="14" t="s">
        <v>1338</v>
      </c>
      <c r="L1512" s="14">
        <v>2000</v>
      </c>
      <c r="M1512" s="14" t="s">
        <v>1327</v>
      </c>
      <c r="O1512" s="14">
        <v>2005</v>
      </c>
      <c r="P1512" s="14">
        <v>2005</v>
      </c>
      <c r="Q1512" s="14" t="s">
        <v>1329</v>
      </c>
      <c r="R1512" s="14">
        <v>10</v>
      </c>
      <c r="T1512" s="14" t="s">
        <v>1330</v>
      </c>
      <c r="U1512" s="14" t="s">
        <v>1341</v>
      </c>
      <c r="V1512" s="12"/>
      <c r="W1512" s="14">
        <v>140</v>
      </c>
      <c r="X1512" s="12" t="s">
        <v>1261</v>
      </c>
      <c r="Y1512" s="14" t="s">
        <v>2998</v>
      </c>
      <c r="Z1512" s="14">
        <v>0</v>
      </c>
      <c r="AD1512" s="14" t="s">
        <v>1165</v>
      </c>
      <c r="AF1512" s="14" t="s">
        <v>1165</v>
      </c>
      <c r="AI1512" s="14" t="s">
        <v>1165</v>
      </c>
      <c r="AJ1512" s="15" t="s">
        <v>1148</v>
      </c>
      <c r="AK1512" s="15">
        <v>0</v>
      </c>
      <c r="AP1512" s="15">
        <v>28</v>
      </c>
      <c r="AQ1512" s="14" t="s">
        <v>1336</v>
      </c>
      <c r="AR1512" s="15" t="s">
        <v>1335</v>
      </c>
      <c r="AS1512" s="14" t="s">
        <v>3002</v>
      </c>
    </row>
    <row r="1513" spans="1:45" s="14" customFormat="1" x14ac:dyDescent="0.2">
      <c r="A1513" s="14" t="s">
        <v>1326</v>
      </c>
      <c r="B1513" s="15" t="s">
        <v>1146</v>
      </c>
      <c r="C1513" s="15" t="s">
        <v>1149</v>
      </c>
      <c r="D1513" s="14" t="s">
        <v>1346</v>
      </c>
      <c r="E1513" s="14" t="s">
        <v>1347</v>
      </c>
      <c r="G1513" s="15" t="s">
        <v>1165</v>
      </c>
      <c r="H1513" s="14" t="s">
        <v>1165</v>
      </c>
      <c r="I1513" s="14" t="s">
        <v>1328</v>
      </c>
      <c r="J1513" s="14" t="s">
        <v>1337</v>
      </c>
      <c r="K1513" s="14" t="s">
        <v>1338</v>
      </c>
      <c r="L1513" s="14">
        <v>2000</v>
      </c>
      <c r="M1513" s="14" t="s">
        <v>1327</v>
      </c>
      <c r="O1513" s="14">
        <v>2005</v>
      </c>
      <c r="P1513" s="14">
        <v>2005</v>
      </c>
      <c r="Q1513" s="14" t="s">
        <v>1329</v>
      </c>
      <c r="R1513" s="14">
        <v>10</v>
      </c>
      <c r="T1513" s="14" t="s">
        <v>1330</v>
      </c>
      <c r="U1513" s="14" t="s">
        <v>1341</v>
      </c>
      <c r="V1513" s="12"/>
      <c r="W1513" s="14">
        <v>140</v>
      </c>
      <c r="X1513" s="12" t="s">
        <v>1334</v>
      </c>
      <c r="Y1513" s="14" t="s">
        <v>2998</v>
      </c>
      <c r="Z1513" s="14">
        <v>0</v>
      </c>
      <c r="AD1513" s="14" t="s">
        <v>1165</v>
      </c>
      <c r="AF1513" s="14" t="s">
        <v>1165</v>
      </c>
      <c r="AI1513" s="14" t="s">
        <v>1165</v>
      </c>
      <c r="AJ1513" s="15" t="s">
        <v>1148</v>
      </c>
      <c r="AK1513" s="15">
        <v>0</v>
      </c>
      <c r="AP1513" s="15">
        <v>28</v>
      </c>
      <c r="AQ1513" s="14" t="s">
        <v>1336</v>
      </c>
      <c r="AR1513" s="15" t="s">
        <v>1335</v>
      </c>
      <c r="AS1513" s="14" t="s">
        <v>3002</v>
      </c>
    </row>
    <row r="1514" spans="1:45" s="14" customFormat="1" x14ac:dyDescent="0.2">
      <c r="A1514" s="14" t="s">
        <v>1326</v>
      </c>
      <c r="B1514" s="15" t="s">
        <v>1146</v>
      </c>
      <c r="C1514" s="15" t="s">
        <v>1149</v>
      </c>
      <c r="D1514" s="14" t="s">
        <v>1346</v>
      </c>
      <c r="E1514" s="14" t="s">
        <v>1347</v>
      </c>
      <c r="G1514" s="15" t="s">
        <v>1165</v>
      </c>
      <c r="H1514" s="14" t="s">
        <v>1165</v>
      </c>
      <c r="I1514" s="14" t="s">
        <v>1328</v>
      </c>
      <c r="J1514" s="14" t="s">
        <v>1337</v>
      </c>
      <c r="K1514" s="14" t="s">
        <v>1338</v>
      </c>
      <c r="L1514" s="14">
        <v>2000</v>
      </c>
      <c r="M1514" s="14" t="s">
        <v>1327</v>
      </c>
      <c r="O1514" s="14">
        <v>2005</v>
      </c>
      <c r="P1514" s="14">
        <v>2005</v>
      </c>
      <c r="Q1514" s="14" t="s">
        <v>1329</v>
      </c>
      <c r="R1514" s="14">
        <v>10</v>
      </c>
      <c r="T1514" s="14" t="s">
        <v>1330</v>
      </c>
      <c r="U1514" s="14" t="s">
        <v>1341</v>
      </c>
      <c r="V1514" s="12"/>
      <c r="W1514" s="14">
        <v>210</v>
      </c>
      <c r="X1514" s="12" t="s">
        <v>1333</v>
      </c>
      <c r="Y1514" s="14" t="s">
        <v>2999</v>
      </c>
      <c r="Z1514" s="14">
        <v>12</v>
      </c>
      <c r="AD1514" s="14" t="s">
        <v>1165</v>
      </c>
      <c r="AF1514" s="14" t="s">
        <v>1165</v>
      </c>
      <c r="AI1514" s="14" t="s">
        <v>1165</v>
      </c>
      <c r="AJ1514" s="15" t="s">
        <v>1148</v>
      </c>
      <c r="AK1514" s="15">
        <v>0</v>
      </c>
      <c r="AP1514" s="15">
        <v>28</v>
      </c>
      <c r="AQ1514" s="14" t="s">
        <v>1336</v>
      </c>
      <c r="AR1514" s="15" t="s">
        <v>1335</v>
      </c>
      <c r="AS1514" s="14" t="s">
        <v>3002</v>
      </c>
    </row>
    <row r="1515" spans="1:45" s="14" customFormat="1" x14ac:dyDescent="0.2">
      <c r="A1515" s="14" t="s">
        <v>1326</v>
      </c>
      <c r="B1515" s="15" t="s">
        <v>1146</v>
      </c>
      <c r="C1515" s="15" t="s">
        <v>1149</v>
      </c>
      <c r="D1515" s="14" t="s">
        <v>1346</v>
      </c>
      <c r="E1515" s="14" t="s">
        <v>1347</v>
      </c>
      <c r="G1515" s="15" t="s">
        <v>1165</v>
      </c>
      <c r="H1515" s="14" t="s">
        <v>1165</v>
      </c>
      <c r="I1515" s="14" t="s">
        <v>1328</v>
      </c>
      <c r="J1515" s="14" t="s">
        <v>1337</v>
      </c>
      <c r="K1515" s="14" t="s">
        <v>1338</v>
      </c>
      <c r="L1515" s="14">
        <v>2000</v>
      </c>
      <c r="M1515" s="14" t="s">
        <v>1327</v>
      </c>
      <c r="O1515" s="14">
        <v>2005</v>
      </c>
      <c r="P1515" s="14">
        <v>2005</v>
      </c>
      <c r="Q1515" s="14" t="s">
        <v>1329</v>
      </c>
      <c r="R1515" s="14">
        <v>10</v>
      </c>
      <c r="T1515" s="14" t="s">
        <v>1330</v>
      </c>
      <c r="U1515" s="14" t="s">
        <v>1341</v>
      </c>
      <c r="V1515" s="12"/>
      <c r="W1515" s="14">
        <v>210</v>
      </c>
      <c r="X1515" s="12" t="s">
        <v>1264</v>
      </c>
      <c r="Y1515" s="14" t="s">
        <v>2999</v>
      </c>
      <c r="Z1515" s="14">
        <v>12</v>
      </c>
      <c r="AD1515" s="14" t="s">
        <v>1165</v>
      </c>
      <c r="AF1515" s="14" t="s">
        <v>1165</v>
      </c>
      <c r="AI1515" s="14" t="s">
        <v>1165</v>
      </c>
      <c r="AJ1515" s="15" t="s">
        <v>1148</v>
      </c>
      <c r="AK1515" s="15">
        <v>0</v>
      </c>
      <c r="AP1515" s="15">
        <v>28</v>
      </c>
      <c r="AQ1515" s="14" t="s">
        <v>1336</v>
      </c>
      <c r="AR1515" s="15" t="s">
        <v>1335</v>
      </c>
      <c r="AS1515" s="14" t="s">
        <v>3002</v>
      </c>
    </row>
    <row r="1516" spans="1:45" s="14" customFormat="1" x14ac:dyDescent="0.2">
      <c r="A1516" s="14" t="s">
        <v>1326</v>
      </c>
      <c r="B1516" s="15" t="s">
        <v>1146</v>
      </c>
      <c r="C1516" s="15" t="s">
        <v>1149</v>
      </c>
      <c r="D1516" s="14" t="s">
        <v>1346</v>
      </c>
      <c r="E1516" s="14" t="s">
        <v>1347</v>
      </c>
      <c r="G1516" s="15" t="s">
        <v>1165</v>
      </c>
      <c r="H1516" s="14" t="s">
        <v>1165</v>
      </c>
      <c r="I1516" s="14" t="s">
        <v>1328</v>
      </c>
      <c r="J1516" s="14" t="s">
        <v>1337</v>
      </c>
      <c r="K1516" s="14" t="s">
        <v>1338</v>
      </c>
      <c r="L1516" s="14">
        <v>2000</v>
      </c>
      <c r="M1516" s="14" t="s">
        <v>1327</v>
      </c>
      <c r="O1516" s="14">
        <v>2005</v>
      </c>
      <c r="P1516" s="14">
        <v>2005</v>
      </c>
      <c r="Q1516" s="14" t="s">
        <v>1329</v>
      </c>
      <c r="R1516" s="14">
        <v>10</v>
      </c>
      <c r="T1516" s="14" t="s">
        <v>1330</v>
      </c>
      <c r="U1516" s="14" t="s">
        <v>1341</v>
      </c>
      <c r="V1516" s="12"/>
      <c r="W1516" s="14">
        <v>210</v>
      </c>
      <c r="X1516" s="12" t="s">
        <v>1261</v>
      </c>
      <c r="Y1516" s="14" t="s">
        <v>2999</v>
      </c>
      <c r="Z1516" s="14">
        <v>12</v>
      </c>
      <c r="AD1516" s="14" t="s">
        <v>1165</v>
      </c>
      <c r="AF1516" s="14" t="s">
        <v>1165</v>
      </c>
      <c r="AI1516" s="14" t="s">
        <v>1165</v>
      </c>
      <c r="AJ1516" s="15" t="s">
        <v>1148</v>
      </c>
      <c r="AK1516" s="15">
        <v>0</v>
      </c>
      <c r="AP1516" s="15">
        <v>28</v>
      </c>
      <c r="AQ1516" s="14" t="s">
        <v>1336</v>
      </c>
      <c r="AR1516" s="15" t="s">
        <v>1335</v>
      </c>
      <c r="AS1516" s="14" t="s">
        <v>3002</v>
      </c>
    </row>
    <row r="1517" spans="1:45" s="14" customFormat="1" x14ac:dyDescent="0.2">
      <c r="A1517" s="14" t="s">
        <v>1326</v>
      </c>
      <c r="B1517" s="15" t="s">
        <v>1146</v>
      </c>
      <c r="C1517" s="15" t="s">
        <v>1149</v>
      </c>
      <c r="D1517" s="14" t="s">
        <v>1346</v>
      </c>
      <c r="E1517" s="14" t="s">
        <v>1347</v>
      </c>
      <c r="G1517" s="15" t="s">
        <v>1165</v>
      </c>
      <c r="H1517" s="14" t="s">
        <v>1165</v>
      </c>
      <c r="I1517" s="14" t="s">
        <v>1328</v>
      </c>
      <c r="J1517" s="14" t="s">
        <v>1337</v>
      </c>
      <c r="K1517" s="14" t="s">
        <v>1338</v>
      </c>
      <c r="L1517" s="14">
        <v>2000</v>
      </c>
      <c r="M1517" s="14" t="s">
        <v>1327</v>
      </c>
      <c r="O1517" s="14">
        <v>2005</v>
      </c>
      <c r="P1517" s="14">
        <v>2005</v>
      </c>
      <c r="Q1517" s="14" t="s">
        <v>1329</v>
      </c>
      <c r="R1517" s="14">
        <v>10</v>
      </c>
      <c r="T1517" s="14" t="s">
        <v>1330</v>
      </c>
      <c r="U1517" s="14" t="s">
        <v>1341</v>
      </c>
      <c r="V1517" s="12"/>
      <c r="W1517" s="14">
        <v>210</v>
      </c>
      <c r="X1517" s="12" t="s">
        <v>1334</v>
      </c>
      <c r="Y1517" s="14" t="s">
        <v>2999</v>
      </c>
      <c r="Z1517" s="14">
        <v>12</v>
      </c>
      <c r="AD1517" s="14" t="s">
        <v>1165</v>
      </c>
      <c r="AF1517" s="14" t="s">
        <v>1165</v>
      </c>
      <c r="AI1517" s="14" t="s">
        <v>1165</v>
      </c>
      <c r="AJ1517" s="15" t="s">
        <v>1148</v>
      </c>
      <c r="AK1517" s="15">
        <v>0</v>
      </c>
      <c r="AP1517" s="15">
        <v>28</v>
      </c>
      <c r="AQ1517" s="14" t="s">
        <v>1336</v>
      </c>
      <c r="AR1517" s="15" t="s">
        <v>1335</v>
      </c>
      <c r="AS1517" s="14" t="s">
        <v>3002</v>
      </c>
    </row>
    <row r="1518" spans="1:45" s="14" customFormat="1" x14ac:dyDescent="0.2">
      <c r="A1518" s="14" t="s">
        <v>1326</v>
      </c>
      <c r="B1518" s="15" t="s">
        <v>1146</v>
      </c>
      <c r="C1518" s="15" t="s">
        <v>1149</v>
      </c>
      <c r="D1518" s="14" t="s">
        <v>1346</v>
      </c>
      <c r="E1518" s="14" t="s">
        <v>1347</v>
      </c>
      <c r="G1518" s="15" t="s">
        <v>1165</v>
      </c>
      <c r="H1518" s="14" t="s">
        <v>1165</v>
      </c>
      <c r="I1518" s="14" t="s">
        <v>1328</v>
      </c>
      <c r="J1518" s="14" t="s">
        <v>1337</v>
      </c>
      <c r="K1518" s="14" t="s">
        <v>1338</v>
      </c>
      <c r="L1518" s="14">
        <v>2000</v>
      </c>
      <c r="M1518" s="14" t="s">
        <v>1327</v>
      </c>
      <c r="O1518" s="14">
        <v>2005</v>
      </c>
      <c r="P1518" s="14">
        <v>2005</v>
      </c>
      <c r="Q1518" s="14" t="s">
        <v>1329</v>
      </c>
      <c r="R1518" s="14">
        <v>10</v>
      </c>
      <c r="T1518" s="14" t="s">
        <v>1330</v>
      </c>
      <c r="U1518" s="14" t="s">
        <v>1341</v>
      </c>
      <c r="V1518" s="12"/>
      <c r="W1518" s="14">
        <v>210</v>
      </c>
      <c r="X1518" s="12" t="s">
        <v>1333</v>
      </c>
      <c r="Y1518" s="14" t="s">
        <v>2999</v>
      </c>
      <c r="Z1518" s="14">
        <v>0</v>
      </c>
      <c r="AD1518" s="14" t="s">
        <v>1165</v>
      </c>
      <c r="AF1518" s="14" t="s">
        <v>1165</v>
      </c>
      <c r="AI1518" s="14" t="s">
        <v>1165</v>
      </c>
      <c r="AJ1518" s="15" t="s">
        <v>1148</v>
      </c>
      <c r="AK1518" s="15">
        <v>0</v>
      </c>
      <c r="AP1518" s="15">
        <v>28</v>
      </c>
      <c r="AQ1518" s="14" t="s">
        <v>1336</v>
      </c>
      <c r="AR1518" s="15" t="s">
        <v>1335</v>
      </c>
      <c r="AS1518" s="14" t="s">
        <v>3002</v>
      </c>
    </row>
    <row r="1519" spans="1:45" s="14" customFormat="1" x14ac:dyDescent="0.2">
      <c r="A1519" s="14" t="s">
        <v>1326</v>
      </c>
      <c r="B1519" s="15" t="s">
        <v>1146</v>
      </c>
      <c r="C1519" s="15" t="s">
        <v>1149</v>
      </c>
      <c r="D1519" s="14" t="s">
        <v>1346</v>
      </c>
      <c r="E1519" s="14" t="s">
        <v>1347</v>
      </c>
      <c r="G1519" s="15" t="s">
        <v>1165</v>
      </c>
      <c r="H1519" s="14" t="s">
        <v>1165</v>
      </c>
      <c r="I1519" s="14" t="s">
        <v>1328</v>
      </c>
      <c r="J1519" s="14" t="s">
        <v>1337</v>
      </c>
      <c r="K1519" s="14" t="s">
        <v>1338</v>
      </c>
      <c r="L1519" s="14">
        <v>2000</v>
      </c>
      <c r="M1519" s="14" t="s">
        <v>1327</v>
      </c>
      <c r="O1519" s="14">
        <v>2005</v>
      </c>
      <c r="P1519" s="14">
        <v>2005</v>
      </c>
      <c r="Q1519" s="14" t="s">
        <v>1329</v>
      </c>
      <c r="R1519" s="14">
        <v>10</v>
      </c>
      <c r="T1519" s="14" t="s">
        <v>1330</v>
      </c>
      <c r="U1519" s="14" t="s">
        <v>1341</v>
      </c>
      <c r="V1519" s="12"/>
      <c r="W1519" s="14">
        <v>210</v>
      </c>
      <c r="X1519" s="12" t="s">
        <v>1264</v>
      </c>
      <c r="Y1519" s="14" t="s">
        <v>2999</v>
      </c>
      <c r="Z1519" s="14">
        <v>0</v>
      </c>
      <c r="AD1519" s="14" t="s">
        <v>1165</v>
      </c>
      <c r="AF1519" s="14" t="s">
        <v>1165</v>
      </c>
      <c r="AI1519" s="14" t="s">
        <v>1165</v>
      </c>
      <c r="AJ1519" s="15" t="s">
        <v>1148</v>
      </c>
      <c r="AK1519" s="15">
        <v>0</v>
      </c>
      <c r="AP1519" s="15">
        <v>28</v>
      </c>
      <c r="AQ1519" s="14" t="s">
        <v>1336</v>
      </c>
      <c r="AR1519" s="15" t="s">
        <v>1335</v>
      </c>
      <c r="AS1519" s="14" t="s">
        <v>3002</v>
      </c>
    </row>
    <row r="1520" spans="1:45" s="14" customFormat="1" x14ac:dyDescent="0.2">
      <c r="A1520" s="14" t="s">
        <v>1326</v>
      </c>
      <c r="B1520" s="15" t="s">
        <v>1146</v>
      </c>
      <c r="C1520" s="15" t="s">
        <v>1149</v>
      </c>
      <c r="D1520" s="14" t="s">
        <v>1346</v>
      </c>
      <c r="E1520" s="14" t="s">
        <v>1347</v>
      </c>
      <c r="G1520" s="15" t="s">
        <v>1165</v>
      </c>
      <c r="H1520" s="14" t="s">
        <v>1165</v>
      </c>
      <c r="I1520" s="14" t="s">
        <v>1328</v>
      </c>
      <c r="J1520" s="14" t="s">
        <v>1337</v>
      </c>
      <c r="K1520" s="14" t="s">
        <v>1338</v>
      </c>
      <c r="L1520" s="14">
        <v>2000</v>
      </c>
      <c r="M1520" s="14" t="s">
        <v>1327</v>
      </c>
      <c r="O1520" s="14">
        <v>2005</v>
      </c>
      <c r="P1520" s="14">
        <v>2005</v>
      </c>
      <c r="Q1520" s="14" t="s">
        <v>1329</v>
      </c>
      <c r="R1520" s="14">
        <v>10</v>
      </c>
      <c r="T1520" s="14" t="s">
        <v>1330</v>
      </c>
      <c r="U1520" s="14" t="s">
        <v>1341</v>
      </c>
      <c r="V1520" s="12"/>
      <c r="W1520" s="14">
        <v>210</v>
      </c>
      <c r="X1520" s="12" t="s">
        <v>1261</v>
      </c>
      <c r="Y1520" s="14" t="s">
        <v>2999</v>
      </c>
      <c r="Z1520" s="14">
        <v>0</v>
      </c>
      <c r="AD1520" s="14" t="s">
        <v>1165</v>
      </c>
      <c r="AF1520" s="14" t="s">
        <v>1165</v>
      </c>
      <c r="AI1520" s="14" t="s">
        <v>1165</v>
      </c>
      <c r="AJ1520" s="15" t="s">
        <v>1148</v>
      </c>
      <c r="AK1520" s="15">
        <v>0</v>
      </c>
      <c r="AP1520" s="15">
        <v>28</v>
      </c>
      <c r="AQ1520" s="14" t="s">
        <v>1336</v>
      </c>
      <c r="AR1520" s="15" t="s">
        <v>1335</v>
      </c>
      <c r="AS1520" s="14" t="s">
        <v>3002</v>
      </c>
    </row>
    <row r="1521" spans="1:45" s="14" customFormat="1" x14ac:dyDescent="0.2">
      <c r="A1521" s="14" t="s">
        <v>1326</v>
      </c>
      <c r="B1521" s="15" t="s">
        <v>1146</v>
      </c>
      <c r="C1521" s="15" t="s">
        <v>1149</v>
      </c>
      <c r="D1521" s="14" t="s">
        <v>1346</v>
      </c>
      <c r="E1521" s="14" t="s">
        <v>1347</v>
      </c>
      <c r="G1521" s="15" t="s">
        <v>1165</v>
      </c>
      <c r="H1521" s="14" t="s">
        <v>1165</v>
      </c>
      <c r="I1521" s="14" t="s">
        <v>1328</v>
      </c>
      <c r="J1521" s="14" t="s">
        <v>1337</v>
      </c>
      <c r="K1521" s="14" t="s">
        <v>1338</v>
      </c>
      <c r="L1521" s="14">
        <v>2000</v>
      </c>
      <c r="M1521" s="14" t="s">
        <v>1327</v>
      </c>
      <c r="O1521" s="14">
        <v>2005</v>
      </c>
      <c r="P1521" s="14">
        <v>2005</v>
      </c>
      <c r="Q1521" s="14" t="s">
        <v>1329</v>
      </c>
      <c r="R1521" s="14">
        <v>10</v>
      </c>
      <c r="T1521" s="14" t="s">
        <v>1330</v>
      </c>
      <c r="U1521" s="14" t="s">
        <v>1341</v>
      </c>
      <c r="V1521" s="12"/>
      <c r="W1521" s="14">
        <v>210</v>
      </c>
      <c r="X1521" s="12" t="s">
        <v>1334</v>
      </c>
      <c r="Y1521" s="14" t="s">
        <v>2999</v>
      </c>
      <c r="Z1521" s="14">
        <v>0</v>
      </c>
      <c r="AD1521" s="14" t="s">
        <v>1165</v>
      </c>
      <c r="AF1521" s="14" t="s">
        <v>1165</v>
      </c>
      <c r="AI1521" s="14" t="s">
        <v>1165</v>
      </c>
      <c r="AJ1521" s="15" t="s">
        <v>1148</v>
      </c>
      <c r="AK1521" s="15">
        <v>0</v>
      </c>
      <c r="AP1521" s="15">
        <v>28</v>
      </c>
      <c r="AQ1521" s="14" t="s">
        <v>1336</v>
      </c>
      <c r="AR1521" s="15" t="s">
        <v>1335</v>
      </c>
      <c r="AS1521" s="14" t="s">
        <v>3002</v>
      </c>
    </row>
    <row r="1522" spans="1:45" x14ac:dyDescent="0.2">
      <c r="A1522" t="s">
        <v>1326</v>
      </c>
      <c r="B1522" s="4" t="s">
        <v>1146</v>
      </c>
      <c r="C1522" s="4" t="s">
        <v>1149</v>
      </c>
      <c r="D1522" t="s">
        <v>1348</v>
      </c>
      <c r="E1522" t="s">
        <v>1349</v>
      </c>
      <c r="G1522" s="4" t="s">
        <v>1165</v>
      </c>
      <c r="H1522" t="s">
        <v>1165</v>
      </c>
      <c r="I1522" t="s">
        <v>1328</v>
      </c>
      <c r="J1522" t="s">
        <v>1337</v>
      </c>
      <c r="K1522" t="s">
        <v>1338</v>
      </c>
      <c r="L1522">
        <v>2000</v>
      </c>
      <c r="M1522" t="s">
        <v>1327</v>
      </c>
      <c r="O1522">
        <v>2005</v>
      </c>
      <c r="P1522">
        <v>2005</v>
      </c>
      <c r="Q1522" t="s">
        <v>1329</v>
      </c>
      <c r="R1522">
        <v>10</v>
      </c>
      <c r="T1522" t="s">
        <v>1330</v>
      </c>
      <c r="U1522" t="s">
        <v>1246</v>
      </c>
      <c r="V1522" s="9" t="s">
        <v>1332</v>
      </c>
      <c r="W1522">
        <v>0</v>
      </c>
      <c r="X1522" s="9" t="s">
        <v>1333</v>
      </c>
      <c r="Z1522">
        <v>12</v>
      </c>
      <c r="AD1522" t="s">
        <v>1165</v>
      </c>
      <c r="AF1522" t="s">
        <v>1165</v>
      </c>
      <c r="AI1522" t="s">
        <v>1165</v>
      </c>
      <c r="AJ1522" s="4" t="s">
        <v>1148</v>
      </c>
      <c r="AK1522" s="4">
        <v>51.969000000000001</v>
      </c>
      <c r="AP1522" s="4">
        <v>28</v>
      </c>
      <c r="AQ1522" t="s">
        <v>1336</v>
      </c>
      <c r="AR1522" s="4" t="s">
        <v>1335</v>
      </c>
      <c r="AS1522" t="s">
        <v>3000</v>
      </c>
    </row>
    <row r="1523" spans="1:45" x14ac:dyDescent="0.2">
      <c r="A1523" t="s">
        <v>1326</v>
      </c>
      <c r="B1523" s="4" t="s">
        <v>1146</v>
      </c>
      <c r="C1523" s="4" t="s">
        <v>1149</v>
      </c>
      <c r="D1523" t="s">
        <v>1348</v>
      </c>
      <c r="E1523" t="s">
        <v>1349</v>
      </c>
      <c r="G1523" s="4" t="s">
        <v>1165</v>
      </c>
      <c r="H1523" t="s">
        <v>1165</v>
      </c>
      <c r="I1523" t="s">
        <v>1328</v>
      </c>
      <c r="J1523" t="s">
        <v>1337</v>
      </c>
      <c r="K1523" t="s">
        <v>1338</v>
      </c>
      <c r="L1523">
        <v>2000</v>
      </c>
      <c r="M1523" t="s">
        <v>1327</v>
      </c>
      <c r="O1523">
        <v>2005</v>
      </c>
      <c r="P1523">
        <v>2005</v>
      </c>
      <c r="Q1523" t="s">
        <v>1329</v>
      </c>
      <c r="R1523">
        <v>10</v>
      </c>
      <c r="T1523" t="s">
        <v>1330</v>
      </c>
      <c r="U1523" t="s">
        <v>1246</v>
      </c>
      <c r="V1523" s="9" t="s">
        <v>1332</v>
      </c>
      <c r="W1523">
        <v>0</v>
      </c>
      <c r="X1523" s="9" t="s">
        <v>1264</v>
      </c>
      <c r="Z1523">
        <v>12</v>
      </c>
      <c r="AD1523" t="s">
        <v>1165</v>
      </c>
      <c r="AF1523" t="s">
        <v>1165</v>
      </c>
      <c r="AI1523" t="s">
        <v>1165</v>
      </c>
      <c r="AJ1523" s="4" t="s">
        <v>1148</v>
      </c>
      <c r="AK1523" s="4">
        <v>95.373999999999995</v>
      </c>
      <c r="AP1523" s="4">
        <v>28</v>
      </c>
      <c r="AQ1523" t="s">
        <v>1336</v>
      </c>
      <c r="AR1523" s="4" t="s">
        <v>1335</v>
      </c>
      <c r="AS1523" t="s">
        <v>3000</v>
      </c>
    </row>
    <row r="1524" spans="1:45" x14ac:dyDescent="0.2">
      <c r="A1524" t="s">
        <v>1326</v>
      </c>
      <c r="B1524" s="4" t="s">
        <v>1146</v>
      </c>
      <c r="C1524" s="4" t="s">
        <v>1149</v>
      </c>
      <c r="D1524" t="s">
        <v>1348</v>
      </c>
      <c r="E1524" t="s">
        <v>1349</v>
      </c>
      <c r="G1524" s="4" t="s">
        <v>1165</v>
      </c>
      <c r="H1524" t="s">
        <v>1165</v>
      </c>
      <c r="I1524" t="s">
        <v>1328</v>
      </c>
      <c r="J1524" t="s">
        <v>1337</v>
      </c>
      <c r="K1524" t="s">
        <v>1338</v>
      </c>
      <c r="L1524">
        <v>2000</v>
      </c>
      <c r="M1524" t="s">
        <v>1327</v>
      </c>
      <c r="O1524">
        <v>2005</v>
      </c>
      <c r="P1524">
        <v>2005</v>
      </c>
      <c r="Q1524" t="s">
        <v>1329</v>
      </c>
      <c r="R1524">
        <v>10</v>
      </c>
      <c r="T1524" t="s">
        <v>1330</v>
      </c>
      <c r="U1524" t="s">
        <v>1246</v>
      </c>
      <c r="V1524" s="9" t="s">
        <v>1332</v>
      </c>
      <c r="W1524">
        <v>0</v>
      </c>
      <c r="X1524" s="9" t="s">
        <v>1261</v>
      </c>
      <c r="Z1524">
        <v>12</v>
      </c>
      <c r="AD1524" t="s">
        <v>1165</v>
      </c>
      <c r="AF1524" t="s">
        <v>1165</v>
      </c>
      <c r="AI1524" t="s">
        <v>1165</v>
      </c>
      <c r="AJ1524" s="4" t="s">
        <v>1148</v>
      </c>
      <c r="AK1524" s="4">
        <v>100</v>
      </c>
      <c r="AP1524" s="4">
        <v>28</v>
      </c>
      <c r="AQ1524" t="s">
        <v>1336</v>
      </c>
      <c r="AR1524" s="4" t="s">
        <v>1335</v>
      </c>
      <c r="AS1524" t="s">
        <v>3000</v>
      </c>
    </row>
    <row r="1525" spans="1:45" x14ac:dyDescent="0.2">
      <c r="A1525" t="s">
        <v>1326</v>
      </c>
      <c r="B1525" s="4" t="s">
        <v>1146</v>
      </c>
      <c r="C1525" s="4" t="s">
        <v>1149</v>
      </c>
      <c r="D1525" t="s">
        <v>1348</v>
      </c>
      <c r="E1525" t="s">
        <v>1349</v>
      </c>
      <c r="G1525" s="4" t="s">
        <v>1165</v>
      </c>
      <c r="H1525" t="s">
        <v>1165</v>
      </c>
      <c r="I1525" t="s">
        <v>1328</v>
      </c>
      <c r="J1525" t="s">
        <v>1337</v>
      </c>
      <c r="K1525" t="s">
        <v>1338</v>
      </c>
      <c r="L1525">
        <v>2000</v>
      </c>
      <c r="M1525" t="s">
        <v>1327</v>
      </c>
      <c r="O1525">
        <v>2005</v>
      </c>
      <c r="P1525">
        <v>2005</v>
      </c>
      <c r="Q1525" t="s">
        <v>1329</v>
      </c>
      <c r="R1525">
        <v>10</v>
      </c>
      <c r="T1525" t="s">
        <v>1330</v>
      </c>
      <c r="U1525" t="s">
        <v>1246</v>
      </c>
      <c r="V1525" s="9" t="s">
        <v>1332</v>
      </c>
      <c r="W1525">
        <v>0</v>
      </c>
      <c r="X1525" s="9" t="s">
        <v>1334</v>
      </c>
      <c r="Z1525">
        <v>12</v>
      </c>
      <c r="AD1525" t="s">
        <v>1165</v>
      </c>
      <c r="AF1525" t="s">
        <v>1165</v>
      </c>
      <c r="AI1525" t="s">
        <v>1165</v>
      </c>
      <c r="AJ1525" s="4" t="s">
        <v>1148</v>
      </c>
      <c r="AK1525" s="4">
        <v>100</v>
      </c>
      <c r="AP1525" s="4">
        <v>28</v>
      </c>
      <c r="AQ1525" t="s">
        <v>1336</v>
      </c>
      <c r="AR1525" s="4" t="s">
        <v>1335</v>
      </c>
      <c r="AS1525" t="s">
        <v>3000</v>
      </c>
    </row>
    <row r="1526" spans="1:45" x14ac:dyDescent="0.2">
      <c r="A1526" t="s">
        <v>1326</v>
      </c>
      <c r="B1526" s="4" t="s">
        <v>1146</v>
      </c>
      <c r="C1526" s="4" t="s">
        <v>1149</v>
      </c>
      <c r="D1526" t="s">
        <v>1348</v>
      </c>
      <c r="E1526" t="s">
        <v>1349</v>
      </c>
      <c r="G1526" s="4" t="s">
        <v>1165</v>
      </c>
      <c r="H1526" t="s">
        <v>1165</v>
      </c>
      <c r="I1526" t="s">
        <v>1328</v>
      </c>
      <c r="J1526" t="s">
        <v>1337</v>
      </c>
      <c r="K1526" t="s">
        <v>1338</v>
      </c>
      <c r="L1526">
        <v>2000</v>
      </c>
      <c r="M1526" t="s">
        <v>1327</v>
      </c>
      <c r="O1526">
        <v>2005</v>
      </c>
      <c r="P1526">
        <v>2005</v>
      </c>
      <c r="Q1526" t="s">
        <v>1329</v>
      </c>
      <c r="R1526">
        <v>10</v>
      </c>
      <c r="T1526" t="s">
        <v>1330</v>
      </c>
      <c r="U1526" t="s">
        <v>1246</v>
      </c>
      <c r="V1526" s="9" t="s">
        <v>1332</v>
      </c>
      <c r="W1526">
        <v>0</v>
      </c>
      <c r="X1526" s="9" t="s">
        <v>1333</v>
      </c>
      <c r="Z1526">
        <v>0</v>
      </c>
      <c r="AD1526" t="s">
        <v>1165</v>
      </c>
      <c r="AF1526" t="s">
        <v>1165</v>
      </c>
      <c r="AI1526" t="s">
        <v>1165</v>
      </c>
      <c r="AJ1526" s="4" t="s">
        <v>1148</v>
      </c>
      <c r="AK1526" s="4">
        <v>7.6769999999999996</v>
      </c>
      <c r="AP1526" s="4">
        <v>28</v>
      </c>
      <c r="AQ1526" t="s">
        <v>1336</v>
      </c>
      <c r="AR1526" s="4" t="s">
        <v>1335</v>
      </c>
      <c r="AS1526" t="s">
        <v>3000</v>
      </c>
    </row>
    <row r="1527" spans="1:45" x14ac:dyDescent="0.2">
      <c r="A1527" t="s">
        <v>1326</v>
      </c>
      <c r="B1527" s="4" t="s">
        <v>1146</v>
      </c>
      <c r="C1527" s="4" t="s">
        <v>1149</v>
      </c>
      <c r="D1527" t="s">
        <v>1348</v>
      </c>
      <c r="E1527" t="s">
        <v>1349</v>
      </c>
      <c r="G1527" s="4" t="s">
        <v>1165</v>
      </c>
      <c r="H1527" t="s">
        <v>1165</v>
      </c>
      <c r="I1527" t="s">
        <v>1328</v>
      </c>
      <c r="J1527" t="s">
        <v>1337</v>
      </c>
      <c r="K1527" t="s">
        <v>1338</v>
      </c>
      <c r="L1527">
        <v>2000</v>
      </c>
      <c r="M1527" t="s">
        <v>1327</v>
      </c>
      <c r="O1527">
        <v>2005</v>
      </c>
      <c r="P1527">
        <v>2005</v>
      </c>
      <c r="Q1527" t="s">
        <v>1329</v>
      </c>
      <c r="R1527">
        <v>10</v>
      </c>
      <c r="T1527" t="s">
        <v>1330</v>
      </c>
      <c r="U1527" t="s">
        <v>1246</v>
      </c>
      <c r="V1527" s="9" t="s">
        <v>1332</v>
      </c>
      <c r="W1527">
        <v>0</v>
      </c>
      <c r="X1527" s="9" t="s">
        <v>1264</v>
      </c>
      <c r="Z1527">
        <v>0</v>
      </c>
      <c r="AD1527" t="s">
        <v>1165</v>
      </c>
      <c r="AF1527" t="s">
        <v>1165</v>
      </c>
      <c r="AI1527" t="s">
        <v>1165</v>
      </c>
      <c r="AJ1527" s="4" t="s">
        <v>1148</v>
      </c>
      <c r="AK1527" s="4">
        <v>7.6769999999999996</v>
      </c>
      <c r="AP1527" s="4">
        <v>28</v>
      </c>
      <c r="AQ1527" t="s">
        <v>1336</v>
      </c>
      <c r="AR1527" s="4" t="s">
        <v>1335</v>
      </c>
      <c r="AS1527" t="s">
        <v>3000</v>
      </c>
    </row>
    <row r="1528" spans="1:45" x14ac:dyDescent="0.2">
      <c r="A1528" t="s">
        <v>1326</v>
      </c>
      <c r="B1528" s="4" t="s">
        <v>1146</v>
      </c>
      <c r="C1528" s="4" t="s">
        <v>1149</v>
      </c>
      <c r="D1528" t="s">
        <v>1348</v>
      </c>
      <c r="E1528" t="s">
        <v>1349</v>
      </c>
      <c r="G1528" s="4" t="s">
        <v>1165</v>
      </c>
      <c r="H1528" t="s">
        <v>1165</v>
      </c>
      <c r="I1528" t="s">
        <v>1328</v>
      </c>
      <c r="J1528" t="s">
        <v>1337</v>
      </c>
      <c r="K1528" t="s">
        <v>1338</v>
      </c>
      <c r="L1528">
        <v>2000</v>
      </c>
      <c r="M1528" t="s">
        <v>1327</v>
      </c>
      <c r="O1528">
        <v>2005</v>
      </c>
      <c r="P1528">
        <v>2005</v>
      </c>
      <c r="Q1528" t="s">
        <v>1329</v>
      </c>
      <c r="R1528">
        <v>10</v>
      </c>
      <c r="T1528" t="s">
        <v>1330</v>
      </c>
      <c r="U1528" t="s">
        <v>1246</v>
      </c>
      <c r="V1528" s="9" t="s">
        <v>1332</v>
      </c>
      <c r="W1528">
        <v>0</v>
      </c>
      <c r="X1528" s="9" t="s">
        <v>1261</v>
      </c>
      <c r="Z1528">
        <v>0</v>
      </c>
      <c r="AD1528" t="s">
        <v>1165</v>
      </c>
      <c r="AF1528" t="s">
        <v>1165</v>
      </c>
      <c r="AI1528" t="s">
        <v>1165</v>
      </c>
      <c r="AJ1528" s="4" t="s">
        <v>1148</v>
      </c>
      <c r="AK1528" s="4">
        <v>6.2009999999999996</v>
      </c>
      <c r="AP1528" s="4">
        <v>28</v>
      </c>
      <c r="AQ1528" t="s">
        <v>1336</v>
      </c>
      <c r="AR1528" s="4" t="s">
        <v>1335</v>
      </c>
      <c r="AS1528" t="s">
        <v>3000</v>
      </c>
    </row>
    <row r="1529" spans="1:45" x14ac:dyDescent="0.2">
      <c r="A1529" t="s">
        <v>1326</v>
      </c>
      <c r="B1529" s="4" t="s">
        <v>1146</v>
      </c>
      <c r="C1529" s="4" t="s">
        <v>1149</v>
      </c>
      <c r="D1529" t="s">
        <v>1348</v>
      </c>
      <c r="E1529" t="s">
        <v>1349</v>
      </c>
      <c r="G1529" s="4" t="s">
        <v>1165</v>
      </c>
      <c r="H1529" t="s">
        <v>1165</v>
      </c>
      <c r="I1529" t="s">
        <v>1328</v>
      </c>
      <c r="J1529" t="s">
        <v>1337</v>
      </c>
      <c r="K1529" t="s">
        <v>1338</v>
      </c>
      <c r="L1529">
        <v>2000</v>
      </c>
      <c r="M1529" t="s">
        <v>1327</v>
      </c>
      <c r="O1529">
        <v>2005</v>
      </c>
      <c r="P1529">
        <v>2005</v>
      </c>
      <c r="Q1529" t="s">
        <v>1329</v>
      </c>
      <c r="R1529">
        <v>10</v>
      </c>
      <c r="T1529" t="s">
        <v>1330</v>
      </c>
      <c r="U1529" t="s">
        <v>1246</v>
      </c>
      <c r="V1529" s="9" t="s">
        <v>1332</v>
      </c>
      <c r="W1529">
        <v>0</v>
      </c>
      <c r="X1529" s="9" t="s">
        <v>1334</v>
      </c>
      <c r="Z1529">
        <v>0</v>
      </c>
      <c r="AD1529" t="s">
        <v>1165</v>
      </c>
      <c r="AF1529" t="s">
        <v>1165</v>
      </c>
      <c r="AI1529" t="s">
        <v>1165</v>
      </c>
      <c r="AJ1529" s="4" t="s">
        <v>1148</v>
      </c>
      <c r="AK1529" s="4">
        <v>7.6769999999999996</v>
      </c>
      <c r="AP1529" s="4">
        <v>28</v>
      </c>
      <c r="AQ1529" t="s">
        <v>1336</v>
      </c>
      <c r="AR1529" s="4" t="s">
        <v>1335</v>
      </c>
      <c r="AS1529" t="s">
        <v>3000</v>
      </c>
    </row>
    <row r="1530" spans="1:45" x14ac:dyDescent="0.2">
      <c r="A1530" t="s">
        <v>1326</v>
      </c>
      <c r="B1530" s="4" t="s">
        <v>1146</v>
      </c>
      <c r="C1530" s="4" t="s">
        <v>1149</v>
      </c>
      <c r="D1530" t="s">
        <v>1348</v>
      </c>
      <c r="E1530" t="s">
        <v>1349</v>
      </c>
      <c r="G1530" s="4" t="s">
        <v>1165</v>
      </c>
      <c r="H1530" t="s">
        <v>1165</v>
      </c>
      <c r="I1530" t="s">
        <v>1328</v>
      </c>
      <c r="J1530" t="s">
        <v>1337</v>
      </c>
      <c r="K1530" t="s">
        <v>1338</v>
      </c>
      <c r="L1530">
        <v>2000</v>
      </c>
      <c r="M1530" t="s">
        <v>1327</v>
      </c>
      <c r="O1530">
        <v>2005</v>
      </c>
      <c r="P1530">
        <v>2005</v>
      </c>
      <c r="Q1530" t="s">
        <v>1329</v>
      </c>
      <c r="R1530">
        <v>10</v>
      </c>
      <c r="T1530" t="s">
        <v>1330</v>
      </c>
      <c r="U1530" t="s">
        <v>1246</v>
      </c>
      <c r="V1530" s="9" t="s">
        <v>1332</v>
      </c>
      <c r="W1530">
        <v>17.5</v>
      </c>
      <c r="X1530" s="9" t="s">
        <v>1333</v>
      </c>
      <c r="Z1530">
        <v>12</v>
      </c>
      <c r="AD1530" t="s">
        <v>1165</v>
      </c>
      <c r="AF1530" t="s">
        <v>1165</v>
      </c>
      <c r="AI1530" t="s">
        <v>1165</v>
      </c>
      <c r="AJ1530" s="4" t="s">
        <v>1148</v>
      </c>
      <c r="AK1530" s="4">
        <v>94.192999999999998</v>
      </c>
      <c r="AP1530" s="4">
        <v>28</v>
      </c>
      <c r="AQ1530" t="s">
        <v>1336</v>
      </c>
      <c r="AR1530" s="4" t="s">
        <v>1335</v>
      </c>
      <c r="AS1530" t="s">
        <v>3000</v>
      </c>
    </row>
    <row r="1531" spans="1:45" x14ac:dyDescent="0.2">
      <c r="A1531" t="s">
        <v>1326</v>
      </c>
      <c r="B1531" s="4" t="s">
        <v>1146</v>
      </c>
      <c r="C1531" s="4" t="s">
        <v>1149</v>
      </c>
      <c r="D1531" t="s">
        <v>1348</v>
      </c>
      <c r="E1531" t="s">
        <v>1349</v>
      </c>
      <c r="G1531" s="4" t="s">
        <v>1165</v>
      </c>
      <c r="H1531" t="s">
        <v>1165</v>
      </c>
      <c r="I1531" t="s">
        <v>1328</v>
      </c>
      <c r="J1531" t="s">
        <v>1337</v>
      </c>
      <c r="K1531" t="s">
        <v>1338</v>
      </c>
      <c r="L1531">
        <v>2000</v>
      </c>
      <c r="M1531" t="s">
        <v>1327</v>
      </c>
      <c r="O1531">
        <v>2005</v>
      </c>
      <c r="P1531">
        <v>2005</v>
      </c>
      <c r="Q1531" t="s">
        <v>1329</v>
      </c>
      <c r="R1531">
        <v>10</v>
      </c>
      <c r="T1531" t="s">
        <v>1330</v>
      </c>
      <c r="U1531" t="s">
        <v>1246</v>
      </c>
      <c r="V1531" s="9" t="s">
        <v>1332</v>
      </c>
      <c r="W1531">
        <v>17.5</v>
      </c>
      <c r="X1531" s="9" t="s">
        <v>1264</v>
      </c>
      <c r="Z1531">
        <v>12</v>
      </c>
      <c r="AD1531" t="s">
        <v>1165</v>
      </c>
      <c r="AF1531" t="s">
        <v>1165</v>
      </c>
      <c r="AI1531" t="s">
        <v>1165</v>
      </c>
      <c r="AJ1531" s="4" t="s">
        <v>1148</v>
      </c>
      <c r="AK1531" s="4">
        <v>100</v>
      </c>
      <c r="AP1531" s="4">
        <v>28</v>
      </c>
      <c r="AQ1531" t="s">
        <v>1336</v>
      </c>
      <c r="AR1531" s="4" t="s">
        <v>1335</v>
      </c>
      <c r="AS1531" t="s">
        <v>3000</v>
      </c>
    </row>
    <row r="1532" spans="1:45" x14ac:dyDescent="0.2">
      <c r="A1532" t="s">
        <v>1326</v>
      </c>
      <c r="B1532" s="4" t="s">
        <v>1146</v>
      </c>
      <c r="C1532" s="4" t="s">
        <v>1149</v>
      </c>
      <c r="D1532" t="s">
        <v>1348</v>
      </c>
      <c r="E1532" t="s">
        <v>1349</v>
      </c>
      <c r="G1532" s="4" t="s">
        <v>1165</v>
      </c>
      <c r="H1532" t="s">
        <v>1165</v>
      </c>
      <c r="I1532" t="s">
        <v>1328</v>
      </c>
      <c r="J1532" t="s">
        <v>1337</v>
      </c>
      <c r="K1532" t="s">
        <v>1338</v>
      </c>
      <c r="L1532">
        <v>2000</v>
      </c>
      <c r="M1532" t="s">
        <v>1327</v>
      </c>
      <c r="O1532">
        <v>2005</v>
      </c>
      <c r="P1532">
        <v>2005</v>
      </c>
      <c r="Q1532" t="s">
        <v>1329</v>
      </c>
      <c r="R1532">
        <v>10</v>
      </c>
      <c r="T1532" t="s">
        <v>1330</v>
      </c>
      <c r="U1532" t="s">
        <v>1246</v>
      </c>
      <c r="V1532" s="9" t="s">
        <v>1332</v>
      </c>
      <c r="W1532">
        <v>17.5</v>
      </c>
      <c r="X1532" s="9" t="s">
        <v>1261</v>
      </c>
      <c r="Z1532">
        <v>12</v>
      </c>
      <c r="AD1532" t="s">
        <v>1165</v>
      </c>
      <c r="AF1532" t="s">
        <v>1165</v>
      </c>
      <c r="AI1532" t="s">
        <v>1165</v>
      </c>
      <c r="AJ1532" s="4" t="s">
        <v>1148</v>
      </c>
      <c r="AK1532" s="4">
        <v>100</v>
      </c>
      <c r="AP1532" s="4">
        <v>28</v>
      </c>
      <c r="AQ1532" t="s">
        <v>1336</v>
      </c>
      <c r="AR1532" s="4" t="s">
        <v>1335</v>
      </c>
      <c r="AS1532" t="s">
        <v>3000</v>
      </c>
    </row>
    <row r="1533" spans="1:45" x14ac:dyDescent="0.2">
      <c r="A1533" t="s">
        <v>1326</v>
      </c>
      <c r="B1533" s="4" t="s">
        <v>1146</v>
      </c>
      <c r="C1533" s="4" t="s">
        <v>1149</v>
      </c>
      <c r="D1533" t="s">
        <v>1348</v>
      </c>
      <c r="E1533" t="s">
        <v>1349</v>
      </c>
      <c r="G1533" s="4" t="s">
        <v>1165</v>
      </c>
      <c r="H1533" t="s">
        <v>1165</v>
      </c>
      <c r="I1533" t="s">
        <v>1328</v>
      </c>
      <c r="J1533" t="s">
        <v>1337</v>
      </c>
      <c r="K1533" t="s">
        <v>1338</v>
      </c>
      <c r="L1533">
        <v>2000</v>
      </c>
      <c r="M1533" t="s">
        <v>1327</v>
      </c>
      <c r="O1533">
        <v>2005</v>
      </c>
      <c r="P1533">
        <v>2005</v>
      </c>
      <c r="Q1533" t="s">
        <v>1329</v>
      </c>
      <c r="R1533">
        <v>10</v>
      </c>
      <c r="T1533" t="s">
        <v>1330</v>
      </c>
      <c r="U1533" t="s">
        <v>1246</v>
      </c>
      <c r="V1533" s="9" t="s">
        <v>1332</v>
      </c>
      <c r="W1533">
        <v>17.5</v>
      </c>
      <c r="X1533" s="9" t="s">
        <v>1334</v>
      </c>
      <c r="Z1533">
        <v>12</v>
      </c>
      <c r="AD1533" t="s">
        <v>1165</v>
      </c>
      <c r="AF1533" t="s">
        <v>1165</v>
      </c>
      <c r="AI1533" t="s">
        <v>1165</v>
      </c>
      <c r="AJ1533" s="4" t="s">
        <v>1148</v>
      </c>
      <c r="AK1533" s="4">
        <v>100</v>
      </c>
      <c r="AP1533" s="4">
        <v>28</v>
      </c>
      <c r="AQ1533" t="s">
        <v>1336</v>
      </c>
      <c r="AR1533" s="4" t="s">
        <v>1335</v>
      </c>
      <c r="AS1533" t="s">
        <v>3000</v>
      </c>
    </row>
    <row r="1534" spans="1:45" x14ac:dyDescent="0.2">
      <c r="A1534" t="s">
        <v>1326</v>
      </c>
      <c r="B1534" s="4" t="s">
        <v>1146</v>
      </c>
      <c r="C1534" s="4" t="s">
        <v>1149</v>
      </c>
      <c r="D1534" t="s">
        <v>1348</v>
      </c>
      <c r="E1534" t="s">
        <v>1349</v>
      </c>
      <c r="G1534" s="4" t="s">
        <v>1165</v>
      </c>
      <c r="H1534" t="s">
        <v>1165</v>
      </c>
      <c r="I1534" t="s">
        <v>1328</v>
      </c>
      <c r="J1534" t="s">
        <v>1337</v>
      </c>
      <c r="K1534" t="s">
        <v>1338</v>
      </c>
      <c r="L1534">
        <v>2000</v>
      </c>
      <c r="M1534" t="s">
        <v>1327</v>
      </c>
      <c r="O1534">
        <v>2005</v>
      </c>
      <c r="P1534">
        <v>2005</v>
      </c>
      <c r="Q1534" t="s">
        <v>1329</v>
      </c>
      <c r="R1534">
        <v>10</v>
      </c>
      <c r="T1534" t="s">
        <v>1330</v>
      </c>
      <c r="U1534" t="s">
        <v>1246</v>
      </c>
      <c r="V1534" s="9" t="s">
        <v>1332</v>
      </c>
      <c r="W1534">
        <v>17.5</v>
      </c>
      <c r="X1534" s="9" t="s">
        <v>1333</v>
      </c>
      <c r="Z1534">
        <v>0</v>
      </c>
      <c r="AD1534" t="s">
        <v>1165</v>
      </c>
      <c r="AF1534" t="s">
        <v>1165</v>
      </c>
      <c r="AI1534" t="s">
        <v>1165</v>
      </c>
      <c r="AJ1534" s="4" t="s">
        <v>1148</v>
      </c>
      <c r="AK1534" s="4">
        <v>6.7910000000000004</v>
      </c>
      <c r="AP1534" s="4">
        <v>28</v>
      </c>
      <c r="AQ1534" t="s">
        <v>1336</v>
      </c>
      <c r="AR1534" s="4" t="s">
        <v>1335</v>
      </c>
      <c r="AS1534" t="s">
        <v>3000</v>
      </c>
    </row>
    <row r="1535" spans="1:45" x14ac:dyDescent="0.2">
      <c r="A1535" t="s">
        <v>1326</v>
      </c>
      <c r="B1535" s="4" t="s">
        <v>1146</v>
      </c>
      <c r="C1535" s="4" t="s">
        <v>1149</v>
      </c>
      <c r="D1535" t="s">
        <v>1348</v>
      </c>
      <c r="E1535" t="s">
        <v>1349</v>
      </c>
      <c r="G1535" s="4" t="s">
        <v>1165</v>
      </c>
      <c r="H1535" t="s">
        <v>1165</v>
      </c>
      <c r="I1535" t="s">
        <v>1328</v>
      </c>
      <c r="J1535" t="s">
        <v>1337</v>
      </c>
      <c r="K1535" t="s">
        <v>1338</v>
      </c>
      <c r="L1535">
        <v>2000</v>
      </c>
      <c r="M1535" t="s">
        <v>1327</v>
      </c>
      <c r="O1535">
        <v>2005</v>
      </c>
      <c r="P1535">
        <v>2005</v>
      </c>
      <c r="Q1535" t="s">
        <v>1329</v>
      </c>
      <c r="R1535">
        <v>10</v>
      </c>
      <c r="T1535" t="s">
        <v>1330</v>
      </c>
      <c r="U1535" t="s">
        <v>1246</v>
      </c>
      <c r="V1535" s="9" t="s">
        <v>1332</v>
      </c>
      <c r="W1535">
        <v>17.5</v>
      </c>
      <c r="X1535" s="9" t="s">
        <v>1264</v>
      </c>
      <c r="Z1535">
        <v>0</v>
      </c>
      <c r="AD1535" t="s">
        <v>1165</v>
      </c>
      <c r="AF1535" t="s">
        <v>1165</v>
      </c>
      <c r="AI1535" t="s">
        <v>1165</v>
      </c>
      <c r="AJ1535" s="4" t="s">
        <v>1148</v>
      </c>
      <c r="AK1535" s="4">
        <v>6.7910000000000004</v>
      </c>
      <c r="AP1535" s="4">
        <v>28</v>
      </c>
      <c r="AQ1535" t="s">
        <v>1336</v>
      </c>
      <c r="AR1535" s="4" t="s">
        <v>1335</v>
      </c>
      <c r="AS1535" t="s">
        <v>3000</v>
      </c>
    </row>
    <row r="1536" spans="1:45" x14ac:dyDescent="0.2">
      <c r="A1536" t="s">
        <v>1326</v>
      </c>
      <c r="B1536" s="4" t="s">
        <v>1146</v>
      </c>
      <c r="C1536" s="4" t="s">
        <v>1149</v>
      </c>
      <c r="D1536" t="s">
        <v>1348</v>
      </c>
      <c r="E1536" t="s">
        <v>1349</v>
      </c>
      <c r="G1536" s="4" t="s">
        <v>1165</v>
      </c>
      <c r="H1536" t="s">
        <v>1165</v>
      </c>
      <c r="I1536" t="s">
        <v>1328</v>
      </c>
      <c r="J1536" t="s">
        <v>1337</v>
      </c>
      <c r="K1536" t="s">
        <v>1338</v>
      </c>
      <c r="L1536">
        <v>2000</v>
      </c>
      <c r="M1536" t="s">
        <v>1327</v>
      </c>
      <c r="O1536">
        <v>2005</v>
      </c>
      <c r="P1536">
        <v>2005</v>
      </c>
      <c r="Q1536" t="s">
        <v>1329</v>
      </c>
      <c r="R1536">
        <v>10</v>
      </c>
      <c r="T1536" t="s">
        <v>1330</v>
      </c>
      <c r="U1536" t="s">
        <v>1246</v>
      </c>
      <c r="V1536" s="9" t="s">
        <v>1332</v>
      </c>
      <c r="W1536">
        <v>17.5</v>
      </c>
      <c r="X1536" s="9" t="s">
        <v>1261</v>
      </c>
      <c r="Z1536">
        <v>0</v>
      </c>
      <c r="AD1536" t="s">
        <v>1165</v>
      </c>
      <c r="AF1536" t="s">
        <v>1165</v>
      </c>
      <c r="AI1536" t="s">
        <v>1165</v>
      </c>
      <c r="AJ1536" s="4" t="s">
        <v>1148</v>
      </c>
      <c r="AK1536" s="4">
        <v>9.7439999999999998</v>
      </c>
      <c r="AP1536" s="4">
        <v>28</v>
      </c>
      <c r="AQ1536" t="s">
        <v>1336</v>
      </c>
      <c r="AR1536" s="4" t="s">
        <v>1335</v>
      </c>
      <c r="AS1536" t="s">
        <v>3000</v>
      </c>
    </row>
    <row r="1537" spans="1:45" x14ac:dyDescent="0.2">
      <c r="A1537" t="s">
        <v>1326</v>
      </c>
      <c r="B1537" s="4" t="s">
        <v>1146</v>
      </c>
      <c r="C1537" s="4" t="s">
        <v>1149</v>
      </c>
      <c r="D1537" t="s">
        <v>1348</v>
      </c>
      <c r="E1537" t="s">
        <v>1349</v>
      </c>
      <c r="G1537" s="4" t="s">
        <v>1165</v>
      </c>
      <c r="H1537" t="s">
        <v>1165</v>
      </c>
      <c r="I1537" t="s">
        <v>1328</v>
      </c>
      <c r="J1537" t="s">
        <v>1337</v>
      </c>
      <c r="K1537" t="s">
        <v>1338</v>
      </c>
      <c r="L1537">
        <v>2000</v>
      </c>
      <c r="M1537" t="s">
        <v>1327</v>
      </c>
      <c r="O1537">
        <v>2005</v>
      </c>
      <c r="P1537">
        <v>2005</v>
      </c>
      <c r="Q1537" t="s">
        <v>1329</v>
      </c>
      <c r="R1537">
        <v>10</v>
      </c>
      <c r="T1537" t="s">
        <v>1330</v>
      </c>
      <c r="U1537" t="s">
        <v>1246</v>
      </c>
      <c r="V1537" s="9" t="s">
        <v>1332</v>
      </c>
      <c r="W1537">
        <v>17.5</v>
      </c>
      <c r="X1537" s="9" t="s">
        <v>1334</v>
      </c>
      <c r="Z1537">
        <v>0</v>
      </c>
      <c r="AD1537" t="s">
        <v>1165</v>
      </c>
      <c r="AF1537" t="s">
        <v>1165</v>
      </c>
      <c r="AI1537" t="s">
        <v>1165</v>
      </c>
      <c r="AJ1537" s="4" t="s">
        <v>1148</v>
      </c>
      <c r="AK1537" s="4">
        <v>13.878</v>
      </c>
      <c r="AP1537" s="4">
        <v>28</v>
      </c>
      <c r="AQ1537" t="s">
        <v>1336</v>
      </c>
      <c r="AR1537" s="4" t="s">
        <v>1335</v>
      </c>
      <c r="AS1537" t="s">
        <v>3000</v>
      </c>
    </row>
    <row r="1538" spans="1:45" x14ac:dyDescent="0.2">
      <c r="A1538" t="s">
        <v>1326</v>
      </c>
      <c r="B1538" s="4" t="s">
        <v>1146</v>
      </c>
      <c r="C1538" s="4" t="s">
        <v>1149</v>
      </c>
      <c r="D1538" t="s">
        <v>1348</v>
      </c>
      <c r="E1538" t="s">
        <v>1349</v>
      </c>
      <c r="G1538" s="4" t="s">
        <v>1165</v>
      </c>
      <c r="H1538" t="s">
        <v>1165</v>
      </c>
      <c r="I1538" t="s">
        <v>1328</v>
      </c>
      <c r="J1538" t="s">
        <v>1337</v>
      </c>
      <c r="K1538" t="s">
        <v>1338</v>
      </c>
      <c r="L1538">
        <v>2000</v>
      </c>
      <c r="M1538" t="s">
        <v>1327</v>
      </c>
      <c r="O1538">
        <v>2005</v>
      </c>
      <c r="P1538">
        <v>2005</v>
      </c>
      <c r="Q1538" t="s">
        <v>1329</v>
      </c>
      <c r="R1538">
        <v>10</v>
      </c>
      <c r="T1538" t="s">
        <v>1330</v>
      </c>
      <c r="U1538" t="s">
        <v>1246</v>
      </c>
      <c r="V1538" s="9" t="s">
        <v>1332</v>
      </c>
      <c r="W1538">
        <v>35</v>
      </c>
      <c r="X1538" s="9" t="s">
        <v>1333</v>
      </c>
      <c r="Z1538">
        <v>12</v>
      </c>
      <c r="AD1538" t="s">
        <v>1165</v>
      </c>
      <c r="AF1538" t="s">
        <v>1165</v>
      </c>
      <c r="AI1538" t="s">
        <v>1165</v>
      </c>
      <c r="AJ1538" s="4" t="s">
        <v>1148</v>
      </c>
      <c r="AK1538" s="4">
        <v>100</v>
      </c>
      <c r="AP1538" s="4">
        <v>28</v>
      </c>
      <c r="AQ1538" t="s">
        <v>1336</v>
      </c>
      <c r="AR1538" s="4" t="s">
        <v>1335</v>
      </c>
      <c r="AS1538" t="s">
        <v>3000</v>
      </c>
    </row>
    <row r="1539" spans="1:45" x14ac:dyDescent="0.2">
      <c r="A1539" t="s">
        <v>1326</v>
      </c>
      <c r="B1539" s="4" t="s">
        <v>1146</v>
      </c>
      <c r="C1539" s="4" t="s">
        <v>1149</v>
      </c>
      <c r="D1539" t="s">
        <v>1348</v>
      </c>
      <c r="E1539" t="s">
        <v>1349</v>
      </c>
      <c r="G1539" s="4" t="s">
        <v>1165</v>
      </c>
      <c r="H1539" t="s">
        <v>1165</v>
      </c>
      <c r="I1539" t="s">
        <v>1328</v>
      </c>
      <c r="J1539" t="s">
        <v>1337</v>
      </c>
      <c r="K1539" t="s">
        <v>1338</v>
      </c>
      <c r="L1539">
        <v>2000</v>
      </c>
      <c r="M1539" t="s">
        <v>1327</v>
      </c>
      <c r="O1539">
        <v>2005</v>
      </c>
      <c r="P1539">
        <v>2005</v>
      </c>
      <c r="Q1539" t="s">
        <v>1329</v>
      </c>
      <c r="R1539">
        <v>10</v>
      </c>
      <c r="T1539" t="s">
        <v>1330</v>
      </c>
      <c r="U1539" t="s">
        <v>1246</v>
      </c>
      <c r="V1539" s="9" t="s">
        <v>1332</v>
      </c>
      <c r="W1539">
        <v>35</v>
      </c>
      <c r="X1539" s="9" t="s">
        <v>1264</v>
      </c>
      <c r="Z1539">
        <v>12</v>
      </c>
      <c r="AD1539" t="s">
        <v>1165</v>
      </c>
      <c r="AF1539" t="s">
        <v>1165</v>
      </c>
      <c r="AI1539" t="s">
        <v>1165</v>
      </c>
      <c r="AJ1539" s="4" t="s">
        <v>1148</v>
      </c>
      <c r="AK1539" s="4">
        <v>100</v>
      </c>
      <c r="AP1539" s="4">
        <v>28</v>
      </c>
      <c r="AQ1539" t="s">
        <v>1336</v>
      </c>
      <c r="AR1539" s="4" t="s">
        <v>1335</v>
      </c>
      <c r="AS1539" t="s">
        <v>3000</v>
      </c>
    </row>
    <row r="1540" spans="1:45" x14ac:dyDescent="0.2">
      <c r="A1540" t="s">
        <v>1326</v>
      </c>
      <c r="B1540" s="4" t="s">
        <v>1146</v>
      </c>
      <c r="C1540" s="4" t="s">
        <v>1149</v>
      </c>
      <c r="D1540" t="s">
        <v>1348</v>
      </c>
      <c r="E1540" t="s">
        <v>1349</v>
      </c>
      <c r="G1540" s="4" t="s">
        <v>1165</v>
      </c>
      <c r="H1540" t="s">
        <v>1165</v>
      </c>
      <c r="I1540" t="s">
        <v>1328</v>
      </c>
      <c r="J1540" t="s">
        <v>1337</v>
      </c>
      <c r="K1540" t="s">
        <v>1338</v>
      </c>
      <c r="L1540">
        <v>2000</v>
      </c>
      <c r="M1540" t="s">
        <v>1327</v>
      </c>
      <c r="O1540">
        <v>2005</v>
      </c>
      <c r="P1540">
        <v>2005</v>
      </c>
      <c r="Q1540" t="s">
        <v>1329</v>
      </c>
      <c r="R1540">
        <v>10</v>
      </c>
      <c r="T1540" t="s">
        <v>1330</v>
      </c>
      <c r="U1540" t="s">
        <v>1246</v>
      </c>
      <c r="V1540" s="9" t="s">
        <v>1332</v>
      </c>
      <c r="W1540">
        <v>35</v>
      </c>
      <c r="X1540" s="9" t="s">
        <v>1261</v>
      </c>
      <c r="Z1540">
        <v>12</v>
      </c>
      <c r="AD1540" t="s">
        <v>1165</v>
      </c>
      <c r="AF1540" t="s">
        <v>1165</v>
      </c>
      <c r="AI1540" t="s">
        <v>1165</v>
      </c>
      <c r="AJ1540" s="4" t="s">
        <v>1148</v>
      </c>
      <c r="AK1540" s="4">
        <v>100</v>
      </c>
      <c r="AP1540" s="4">
        <v>28</v>
      </c>
      <c r="AQ1540" t="s">
        <v>1336</v>
      </c>
      <c r="AR1540" s="4" t="s">
        <v>1335</v>
      </c>
      <c r="AS1540" t="s">
        <v>3000</v>
      </c>
    </row>
    <row r="1541" spans="1:45" x14ac:dyDescent="0.2">
      <c r="A1541" t="s">
        <v>1326</v>
      </c>
      <c r="B1541" s="4" t="s">
        <v>1146</v>
      </c>
      <c r="C1541" s="4" t="s">
        <v>1149</v>
      </c>
      <c r="D1541" t="s">
        <v>1348</v>
      </c>
      <c r="E1541" t="s">
        <v>1349</v>
      </c>
      <c r="G1541" s="4" t="s">
        <v>1165</v>
      </c>
      <c r="H1541" t="s">
        <v>1165</v>
      </c>
      <c r="I1541" t="s">
        <v>1328</v>
      </c>
      <c r="J1541" t="s">
        <v>1337</v>
      </c>
      <c r="K1541" t="s">
        <v>1338</v>
      </c>
      <c r="L1541">
        <v>2000</v>
      </c>
      <c r="M1541" t="s">
        <v>1327</v>
      </c>
      <c r="O1541">
        <v>2005</v>
      </c>
      <c r="P1541">
        <v>2005</v>
      </c>
      <c r="Q1541" t="s">
        <v>1329</v>
      </c>
      <c r="R1541">
        <v>10</v>
      </c>
      <c r="T1541" t="s">
        <v>1330</v>
      </c>
      <c r="U1541" t="s">
        <v>1246</v>
      </c>
      <c r="V1541" s="9" t="s">
        <v>1332</v>
      </c>
      <c r="W1541">
        <v>35</v>
      </c>
      <c r="X1541" s="9" t="s">
        <v>1334</v>
      </c>
      <c r="Z1541">
        <v>12</v>
      </c>
      <c r="AD1541" t="s">
        <v>1165</v>
      </c>
      <c r="AF1541" t="s">
        <v>1165</v>
      </c>
      <c r="AI1541" t="s">
        <v>1165</v>
      </c>
      <c r="AJ1541" s="4" t="s">
        <v>1148</v>
      </c>
      <c r="AK1541" s="4">
        <v>100</v>
      </c>
      <c r="AP1541" s="4">
        <v>28</v>
      </c>
      <c r="AQ1541" t="s">
        <v>1336</v>
      </c>
      <c r="AR1541" s="4" t="s">
        <v>1335</v>
      </c>
      <c r="AS1541" t="s">
        <v>3000</v>
      </c>
    </row>
    <row r="1542" spans="1:45" x14ac:dyDescent="0.2">
      <c r="A1542" t="s">
        <v>1326</v>
      </c>
      <c r="B1542" s="4" t="s">
        <v>1146</v>
      </c>
      <c r="C1542" s="4" t="s">
        <v>1149</v>
      </c>
      <c r="D1542" t="s">
        <v>1348</v>
      </c>
      <c r="E1542" t="s">
        <v>1349</v>
      </c>
      <c r="G1542" s="4" t="s">
        <v>1165</v>
      </c>
      <c r="H1542" t="s">
        <v>1165</v>
      </c>
      <c r="I1542" t="s">
        <v>1328</v>
      </c>
      <c r="J1542" t="s">
        <v>1337</v>
      </c>
      <c r="K1542" t="s">
        <v>1338</v>
      </c>
      <c r="L1542">
        <v>2000</v>
      </c>
      <c r="M1542" t="s">
        <v>1327</v>
      </c>
      <c r="O1542">
        <v>2005</v>
      </c>
      <c r="P1542">
        <v>2005</v>
      </c>
      <c r="Q1542" t="s">
        <v>1329</v>
      </c>
      <c r="R1542">
        <v>10</v>
      </c>
      <c r="T1542" t="s">
        <v>1330</v>
      </c>
      <c r="U1542" t="s">
        <v>1246</v>
      </c>
      <c r="V1542" s="9" t="s">
        <v>1332</v>
      </c>
      <c r="W1542">
        <v>35</v>
      </c>
      <c r="X1542" s="9" t="s">
        <v>1333</v>
      </c>
      <c r="Z1542">
        <v>0</v>
      </c>
      <c r="AD1542" t="s">
        <v>1165</v>
      </c>
      <c r="AF1542" t="s">
        <v>1165</v>
      </c>
      <c r="AI1542" t="s">
        <v>1165</v>
      </c>
      <c r="AJ1542" s="4" t="s">
        <v>1148</v>
      </c>
      <c r="AK1542" s="4">
        <v>6.2009999999999996</v>
      </c>
      <c r="AP1542" s="4">
        <v>28</v>
      </c>
      <c r="AQ1542" t="s">
        <v>1336</v>
      </c>
      <c r="AR1542" s="4" t="s">
        <v>1335</v>
      </c>
      <c r="AS1542" t="s">
        <v>3000</v>
      </c>
    </row>
    <row r="1543" spans="1:45" x14ac:dyDescent="0.2">
      <c r="A1543" t="s">
        <v>1326</v>
      </c>
      <c r="B1543" s="4" t="s">
        <v>1146</v>
      </c>
      <c r="C1543" s="4" t="s">
        <v>1149</v>
      </c>
      <c r="D1543" t="s">
        <v>1348</v>
      </c>
      <c r="E1543" t="s">
        <v>1349</v>
      </c>
      <c r="G1543" s="4" t="s">
        <v>1165</v>
      </c>
      <c r="H1543" t="s">
        <v>1165</v>
      </c>
      <c r="I1543" t="s">
        <v>1328</v>
      </c>
      <c r="J1543" t="s">
        <v>1337</v>
      </c>
      <c r="K1543" t="s">
        <v>1338</v>
      </c>
      <c r="L1543">
        <v>2000</v>
      </c>
      <c r="M1543" t="s">
        <v>1327</v>
      </c>
      <c r="O1543">
        <v>2005</v>
      </c>
      <c r="P1543">
        <v>2005</v>
      </c>
      <c r="Q1543" t="s">
        <v>1329</v>
      </c>
      <c r="R1543">
        <v>10</v>
      </c>
      <c r="T1543" t="s">
        <v>1330</v>
      </c>
      <c r="U1543" t="s">
        <v>1246</v>
      </c>
      <c r="V1543" s="9" t="s">
        <v>1332</v>
      </c>
      <c r="W1543">
        <v>35</v>
      </c>
      <c r="X1543" s="9" t="s">
        <v>1264</v>
      </c>
      <c r="Z1543">
        <v>0</v>
      </c>
      <c r="AD1543" t="s">
        <v>1165</v>
      </c>
      <c r="AF1543" t="s">
        <v>1165</v>
      </c>
      <c r="AI1543" t="s">
        <v>1165</v>
      </c>
      <c r="AJ1543" s="4" t="s">
        <v>1148</v>
      </c>
      <c r="AK1543" s="4">
        <v>6.4960000000000004</v>
      </c>
      <c r="AP1543" s="4">
        <v>28</v>
      </c>
      <c r="AQ1543" t="s">
        <v>1336</v>
      </c>
      <c r="AR1543" s="4" t="s">
        <v>1335</v>
      </c>
      <c r="AS1543" t="s">
        <v>3000</v>
      </c>
    </row>
    <row r="1544" spans="1:45" x14ac:dyDescent="0.2">
      <c r="A1544" t="s">
        <v>1326</v>
      </c>
      <c r="B1544" s="4" t="s">
        <v>1146</v>
      </c>
      <c r="C1544" s="4" t="s">
        <v>1149</v>
      </c>
      <c r="D1544" t="s">
        <v>1348</v>
      </c>
      <c r="E1544" t="s">
        <v>1349</v>
      </c>
      <c r="G1544" s="4" t="s">
        <v>1165</v>
      </c>
      <c r="H1544" t="s">
        <v>1165</v>
      </c>
      <c r="I1544" t="s">
        <v>1328</v>
      </c>
      <c r="J1544" t="s">
        <v>1337</v>
      </c>
      <c r="K1544" t="s">
        <v>1338</v>
      </c>
      <c r="L1544">
        <v>2000</v>
      </c>
      <c r="M1544" t="s">
        <v>1327</v>
      </c>
      <c r="O1544">
        <v>2005</v>
      </c>
      <c r="P1544">
        <v>2005</v>
      </c>
      <c r="Q1544" t="s">
        <v>1329</v>
      </c>
      <c r="R1544">
        <v>10</v>
      </c>
      <c r="T1544" t="s">
        <v>1330</v>
      </c>
      <c r="U1544" t="s">
        <v>1246</v>
      </c>
      <c r="V1544" s="9" t="s">
        <v>1332</v>
      </c>
      <c r="W1544">
        <v>35</v>
      </c>
      <c r="X1544" s="9" t="s">
        <v>1261</v>
      </c>
      <c r="Z1544">
        <v>0</v>
      </c>
      <c r="AD1544" t="s">
        <v>1165</v>
      </c>
      <c r="AF1544" t="s">
        <v>1165</v>
      </c>
      <c r="AI1544" t="s">
        <v>1165</v>
      </c>
      <c r="AJ1544" s="4" t="s">
        <v>1148</v>
      </c>
      <c r="AK1544" s="4">
        <v>3.5430000000000001</v>
      </c>
      <c r="AP1544" s="4">
        <v>28</v>
      </c>
      <c r="AQ1544" t="s">
        <v>1336</v>
      </c>
      <c r="AR1544" s="4" t="s">
        <v>1335</v>
      </c>
      <c r="AS1544" t="s">
        <v>3000</v>
      </c>
    </row>
    <row r="1545" spans="1:45" x14ac:dyDescent="0.2">
      <c r="A1545" t="s">
        <v>1326</v>
      </c>
      <c r="B1545" s="4" t="s">
        <v>1146</v>
      </c>
      <c r="C1545" s="4" t="s">
        <v>1149</v>
      </c>
      <c r="D1545" t="s">
        <v>1348</v>
      </c>
      <c r="E1545" t="s">
        <v>1349</v>
      </c>
      <c r="G1545" s="4" t="s">
        <v>1165</v>
      </c>
      <c r="H1545" t="s">
        <v>1165</v>
      </c>
      <c r="I1545" t="s">
        <v>1328</v>
      </c>
      <c r="J1545" t="s">
        <v>1337</v>
      </c>
      <c r="K1545" t="s">
        <v>1338</v>
      </c>
      <c r="L1545">
        <v>2000</v>
      </c>
      <c r="M1545" t="s">
        <v>1327</v>
      </c>
      <c r="O1545">
        <v>2005</v>
      </c>
      <c r="P1545">
        <v>2005</v>
      </c>
      <c r="Q1545" t="s">
        <v>1329</v>
      </c>
      <c r="R1545">
        <v>10</v>
      </c>
      <c r="T1545" t="s">
        <v>1330</v>
      </c>
      <c r="U1545" t="s">
        <v>1246</v>
      </c>
      <c r="V1545" s="9" t="s">
        <v>1332</v>
      </c>
      <c r="W1545">
        <v>35</v>
      </c>
      <c r="X1545" s="9" t="s">
        <v>1334</v>
      </c>
      <c r="Z1545">
        <v>0</v>
      </c>
      <c r="AD1545" t="s">
        <v>1165</v>
      </c>
      <c r="AF1545" t="s">
        <v>1165</v>
      </c>
      <c r="AI1545" t="s">
        <v>1165</v>
      </c>
      <c r="AJ1545" s="4" t="s">
        <v>1148</v>
      </c>
      <c r="AK1545" s="4">
        <v>7.3819999999999997</v>
      </c>
      <c r="AP1545" s="4">
        <v>28</v>
      </c>
      <c r="AQ1545" t="s">
        <v>1336</v>
      </c>
      <c r="AR1545" s="4" t="s">
        <v>1335</v>
      </c>
      <c r="AS1545" t="s">
        <v>3000</v>
      </c>
    </row>
    <row r="1546" spans="1:45" x14ac:dyDescent="0.2">
      <c r="A1546" t="s">
        <v>1326</v>
      </c>
      <c r="B1546" s="4" t="s">
        <v>1146</v>
      </c>
      <c r="C1546" s="4" t="s">
        <v>1149</v>
      </c>
      <c r="D1546" t="s">
        <v>1348</v>
      </c>
      <c r="E1546" t="s">
        <v>1349</v>
      </c>
      <c r="G1546" s="4" t="s">
        <v>1165</v>
      </c>
      <c r="H1546" t="s">
        <v>1165</v>
      </c>
      <c r="I1546" t="s">
        <v>1328</v>
      </c>
      <c r="J1546" t="s">
        <v>1337</v>
      </c>
      <c r="K1546" t="s">
        <v>1338</v>
      </c>
      <c r="L1546">
        <v>2000</v>
      </c>
      <c r="M1546" t="s">
        <v>1327</v>
      </c>
      <c r="O1546">
        <v>2005</v>
      </c>
      <c r="P1546">
        <v>2005</v>
      </c>
      <c r="Q1546" t="s">
        <v>1329</v>
      </c>
      <c r="R1546">
        <v>10</v>
      </c>
      <c r="T1546" t="s">
        <v>1330</v>
      </c>
      <c r="U1546" t="s">
        <v>1246</v>
      </c>
      <c r="V1546" s="9" t="s">
        <v>1332</v>
      </c>
      <c r="W1546">
        <v>70</v>
      </c>
      <c r="X1546" s="9" t="s">
        <v>1333</v>
      </c>
      <c r="Z1546">
        <v>12</v>
      </c>
      <c r="AD1546" t="s">
        <v>1165</v>
      </c>
      <c r="AF1546" t="s">
        <v>1165</v>
      </c>
      <c r="AI1546" t="s">
        <v>1165</v>
      </c>
      <c r="AJ1546" s="4" t="s">
        <v>1148</v>
      </c>
      <c r="AK1546" s="4">
        <v>100</v>
      </c>
      <c r="AP1546" s="4">
        <v>28</v>
      </c>
      <c r="AQ1546" t="s">
        <v>1336</v>
      </c>
      <c r="AR1546" s="4" t="s">
        <v>1335</v>
      </c>
      <c r="AS1546" t="s">
        <v>3000</v>
      </c>
    </row>
    <row r="1547" spans="1:45" x14ac:dyDescent="0.2">
      <c r="A1547" t="s">
        <v>1326</v>
      </c>
      <c r="B1547" s="4" t="s">
        <v>1146</v>
      </c>
      <c r="C1547" s="4" t="s">
        <v>1149</v>
      </c>
      <c r="D1547" t="s">
        <v>1348</v>
      </c>
      <c r="E1547" t="s">
        <v>1349</v>
      </c>
      <c r="G1547" s="4" t="s">
        <v>1165</v>
      </c>
      <c r="H1547" t="s">
        <v>1165</v>
      </c>
      <c r="I1547" t="s">
        <v>1328</v>
      </c>
      <c r="J1547" t="s">
        <v>1337</v>
      </c>
      <c r="K1547" t="s">
        <v>1338</v>
      </c>
      <c r="L1547">
        <v>2000</v>
      </c>
      <c r="M1547" t="s">
        <v>1327</v>
      </c>
      <c r="O1547">
        <v>2005</v>
      </c>
      <c r="P1547">
        <v>2005</v>
      </c>
      <c r="Q1547" t="s">
        <v>1329</v>
      </c>
      <c r="R1547">
        <v>10</v>
      </c>
      <c r="T1547" t="s">
        <v>1330</v>
      </c>
      <c r="U1547" t="s">
        <v>1246</v>
      </c>
      <c r="V1547" s="9" t="s">
        <v>1332</v>
      </c>
      <c r="W1547">
        <v>70</v>
      </c>
      <c r="X1547" s="9" t="s">
        <v>1264</v>
      </c>
      <c r="Z1547">
        <v>12</v>
      </c>
      <c r="AD1547" t="s">
        <v>1165</v>
      </c>
      <c r="AF1547" t="s">
        <v>1165</v>
      </c>
      <c r="AI1547" t="s">
        <v>1165</v>
      </c>
      <c r="AJ1547" s="4" t="s">
        <v>1148</v>
      </c>
      <c r="AK1547" s="4">
        <v>100</v>
      </c>
      <c r="AP1547" s="4">
        <v>28</v>
      </c>
      <c r="AQ1547" t="s">
        <v>1336</v>
      </c>
      <c r="AR1547" s="4" t="s">
        <v>1335</v>
      </c>
      <c r="AS1547" t="s">
        <v>3000</v>
      </c>
    </row>
    <row r="1548" spans="1:45" x14ac:dyDescent="0.2">
      <c r="A1548" t="s">
        <v>1326</v>
      </c>
      <c r="B1548" s="4" t="s">
        <v>1146</v>
      </c>
      <c r="C1548" s="4" t="s">
        <v>1149</v>
      </c>
      <c r="D1548" t="s">
        <v>1348</v>
      </c>
      <c r="E1548" t="s">
        <v>1349</v>
      </c>
      <c r="G1548" s="4" t="s">
        <v>1165</v>
      </c>
      <c r="H1548" t="s">
        <v>1165</v>
      </c>
      <c r="I1548" t="s">
        <v>1328</v>
      </c>
      <c r="J1548" t="s">
        <v>1337</v>
      </c>
      <c r="K1548" t="s">
        <v>1338</v>
      </c>
      <c r="L1548">
        <v>2000</v>
      </c>
      <c r="M1548" t="s">
        <v>1327</v>
      </c>
      <c r="O1548">
        <v>2005</v>
      </c>
      <c r="P1548">
        <v>2005</v>
      </c>
      <c r="Q1548" t="s">
        <v>1329</v>
      </c>
      <c r="R1548">
        <v>10</v>
      </c>
      <c r="T1548" t="s">
        <v>1330</v>
      </c>
      <c r="U1548" t="s">
        <v>1246</v>
      </c>
      <c r="V1548" s="9" t="s">
        <v>1332</v>
      </c>
      <c r="W1548">
        <v>70</v>
      </c>
      <c r="X1548" s="9" t="s">
        <v>1261</v>
      </c>
      <c r="Z1548">
        <v>12</v>
      </c>
      <c r="AD1548" t="s">
        <v>1165</v>
      </c>
      <c r="AF1548" t="s">
        <v>1165</v>
      </c>
      <c r="AI1548" t="s">
        <v>1165</v>
      </c>
      <c r="AJ1548" s="4" t="s">
        <v>1148</v>
      </c>
      <c r="AK1548" s="4">
        <v>100</v>
      </c>
      <c r="AP1548" s="4">
        <v>28</v>
      </c>
      <c r="AQ1548" t="s">
        <v>1336</v>
      </c>
      <c r="AR1548" s="4" t="s">
        <v>1335</v>
      </c>
      <c r="AS1548" t="s">
        <v>3000</v>
      </c>
    </row>
    <row r="1549" spans="1:45" x14ac:dyDescent="0.2">
      <c r="A1549" t="s">
        <v>1326</v>
      </c>
      <c r="B1549" s="4" t="s">
        <v>1146</v>
      </c>
      <c r="C1549" s="4" t="s">
        <v>1149</v>
      </c>
      <c r="D1549" t="s">
        <v>1348</v>
      </c>
      <c r="E1549" t="s">
        <v>1349</v>
      </c>
      <c r="G1549" s="4" t="s">
        <v>1165</v>
      </c>
      <c r="H1549" t="s">
        <v>1165</v>
      </c>
      <c r="I1549" t="s">
        <v>1328</v>
      </c>
      <c r="J1549" t="s">
        <v>1337</v>
      </c>
      <c r="K1549" t="s">
        <v>1338</v>
      </c>
      <c r="L1549">
        <v>2000</v>
      </c>
      <c r="M1549" t="s">
        <v>1327</v>
      </c>
      <c r="O1549">
        <v>2005</v>
      </c>
      <c r="P1549">
        <v>2005</v>
      </c>
      <c r="Q1549" t="s">
        <v>1329</v>
      </c>
      <c r="R1549">
        <v>10</v>
      </c>
      <c r="T1549" t="s">
        <v>1330</v>
      </c>
      <c r="U1549" t="s">
        <v>1246</v>
      </c>
      <c r="V1549" s="9" t="s">
        <v>1332</v>
      </c>
      <c r="W1549">
        <v>70</v>
      </c>
      <c r="X1549" s="9" t="s">
        <v>1334</v>
      </c>
      <c r="Z1549">
        <v>12</v>
      </c>
      <c r="AD1549" t="s">
        <v>1165</v>
      </c>
      <c r="AF1549" t="s">
        <v>1165</v>
      </c>
      <c r="AI1549" t="s">
        <v>1165</v>
      </c>
      <c r="AJ1549" s="4" t="s">
        <v>1148</v>
      </c>
      <c r="AK1549" s="4">
        <v>100</v>
      </c>
      <c r="AP1549" s="4">
        <v>28</v>
      </c>
      <c r="AQ1549" t="s">
        <v>1336</v>
      </c>
      <c r="AR1549" s="4" t="s">
        <v>1335</v>
      </c>
      <c r="AS1549" t="s">
        <v>3000</v>
      </c>
    </row>
    <row r="1550" spans="1:45" x14ac:dyDescent="0.2">
      <c r="A1550" t="s">
        <v>1326</v>
      </c>
      <c r="B1550" s="4" t="s">
        <v>1146</v>
      </c>
      <c r="C1550" s="4" t="s">
        <v>1149</v>
      </c>
      <c r="D1550" t="s">
        <v>1348</v>
      </c>
      <c r="E1550" t="s">
        <v>1349</v>
      </c>
      <c r="G1550" s="4" t="s">
        <v>1165</v>
      </c>
      <c r="H1550" t="s">
        <v>1165</v>
      </c>
      <c r="I1550" t="s">
        <v>1328</v>
      </c>
      <c r="J1550" t="s">
        <v>1337</v>
      </c>
      <c r="K1550" t="s">
        <v>1338</v>
      </c>
      <c r="L1550">
        <v>2000</v>
      </c>
      <c r="M1550" t="s">
        <v>1327</v>
      </c>
      <c r="O1550">
        <v>2005</v>
      </c>
      <c r="P1550">
        <v>2005</v>
      </c>
      <c r="Q1550" t="s">
        <v>1329</v>
      </c>
      <c r="R1550">
        <v>10</v>
      </c>
      <c r="T1550" t="s">
        <v>1330</v>
      </c>
      <c r="U1550" t="s">
        <v>1246</v>
      </c>
      <c r="V1550" s="9" t="s">
        <v>1332</v>
      </c>
      <c r="W1550">
        <v>70</v>
      </c>
      <c r="X1550" s="9" t="s">
        <v>1333</v>
      </c>
      <c r="Z1550">
        <v>0</v>
      </c>
      <c r="AD1550" t="s">
        <v>1165</v>
      </c>
      <c r="AF1550" t="s">
        <v>1165</v>
      </c>
      <c r="AI1550" t="s">
        <v>1165</v>
      </c>
      <c r="AJ1550" s="4" t="s">
        <v>1148</v>
      </c>
      <c r="AK1550" s="4">
        <v>0</v>
      </c>
      <c r="AP1550" s="4">
        <v>28</v>
      </c>
      <c r="AQ1550" t="s">
        <v>1336</v>
      </c>
      <c r="AR1550" s="4" t="s">
        <v>1335</v>
      </c>
      <c r="AS1550" t="s">
        <v>3000</v>
      </c>
    </row>
    <row r="1551" spans="1:45" x14ac:dyDescent="0.2">
      <c r="A1551" t="s">
        <v>1326</v>
      </c>
      <c r="B1551" s="4" t="s">
        <v>1146</v>
      </c>
      <c r="C1551" s="4" t="s">
        <v>1149</v>
      </c>
      <c r="D1551" t="s">
        <v>1348</v>
      </c>
      <c r="E1551" t="s">
        <v>1349</v>
      </c>
      <c r="G1551" s="4" t="s">
        <v>1165</v>
      </c>
      <c r="H1551" t="s">
        <v>1165</v>
      </c>
      <c r="I1551" t="s">
        <v>1328</v>
      </c>
      <c r="J1551" t="s">
        <v>1337</v>
      </c>
      <c r="K1551" t="s">
        <v>1338</v>
      </c>
      <c r="L1551">
        <v>2000</v>
      </c>
      <c r="M1551" t="s">
        <v>1327</v>
      </c>
      <c r="O1551">
        <v>2005</v>
      </c>
      <c r="P1551">
        <v>2005</v>
      </c>
      <c r="Q1551" t="s">
        <v>1329</v>
      </c>
      <c r="R1551">
        <v>10</v>
      </c>
      <c r="T1551" t="s">
        <v>1330</v>
      </c>
      <c r="U1551" t="s">
        <v>1246</v>
      </c>
      <c r="V1551" s="9" t="s">
        <v>1332</v>
      </c>
      <c r="W1551">
        <v>70</v>
      </c>
      <c r="X1551" s="9" t="s">
        <v>1264</v>
      </c>
      <c r="Z1551">
        <v>0</v>
      </c>
      <c r="AD1551" t="s">
        <v>1165</v>
      </c>
      <c r="AF1551" t="s">
        <v>1165</v>
      </c>
      <c r="AI1551" t="s">
        <v>1165</v>
      </c>
      <c r="AJ1551" s="4" t="s">
        <v>1148</v>
      </c>
      <c r="AK1551" s="4">
        <v>0</v>
      </c>
      <c r="AP1551" s="4">
        <v>28</v>
      </c>
      <c r="AQ1551" t="s">
        <v>1336</v>
      </c>
      <c r="AR1551" s="4" t="s">
        <v>1335</v>
      </c>
      <c r="AS1551" t="s">
        <v>3000</v>
      </c>
    </row>
    <row r="1552" spans="1:45" x14ac:dyDescent="0.2">
      <c r="A1552" t="s">
        <v>1326</v>
      </c>
      <c r="B1552" s="4" t="s">
        <v>1146</v>
      </c>
      <c r="C1552" s="4" t="s">
        <v>1149</v>
      </c>
      <c r="D1552" t="s">
        <v>1348</v>
      </c>
      <c r="E1552" t="s">
        <v>1349</v>
      </c>
      <c r="G1552" s="4" t="s">
        <v>1165</v>
      </c>
      <c r="H1552" t="s">
        <v>1165</v>
      </c>
      <c r="I1552" t="s">
        <v>1328</v>
      </c>
      <c r="J1552" t="s">
        <v>1337</v>
      </c>
      <c r="K1552" t="s">
        <v>1338</v>
      </c>
      <c r="L1552">
        <v>2000</v>
      </c>
      <c r="M1552" t="s">
        <v>1327</v>
      </c>
      <c r="O1552">
        <v>2005</v>
      </c>
      <c r="P1552">
        <v>2005</v>
      </c>
      <c r="Q1552" t="s">
        <v>1329</v>
      </c>
      <c r="R1552">
        <v>10</v>
      </c>
      <c r="T1552" t="s">
        <v>1330</v>
      </c>
      <c r="U1552" t="s">
        <v>1246</v>
      </c>
      <c r="V1552" s="9" t="s">
        <v>1332</v>
      </c>
      <c r="W1552">
        <v>70</v>
      </c>
      <c r="X1552" s="9" t="s">
        <v>1261</v>
      </c>
      <c r="Z1552">
        <v>0</v>
      </c>
      <c r="AD1552" t="s">
        <v>1165</v>
      </c>
      <c r="AF1552" t="s">
        <v>1165</v>
      </c>
      <c r="AI1552" t="s">
        <v>1165</v>
      </c>
      <c r="AJ1552" s="4" t="s">
        <v>1148</v>
      </c>
      <c r="AK1552" s="4">
        <v>2.0670000000000002</v>
      </c>
      <c r="AP1552" s="4">
        <v>28</v>
      </c>
      <c r="AQ1552" t="s">
        <v>1336</v>
      </c>
      <c r="AR1552" s="4" t="s">
        <v>1335</v>
      </c>
      <c r="AS1552" t="s">
        <v>3000</v>
      </c>
    </row>
    <row r="1553" spans="1:45" x14ac:dyDescent="0.2">
      <c r="A1553" t="s">
        <v>1326</v>
      </c>
      <c r="B1553" s="4" t="s">
        <v>1146</v>
      </c>
      <c r="C1553" s="4" t="s">
        <v>1149</v>
      </c>
      <c r="D1553" t="s">
        <v>1348</v>
      </c>
      <c r="E1553" t="s">
        <v>1349</v>
      </c>
      <c r="G1553" s="4" t="s">
        <v>1165</v>
      </c>
      <c r="H1553" t="s">
        <v>1165</v>
      </c>
      <c r="I1553" t="s">
        <v>1328</v>
      </c>
      <c r="J1553" t="s">
        <v>1337</v>
      </c>
      <c r="K1553" t="s">
        <v>1338</v>
      </c>
      <c r="L1553">
        <v>2000</v>
      </c>
      <c r="M1553" t="s">
        <v>1327</v>
      </c>
      <c r="O1553">
        <v>2005</v>
      </c>
      <c r="P1553">
        <v>2005</v>
      </c>
      <c r="Q1553" t="s">
        <v>1329</v>
      </c>
      <c r="R1553">
        <v>10</v>
      </c>
      <c r="T1553" t="s">
        <v>1330</v>
      </c>
      <c r="U1553" t="s">
        <v>1246</v>
      </c>
      <c r="V1553" s="9" t="s">
        <v>1332</v>
      </c>
      <c r="W1553">
        <v>70</v>
      </c>
      <c r="X1553" s="9" t="s">
        <v>1334</v>
      </c>
      <c r="Z1553">
        <v>0</v>
      </c>
      <c r="AD1553" t="s">
        <v>1165</v>
      </c>
      <c r="AF1553" t="s">
        <v>1165</v>
      </c>
      <c r="AI1553" t="s">
        <v>1165</v>
      </c>
      <c r="AJ1553" s="4" t="s">
        <v>1148</v>
      </c>
      <c r="AK1553" s="4">
        <v>4.1340000000000003</v>
      </c>
      <c r="AP1553" s="4">
        <v>28</v>
      </c>
      <c r="AQ1553" t="s">
        <v>1336</v>
      </c>
      <c r="AR1553" s="4" t="s">
        <v>1335</v>
      </c>
      <c r="AS1553" t="s">
        <v>3000</v>
      </c>
    </row>
    <row r="1554" spans="1:45" x14ac:dyDescent="0.2">
      <c r="A1554" t="s">
        <v>1326</v>
      </c>
      <c r="B1554" s="4" t="s">
        <v>1146</v>
      </c>
      <c r="C1554" s="4" t="s">
        <v>1149</v>
      </c>
      <c r="D1554" t="s">
        <v>1348</v>
      </c>
      <c r="E1554" t="s">
        <v>1349</v>
      </c>
      <c r="G1554" s="4" t="s">
        <v>1165</v>
      </c>
      <c r="H1554" t="s">
        <v>1165</v>
      </c>
      <c r="I1554" t="s">
        <v>1328</v>
      </c>
      <c r="J1554" t="s">
        <v>1337</v>
      </c>
      <c r="K1554" t="s">
        <v>1338</v>
      </c>
      <c r="L1554">
        <v>2000</v>
      </c>
      <c r="M1554" t="s">
        <v>1327</v>
      </c>
      <c r="O1554">
        <v>2005</v>
      </c>
      <c r="P1554">
        <v>2005</v>
      </c>
      <c r="Q1554" t="s">
        <v>1329</v>
      </c>
      <c r="R1554">
        <v>10</v>
      </c>
      <c r="T1554" t="s">
        <v>1330</v>
      </c>
      <c r="U1554" t="s">
        <v>1246</v>
      </c>
      <c r="V1554" s="9" t="s">
        <v>1332</v>
      </c>
      <c r="W1554">
        <v>140</v>
      </c>
      <c r="X1554" s="9" t="s">
        <v>1333</v>
      </c>
      <c r="Z1554">
        <v>12</v>
      </c>
      <c r="AD1554" t="s">
        <v>1165</v>
      </c>
      <c r="AF1554" t="s">
        <v>1165</v>
      </c>
      <c r="AI1554" t="s">
        <v>1165</v>
      </c>
      <c r="AJ1554" s="4" t="s">
        <v>1148</v>
      </c>
      <c r="AK1554" s="4">
        <v>100</v>
      </c>
      <c r="AP1554" s="4">
        <v>28</v>
      </c>
      <c r="AQ1554" t="s">
        <v>1336</v>
      </c>
      <c r="AR1554" s="4" t="s">
        <v>1335</v>
      </c>
      <c r="AS1554" t="s">
        <v>3000</v>
      </c>
    </row>
    <row r="1555" spans="1:45" x14ac:dyDescent="0.2">
      <c r="A1555" t="s">
        <v>1326</v>
      </c>
      <c r="B1555" s="4" t="s">
        <v>1146</v>
      </c>
      <c r="C1555" s="4" t="s">
        <v>1149</v>
      </c>
      <c r="D1555" t="s">
        <v>1348</v>
      </c>
      <c r="E1555" t="s">
        <v>1349</v>
      </c>
      <c r="G1555" s="4" t="s">
        <v>1165</v>
      </c>
      <c r="H1555" t="s">
        <v>1165</v>
      </c>
      <c r="I1555" t="s">
        <v>1328</v>
      </c>
      <c r="J1555" t="s">
        <v>1337</v>
      </c>
      <c r="K1555" t="s">
        <v>1338</v>
      </c>
      <c r="L1555">
        <v>2000</v>
      </c>
      <c r="M1555" t="s">
        <v>1327</v>
      </c>
      <c r="O1555">
        <v>2005</v>
      </c>
      <c r="P1555">
        <v>2005</v>
      </c>
      <c r="Q1555" t="s">
        <v>1329</v>
      </c>
      <c r="R1555">
        <v>10</v>
      </c>
      <c r="T1555" t="s">
        <v>1330</v>
      </c>
      <c r="U1555" t="s">
        <v>1246</v>
      </c>
      <c r="V1555" s="9" t="s">
        <v>1332</v>
      </c>
      <c r="W1555">
        <v>140</v>
      </c>
      <c r="X1555" s="9" t="s">
        <v>1264</v>
      </c>
      <c r="Z1555">
        <v>12</v>
      </c>
      <c r="AD1555" t="s">
        <v>1165</v>
      </c>
      <c r="AF1555" t="s">
        <v>1165</v>
      </c>
      <c r="AI1555" t="s">
        <v>1165</v>
      </c>
      <c r="AJ1555" s="4" t="s">
        <v>1148</v>
      </c>
      <c r="AK1555" s="4">
        <v>100</v>
      </c>
      <c r="AP1555" s="4">
        <v>28</v>
      </c>
      <c r="AQ1555" t="s">
        <v>1336</v>
      </c>
      <c r="AR1555" s="4" t="s">
        <v>1335</v>
      </c>
      <c r="AS1555" t="s">
        <v>3000</v>
      </c>
    </row>
    <row r="1556" spans="1:45" x14ac:dyDescent="0.2">
      <c r="A1556" t="s">
        <v>1326</v>
      </c>
      <c r="B1556" s="4" t="s">
        <v>1146</v>
      </c>
      <c r="C1556" s="4" t="s">
        <v>1149</v>
      </c>
      <c r="D1556" t="s">
        <v>1348</v>
      </c>
      <c r="E1556" t="s">
        <v>1349</v>
      </c>
      <c r="G1556" s="4" t="s">
        <v>1165</v>
      </c>
      <c r="H1556" t="s">
        <v>1165</v>
      </c>
      <c r="I1556" t="s">
        <v>1328</v>
      </c>
      <c r="J1556" t="s">
        <v>1337</v>
      </c>
      <c r="K1556" t="s">
        <v>1338</v>
      </c>
      <c r="L1556">
        <v>2000</v>
      </c>
      <c r="M1556" t="s">
        <v>1327</v>
      </c>
      <c r="O1556">
        <v>2005</v>
      </c>
      <c r="P1556">
        <v>2005</v>
      </c>
      <c r="Q1556" t="s">
        <v>1329</v>
      </c>
      <c r="R1556">
        <v>10</v>
      </c>
      <c r="T1556" t="s">
        <v>1330</v>
      </c>
      <c r="U1556" t="s">
        <v>1246</v>
      </c>
      <c r="V1556" s="9" t="s">
        <v>1332</v>
      </c>
      <c r="W1556">
        <v>140</v>
      </c>
      <c r="X1556" s="9" t="s">
        <v>1261</v>
      </c>
      <c r="Z1556">
        <v>12</v>
      </c>
      <c r="AD1556" t="s">
        <v>1165</v>
      </c>
      <c r="AF1556" t="s">
        <v>1165</v>
      </c>
      <c r="AI1556" t="s">
        <v>1165</v>
      </c>
      <c r="AJ1556" s="4" t="s">
        <v>1148</v>
      </c>
      <c r="AK1556" s="4">
        <v>100</v>
      </c>
      <c r="AP1556" s="4">
        <v>28</v>
      </c>
      <c r="AQ1556" t="s">
        <v>1336</v>
      </c>
      <c r="AR1556" s="4" t="s">
        <v>1335</v>
      </c>
      <c r="AS1556" t="s">
        <v>3000</v>
      </c>
    </row>
    <row r="1557" spans="1:45" x14ac:dyDescent="0.2">
      <c r="A1557" t="s">
        <v>1326</v>
      </c>
      <c r="B1557" s="4" t="s">
        <v>1146</v>
      </c>
      <c r="C1557" s="4" t="s">
        <v>1149</v>
      </c>
      <c r="D1557" t="s">
        <v>1348</v>
      </c>
      <c r="E1557" t="s">
        <v>1349</v>
      </c>
      <c r="G1557" s="4" t="s">
        <v>1165</v>
      </c>
      <c r="H1557" t="s">
        <v>1165</v>
      </c>
      <c r="I1557" t="s">
        <v>1328</v>
      </c>
      <c r="J1557" t="s">
        <v>1337</v>
      </c>
      <c r="K1557" t="s">
        <v>1338</v>
      </c>
      <c r="L1557">
        <v>2000</v>
      </c>
      <c r="M1557" t="s">
        <v>1327</v>
      </c>
      <c r="O1557">
        <v>2005</v>
      </c>
      <c r="P1557">
        <v>2005</v>
      </c>
      <c r="Q1557" t="s">
        <v>1329</v>
      </c>
      <c r="R1557">
        <v>10</v>
      </c>
      <c r="T1557" t="s">
        <v>1330</v>
      </c>
      <c r="U1557" t="s">
        <v>1246</v>
      </c>
      <c r="V1557" s="9" t="s">
        <v>1332</v>
      </c>
      <c r="W1557">
        <v>140</v>
      </c>
      <c r="X1557" s="9" t="s">
        <v>1334</v>
      </c>
      <c r="Z1557">
        <v>12</v>
      </c>
      <c r="AD1557" t="s">
        <v>1165</v>
      </c>
      <c r="AF1557" t="s">
        <v>1165</v>
      </c>
      <c r="AI1557" t="s">
        <v>1165</v>
      </c>
      <c r="AJ1557" s="4" t="s">
        <v>1148</v>
      </c>
      <c r="AK1557" s="4">
        <v>100</v>
      </c>
      <c r="AP1557" s="4">
        <v>28</v>
      </c>
      <c r="AQ1557" t="s">
        <v>1336</v>
      </c>
      <c r="AR1557" s="4" t="s">
        <v>1335</v>
      </c>
      <c r="AS1557" t="s">
        <v>3000</v>
      </c>
    </row>
    <row r="1558" spans="1:45" x14ac:dyDescent="0.2">
      <c r="A1558" t="s">
        <v>1326</v>
      </c>
      <c r="B1558" s="4" t="s">
        <v>1146</v>
      </c>
      <c r="C1558" s="4" t="s">
        <v>1149</v>
      </c>
      <c r="D1558" t="s">
        <v>1348</v>
      </c>
      <c r="E1558" t="s">
        <v>1349</v>
      </c>
      <c r="G1558" s="4" t="s">
        <v>1165</v>
      </c>
      <c r="H1558" t="s">
        <v>1165</v>
      </c>
      <c r="I1558" t="s">
        <v>1328</v>
      </c>
      <c r="J1558" t="s">
        <v>1337</v>
      </c>
      <c r="K1558" t="s">
        <v>1338</v>
      </c>
      <c r="L1558">
        <v>2000</v>
      </c>
      <c r="M1558" t="s">
        <v>1327</v>
      </c>
      <c r="O1558">
        <v>2005</v>
      </c>
      <c r="P1558">
        <v>2005</v>
      </c>
      <c r="Q1558" t="s">
        <v>1329</v>
      </c>
      <c r="R1558">
        <v>10</v>
      </c>
      <c r="T1558" t="s">
        <v>1330</v>
      </c>
      <c r="U1558" t="s">
        <v>1246</v>
      </c>
      <c r="V1558" s="9" t="s">
        <v>1332</v>
      </c>
      <c r="W1558">
        <v>140</v>
      </c>
      <c r="X1558" s="9" t="s">
        <v>1333</v>
      </c>
      <c r="Z1558">
        <v>0</v>
      </c>
      <c r="AD1558" t="s">
        <v>1165</v>
      </c>
      <c r="AF1558" t="s">
        <v>1165</v>
      </c>
      <c r="AI1558" t="s">
        <v>1165</v>
      </c>
      <c r="AJ1558" s="4" t="s">
        <v>1148</v>
      </c>
      <c r="AK1558" s="4">
        <v>0</v>
      </c>
      <c r="AP1558" s="4">
        <v>28</v>
      </c>
      <c r="AQ1558" t="s">
        <v>1336</v>
      </c>
      <c r="AR1558" s="4" t="s">
        <v>1335</v>
      </c>
      <c r="AS1558" t="s">
        <v>3000</v>
      </c>
    </row>
    <row r="1559" spans="1:45" x14ac:dyDescent="0.2">
      <c r="A1559" t="s">
        <v>1326</v>
      </c>
      <c r="B1559" s="4" t="s">
        <v>1146</v>
      </c>
      <c r="C1559" s="4" t="s">
        <v>1149</v>
      </c>
      <c r="D1559" t="s">
        <v>1348</v>
      </c>
      <c r="E1559" t="s">
        <v>1349</v>
      </c>
      <c r="G1559" s="4" t="s">
        <v>1165</v>
      </c>
      <c r="H1559" t="s">
        <v>1165</v>
      </c>
      <c r="I1559" t="s">
        <v>1328</v>
      </c>
      <c r="J1559" t="s">
        <v>1337</v>
      </c>
      <c r="K1559" t="s">
        <v>1338</v>
      </c>
      <c r="L1559">
        <v>2000</v>
      </c>
      <c r="M1559" t="s">
        <v>1327</v>
      </c>
      <c r="O1559">
        <v>2005</v>
      </c>
      <c r="P1559">
        <v>2005</v>
      </c>
      <c r="Q1559" t="s">
        <v>1329</v>
      </c>
      <c r="R1559">
        <v>10</v>
      </c>
      <c r="T1559" t="s">
        <v>1330</v>
      </c>
      <c r="U1559" t="s">
        <v>1246</v>
      </c>
      <c r="V1559" s="9" t="s">
        <v>1332</v>
      </c>
      <c r="W1559">
        <v>140</v>
      </c>
      <c r="X1559" s="9" t="s">
        <v>1264</v>
      </c>
      <c r="Z1559">
        <v>0</v>
      </c>
      <c r="AD1559" t="s">
        <v>1165</v>
      </c>
      <c r="AF1559" t="s">
        <v>1165</v>
      </c>
      <c r="AI1559" t="s">
        <v>1165</v>
      </c>
      <c r="AJ1559" s="4" t="s">
        <v>1148</v>
      </c>
      <c r="AK1559" s="4">
        <v>5.61</v>
      </c>
      <c r="AP1559" s="4">
        <v>28</v>
      </c>
      <c r="AQ1559" t="s">
        <v>1336</v>
      </c>
      <c r="AR1559" s="4" t="s">
        <v>1335</v>
      </c>
      <c r="AS1559" t="s">
        <v>3000</v>
      </c>
    </row>
    <row r="1560" spans="1:45" x14ac:dyDescent="0.2">
      <c r="A1560" t="s">
        <v>1326</v>
      </c>
      <c r="B1560" s="4" t="s">
        <v>1146</v>
      </c>
      <c r="C1560" s="4" t="s">
        <v>1149</v>
      </c>
      <c r="D1560" t="s">
        <v>1348</v>
      </c>
      <c r="E1560" t="s">
        <v>1349</v>
      </c>
      <c r="G1560" s="4" t="s">
        <v>1165</v>
      </c>
      <c r="H1560" t="s">
        <v>1165</v>
      </c>
      <c r="I1560" t="s">
        <v>1328</v>
      </c>
      <c r="J1560" t="s">
        <v>1337</v>
      </c>
      <c r="K1560" t="s">
        <v>1338</v>
      </c>
      <c r="L1560">
        <v>2000</v>
      </c>
      <c r="M1560" t="s">
        <v>1327</v>
      </c>
      <c r="O1560">
        <v>2005</v>
      </c>
      <c r="P1560">
        <v>2005</v>
      </c>
      <c r="Q1560" t="s">
        <v>1329</v>
      </c>
      <c r="R1560">
        <v>10</v>
      </c>
      <c r="T1560" t="s">
        <v>1330</v>
      </c>
      <c r="U1560" t="s">
        <v>1246</v>
      </c>
      <c r="V1560" s="9" t="s">
        <v>1332</v>
      </c>
      <c r="W1560">
        <v>140</v>
      </c>
      <c r="X1560" s="9" t="s">
        <v>1261</v>
      </c>
      <c r="Z1560">
        <v>0</v>
      </c>
      <c r="AD1560" t="s">
        <v>1165</v>
      </c>
      <c r="AF1560" t="s">
        <v>1165</v>
      </c>
      <c r="AI1560" t="s">
        <v>1165</v>
      </c>
      <c r="AJ1560" s="4" t="s">
        <v>1148</v>
      </c>
      <c r="AK1560" s="4">
        <v>5.61</v>
      </c>
      <c r="AP1560" s="4">
        <v>28</v>
      </c>
      <c r="AQ1560" t="s">
        <v>1336</v>
      </c>
      <c r="AR1560" s="4" t="s">
        <v>1335</v>
      </c>
      <c r="AS1560" t="s">
        <v>3000</v>
      </c>
    </row>
    <row r="1561" spans="1:45" x14ac:dyDescent="0.2">
      <c r="A1561" t="s">
        <v>1326</v>
      </c>
      <c r="B1561" s="4" t="s">
        <v>1146</v>
      </c>
      <c r="C1561" s="4" t="s">
        <v>1149</v>
      </c>
      <c r="D1561" t="s">
        <v>1348</v>
      </c>
      <c r="E1561" t="s">
        <v>1349</v>
      </c>
      <c r="G1561" s="4" t="s">
        <v>1165</v>
      </c>
      <c r="H1561" t="s">
        <v>1165</v>
      </c>
      <c r="I1561" t="s">
        <v>1328</v>
      </c>
      <c r="J1561" t="s">
        <v>1337</v>
      </c>
      <c r="K1561" t="s">
        <v>1338</v>
      </c>
      <c r="L1561">
        <v>2000</v>
      </c>
      <c r="M1561" t="s">
        <v>1327</v>
      </c>
      <c r="O1561">
        <v>2005</v>
      </c>
      <c r="P1561">
        <v>2005</v>
      </c>
      <c r="Q1561" t="s">
        <v>1329</v>
      </c>
      <c r="R1561">
        <v>10</v>
      </c>
      <c r="T1561" t="s">
        <v>1330</v>
      </c>
      <c r="U1561" t="s">
        <v>1246</v>
      </c>
      <c r="V1561" s="9" t="s">
        <v>1332</v>
      </c>
      <c r="W1561">
        <v>140</v>
      </c>
      <c r="X1561" s="9" t="s">
        <v>1334</v>
      </c>
      <c r="Z1561">
        <v>0</v>
      </c>
      <c r="AD1561" t="s">
        <v>1165</v>
      </c>
      <c r="AF1561" t="s">
        <v>1165</v>
      </c>
      <c r="AI1561" t="s">
        <v>1165</v>
      </c>
      <c r="AJ1561" s="4" t="s">
        <v>1148</v>
      </c>
      <c r="AK1561" s="4">
        <v>6.7910000000000004</v>
      </c>
      <c r="AP1561" s="4">
        <v>28</v>
      </c>
      <c r="AQ1561" t="s">
        <v>1336</v>
      </c>
      <c r="AR1561" s="4" t="s">
        <v>1335</v>
      </c>
      <c r="AS1561" t="s">
        <v>3000</v>
      </c>
    </row>
    <row r="1562" spans="1:45" x14ac:dyDescent="0.2">
      <c r="A1562" t="s">
        <v>1326</v>
      </c>
      <c r="B1562" s="4" t="s">
        <v>1146</v>
      </c>
      <c r="C1562" s="4" t="s">
        <v>1149</v>
      </c>
      <c r="D1562" t="s">
        <v>1348</v>
      </c>
      <c r="E1562" t="s">
        <v>1349</v>
      </c>
      <c r="G1562" s="4" t="s">
        <v>1165</v>
      </c>
      <c r="H1562" t="s">
        <v>1165</v>
      </c>
      <c r="I1562" t="s">
        <v>1328</v>
      </c>
      <c r="J1562" t="s">
        <v>1337</v>
      </c>
      <c r="K1562" t="s">
        <v>1338</v>
      </c>
      <c r="L1562">
        <v>2000</v>
      </c>
      <c r="M1562" t="s">
        <v>1327</v>
      </c>
      <c r="O1562">
        <v>2005</v>
      </c>
      <c r="P1562">
        <v>2005</v>
      </c>
      <c r="Q1562" t="s">
        <v>1329</v>
      </c>
      <c r="R1562">
        <v>10</v>
      </c>
      <c r="T1562" t="s">
        <v>1330</v>
      </c>
      <c r="U1562" t="s">
        <v>1246</v>
      </c>
      <c r="V1562" s="9" t="s">
        <v>1332</v>
      </c>
      <c r="W1562">
        <v>210</v>
      </c>
      <c r="X1562" s="9" t="s">
        <v>1333</v>
      </c>
      <c r="Z1562">
        <v>12</v>
      </c>
      <c r="AD1562" t="s">
        <v>1165</v>
      </c>
      <c r="AF1562" t="s">
        <v>1165</v>
      </c>
      <c r="AI1562" t="s">
        <v>1165</v>
      </c>
      <c r="AJ1562" s="4" t="s">
        <v>1148</v>
      </c>
      <c r="AK1562" s="4">
        <v>100</v>
      </c>
      <c r="AP1562" s="4">
        <v>28</v>
      </c>
      <c r="AQ1562" t="s">
        <v>1336</v>
      </c>
      <c r="AR1562" s="4" t="s">
        <v>1335</v>
      </c>
      <c r="AS1562" t="s">
        <v>3000</v>
      </c>
    </row>
    <row r="1563" spans="1:45" x14ac:dyDescent="0.2">
      <c r="A1563" t="s">
        <v>1326</v>
      </c>
      <c r="B1563" s="4" t="s">
        <v>1146</v>
      </c>
      <c r="C1563" s="4" t="s">
        <v>1149</v>
      </c>
      <c r="D1563" t="s">
        <v>1348</v>
      </c>
      <c r="E1563" t="s">
        <v>1349</v>
      </c>
      <c r="G1563" s="4" t="s">
        <v>1165</v>
      </c>
      <c r="H1563" t="s">
        <v>1165</v>
      </c>
      <c r="I1563" t="s">
        <v>1328</v>
      </c>
      <c r="J1563" t="s">
        <v>1337</v>
      </c>
      <c r="K1563" t="s">
        <v>1338</v>
      </c>
      <c r="L1563">
        <v>2000</v>
      </c>
      <c r="M1563" t="s">
        <v>1327</v>
      </c>
      <c r="O1563">
        <v>2005</v>
      </c>
      <c r="P1563">
        <v>2005</v>
      </c>
      <c r="Q1563" t="s">
        <v>1329</v>
      </c>
      <c r="R1563">
        <v>10</v>
      </c>
      <c r="T1563" t="s">
        <v>1330</v>
      </c>
      <c r="U1563" t="s">
        <v>1246</v>
      </c>
      <c r="V1563" s="9" t="s">
        <v>1332</v>
      </c>
      <c r="W1563">
        <v>210</v>
      </c>
      <c r="X1563" s="9" t="s">
        <v>1264</v>
      </c>
      <c r="Z1563">
        <v>12</v>
      </c>
      <c r="AD1563" t="s">
        <v>1165</v>
      </c>
      <c r="AF1563" t="s">
        <v>1165</v>
      </c>
      <c r="AI1563" t="s">
        <v>1165</v>
      </c>
      <c r="AJ1563" s="4" t="s">
        <v>1148</v>
      </c>
      <c r="AK1563" s="4">
        <v>100</v>
      </c>
      <c r="AP1563" s="4">
        <v>28</v>
      </c>
      <c r="AQ1563" t="s">
        <v>1336</v>
      </c>
      <c r="AR1563" s="4" t="s">
        <v>1335</v>
      </c>
      <c r="AS1563" t="s">
        <v>3000</v>
      </c>
    </row>
    <row r="1564" spans="1:45" x14ac:dyDescent="0.2">
      <c r="A1564" t="s">
        <v>1326</v>
      </c>
      <c r="B1564" s="4" t="s">
        <v>1146</v>
      </c>
      <c r="C1564" s="4" t="s">
        <v>1149</v>
      </c>
      <c r="D1564" t="s">
        <v>1348</v>
      </c>
      <c r="E1564" t="s">
        <v>1349</v>
      </c>
      <c r="G1564" s="4" t="s">
        <v>1165</v>
      </c>
      <c r="H1564" t="s">
        <v>1165</v>
      </c>
      <c r="I1564" t="s">
        <v>1328</v>
      </c>
      <c r="J1564" t="s">
        <v>1337</v>
      </c>
      <c r="K1564" t="s">
        <v>1338</v>
      </c>
      <c r="L1564">
        <v>2000</v>
      </c>
      <c r="M1564" t="s">
        <v>1327</v>
      </c>
      <c r="O1564">
        <v>2005</v>
      </c>
      <c r="P1564">
        <v>2005</v>
      </c>
      <c r="Q1564" t="s">
        <v>1329</v>
      </c>
      <c r="R1564">
        <v>10</v>
      </c>
      <c r="T1564" t="s">
        <v>1330</v>
      </c>
      <c r="U1564" t="s">
        <v>1246</v>
      </c>
      <c r="V1564" s="9" t="s">
        <v>1332</v>
      </c>
      <c r="W1564">
        <v>210</v>
      </c>
      <c r="X1564" s="9" t="s">
        <v>1261</v>
      </c>
      <c r="Z1564">
        <v>12</v>
      </c>
      <c r="AD1564" t="s">
        <v>1165</v>
      </c>
      <c r="AF1564" t="s">
        <v>1165</v>
      </c>
      <c r="AI1564" t="s">
        <v>1165</v>
      </c>
      <c r="AJ1564" s="4" t="s">
        <v>1148</v>
      </c>
      <c r="AK1564" s="4">
        <v>100</v>
      </c>
      <c r="AP1564" s="4">
        <v>28</v>
      </c>
      <c r="AQ1564" t="s">
        <v>1336</v>
      </c>
      <c r="AR1564" s="4" t="s">
        <v>1335</v>
      </c>
      <c r="AS1564" t="s">
        <v>3000</v>
      </c>
    </row>
    <row r="1565" spans="1:45" x14ac:dyDescent="0.2">
      <c r="A1565" t="s">
        <v>1326</v>
      </c>
      <c r="B1565" s="4" t="s">
        <v>1146</v>
      </c>
      <c r="C1565" s="4" t="s">
        <v>1149</v>
      </c>
      <c r="D1565" t="s">
        <v>1348</v>
      </c>
      <c r="E1565" t="s">
        <v>1349</v>
      </c>
      <c r="G1565" s="4" t="s">
        <v>1165</v>
      </c>
      <c r="H1565" t="s">
        <v>1165</v>
      </c>
      <c r="I1565" t="s">
        <v>1328</v>
      </c>
      <c r="J1565" t="s">
        <v>1337</v>
      </c>
      <c r="K1565" t="s">
        <v>1338</v>
      </c>
      <c r="L1565">
        <v>2000</v>
      </c>
      <c r="M1565" t="s">
        <v>1327</v>
      </c>
      <c r="O1565">
        <v>2005</v>
      </c>
      <c r="P1565">
        <v>2005</v>
      </c>
      <c r="Q1565" t="s">
        <v>1329</v>
      </c>
      <c r="R1565">
        <v>10</v>
      </c>
      <c r="T1565" t="s">
        <v>1330</v>
      </c>
      <c r="U1565" t="s">
        <v>1246</v>
      </c>
      <c r="V1565" s="9" t="s">
        <v>1332</v>
      </c>
      <c r="W1565">
        <v>210</v>
      </c>
      <c r="X1565" s="9" t="s">
        <v>1334</v>
      </c>
      <c r="Z1565">
        <v>12</v>
      </c>
      <c r="AD1565" t="s">
        <v>1165</v>
      </c>
      <c r="AF1565" t="s">
        <v>1165</v>
      </c>
      <c r="AI1565" t="s">
        <v>1165</v>
      </c>
      <c r="AJ1565" s="4" t="s">
        <v>1148</v>
      </c>
      <c r="AK1565" s="4">
        <v>100</v>
      </c>
      <c r="AP1565" s="4">
        <v>28</v>
      </c>
      <c r="AQ1565" t="s">
        <v>1336</v>
      </c>
      <c r="AR1565" s="4" t="s">
        <v>1335</v>
      </c>
      <c r="AS1565" t="s">
        <v>3000</v>
      </c>
    </row>
    <row r="1566" spans="1:45" x14ac:dyDescent="0.2">
      <c r="A1566" t="s">
        <v>1326</v>
      </c>
      <c r="B1566" s="4" t="s">
        <v>1146</v>
      </c>
      <c r="C1566" s="4" t="s">
        <v>1149</v>
      </c>
      <c r="D1566" t="s">
        <v>1348</v>
      </c>
      <c r="E1566" t="s">
        <v>1349</v>
      </c>
      <c r="G1566" s="4" t="s">
        <v>1165</v>
      </c>
      <c r="H1566" t="s">
        <v>1165</v>
      </c>
      <c r="I1566" t="s">
        <v>1328</v>
      </c>
      <c r="J1566" t="s">
        <v>1337</v>
      </c>
      <c r="K1566" t="s">
        <v>1338</v>
      </c>
      <c r="L1566">
        <v>2000</v>
      </c>
      <c r="M1566" t="s">
        <v>1327</v>
      </c>
      <c r="O1566">
        <v>2005</v>
      </c>
      <c r="P1566">
        <v>2005</v>
      </c>
      <c r="Q1566" t="s">
        <v>1329</v>
      </c>
      <c r="R1566">
        <v>10</v>
      </c>
      <c r="T1566" t="s">
        <v>1330</v>
      </c>
      <c r="U1566" t="s">
        <v>1246</v>
      </c>
      <c r="V1566" s="9" t="s">
        <v>1332</v>
      </c>
      <c r="W1566">
        <v>210</v>
      </c>
      <c r="X1566" s="9" t="s">
        <v>1333</v>
      </c>
      <c r="Z1566">
        <v>0</v>
      </c>
      <c r="AD1566" t="s">
        <v>1165</v>
      </c>
      <c r="AF1566" t="s">
        <v>1165</v>
      </c>
      <c r="AI1566" t="s">
        <v>1165</v>
      </c>
      <c r="AJ1566" s="4" t="s">
        <v>1148</v>
      </c>
      <c r="AK1566" s="4">
        <v>0</v>
      </c>
      <c r="AP1566" s="4">
        <v>28</v>
      </c>
      <c r="AQ1566" t="s">
        <v>1336</v>
      </c>
      <c r="AR1566" s="4" t="s">
        <v>1335</v>
      </c>
      <c r="AS1566" t="s">
        <v>3000</v>
      </c>
    </row>
    <row r="1567" spans="1:45" x14ac:dyDescent="0.2">
      <c r="A1567" t="s">
        <v>1326</v>
      </c>
      <c r="B1567" s="4" t="s">
        <v>1146</v>
      </c>
      <c r="C1567" s="4" t="s">
        <v>1149</v>
      </c>
      <c r="D1567" t="s">
        <v>1348</v>
      </c>
      <c r="E1567" t="s">
        <v>1349</v>
      </c>
      <c r="G1567" s="4" t="s">
        <v>1165</v>
      </c>
      <c r="H1567" t="s">
        <v>1165</v>
      </c>
      <c r="I1567" t="s">
        <v>1328</v>
      </c>
      <c r="J1567" t="s">
        <v>1337</v>
      </c>
      <c r="K1567" t="s">
        <v>1338</v>
      </c>
      <c r="L1567">
        <v>2000</v>
      </c>
      <c r="M1567" t="s">
        <v>1327</v>
      </c>
      <c r="O1567">
        <v>2005</v>
      </c>
      <c r="P1567">
        <v>2005</v>
      </c>
      <c r="Q1567" t="s">
        <v>1329</v>
      </c>
      <c r="R1567">
        <v>10</v>
      </c>
      <c r="T1567" t="s">
        <v>1330</v>
      </c>
      <c r="U1567" t="s">
        <v>1246</v>
      </c>
      <c r="V1567" s="9" t="s">
        <v>1332</v>
      </c>
      <c r="W1567">
        <v>210</v>
      </c>
      <c r="X1567" s="9" t="s">
        <v>1264</v>
      </c>
      <c r="Z1567">
        <v>0</v>
      </c>
      <c r="AD1567" t="s">
        <v>1165</v>
      </c>
      <c r="AF1567" t="s">
        <v>1165</v>
      </c>
      <c r="AI1567" t="s">
        <v>1165</v>
      </c>
      <c r="AJ1567" s="4" t="s">
        <v>1148</v>
      </c>
      <c r="AK1567" s="4">
        <v>7.9720000000000004</v>
      </c>
      <c r="AP1567" s="4">
        <v>28</v>
      </c>
      <c r="AQ1567" t="s">
        <v>1336</v>
      </c>
      <c r="AR1567" s="4" t="s">
        <v>1335</v>
      </c>
      <c r="AS1567" t="s">
        <v>3000</v>
      </c>
    </row>
    <row r="1568" spans="1:45" x14ac:dyDescent="0.2">
      <c r="A1568" t="s">
        <v>1326</v>
      </c>
      <c r="B1568" s="4" t="s">
        <v>1146</v>
      </c>
      <c r="C1568" s="4" t="s">
        <v>1149</v>
      </c>
      <c r="D1568" t="s">
        <v>1348</v>
      </c>
      <c r="E1568" t="s">
        <v>1349</v>
      </c>
      <c r="G1568" s="4" t="s">
        <v>1165</v>
      </c>
      <c r="H1568" t="s">
        <v>1165</v>
      </c>
      <c r="I1568" t="s">
        <v>1328</v>
      </c>
      <c r="J1568" t="s">
        <v>1337</v>
      </c>
      <c r="K1568" t="s">
        <v>1338</v>
      </c>
      <c r="L1568">
        <v>2000</v>
      </c>
      <c r="M1568" t="s">
        <v>1327</v>
      </c>
      <c r="O1568">
        <v>2005</v>
      </c>
      <c r="P1568">
        <v>2005</v>
      </c>
      <c r="Q1568" t="s">
        <v>1329</v>
      </c>
      <c r="R1568">
        <v>10</v>
      </c>
      <c r="T1568" t="s">
        <v>1330</v>
      </c>
      <c r="U1568" t="s">
        <v>1246</v>
      </c>
      <c r="V1568" s="9" t="s">
        <v>1332</v>
      </c>
      <c r="W1568">
        <v>210</v>
      </c>
      <c r="X1568" s="9" t="s">
        <v>1261</v>
      </c>
      <c r="Z1568">
        <v>0</v>
      </c>
      <c r="AD1568" t="s">
        <v>1165</v>
      </c>
      <c r="AF1568" t="s">
        <v>1165</v>
      </c>
      <c r="AI1568" t="s">
        <v>1165</v>
      </c>
      <c r="AJ1568" s="4" t="s">
        <v>1148</v>
      </c>
      <c r="AK1568" s="4">
        <v>9.7439999999999998</v>
      </c>
      <c r="AP1568" s="4">
        <v>28</v>
      </c>
      <c r="AQ1568" t="s">
        <v>1336</v>
      </c>
      <c r="AR1568" s="4" t="s">
        <v>1335</v>
      </c>
      <c r="AS1568" t="s">
        <v>3000</v>
      </c>
    </row>
    <row r="1569" spans="1:45" x14ac:dyDescent="0.2">
      <c r="A1569" t="s">
        <v>1326</v>
      </c>
      <c r="B1569" s="4" t="s">
        <v>1146</v>
      </c>
      <c r="C1569" s="4" t="s">
        <v>1149</v>
      </c>
      <c r="D1569" t="s">
        <v>1348</v>
      </c>
      <c r="E1569" t="s">
        <v>1349</v>
      </c>
      <c r="G1569" s="4" t="s">
        <v>1165</v>
      </c>
      <c r="H1569" t="s">
        <v>1165</v>
      </c>
      <c r="I1569" t="s">
        <v>1328</v>
      </c>
      <c r="J1569" t="s">
        <v>1337</v>
      </c>
      <c r="K1569" t="s">
        <v>1338</v>
      </c>
      <c r="L1569">
        <v>2000</v>
      </c>
      <c r="M1569" t="s">
        <v>1327</v>
      </c>
      <c r="O1569">
        <v>2005</v>
      </c>
      <c r="P1569">
        <v>2005</v>
      </c>
      <c r="Q1569" t="s">
        <v>1329</v>
      </c>
      <c r="R1569">
        <v>10</v>
      </c>
      <c r="T1569" t="s">
        <v>1330</v>
      </c>
      <c r="U1569" t="s">
        <v>1246</v>
      </c>
      <c r="V1569" s="9" t="s">
        <v>1332</v>
      </c>
      <c r="W1569">
        <v>210</v>
      </c>
      <c r="X1569" s="9" t="s">
        <v>1334</v>
      </c>
      <c r="Z1569">
        <v>0</v>
      </c>
      <c r="AD1569" t="s">
        <v>1165</v>
      </c>
      <c r="AF1569" t="s">
        <v>1165</v>
      </c>
      <c r="AI1569" t="s">
        <v>1165</v>
      </c>
      <c r="AJ1569" s="4" t="s">
        <v>1148</v>
      </c>
      <c r="AK1569" s="4">
        <v>36.613999999999997</v>
      </c>
      <c r="AP1569" s="4">
        <v>28</v>
      </c>
      <c r="AQ1569" t="s">
        <v>1336</v>
      </c>
      <c r="AR1569" s="4" t="s">
        <v>1335</v>
      </c>
      <c r="AS1569" t="s">
        <v>3000</v>
      </c>
    </row>
    <row r="1570" spans="1:45" x14ac:dyDescent="0.2">
      <c r="A1570" t="s">
        <v>1326</v>
      </c>
      <c r="B1570" s="4" t="s">
        <v>1146</v>
      </c>
      <c r="C1570" s="4" t="s">
        <v>1149</v>
      </c>
      <c r="D1570" t="s">
        <v>1348</v>
      </c>
      <c r="E1570" t="s">
        <v>1349</v>
      </c>
      <c r="G1570" s="4" t="s">
        <v>1165</v>
      </c>
      <c r="H1570" t="s">
        <v>1165</v>
      </c>
      <c r="I1570" t="s">
        <v>1328</v>
      </c>
      <c r="J1570" t="s">
        <v>1337</v>
      </c>
      <c r="K1570" t="s">
        <v>1338</v>
      </c>
      <c r="L1570">
        <v>2000</v>
      </c>
      <c r="M1570" t="s">
        <v>1327</v>
      </c>
      <c r="O1570">
        <v>2005</v>
      </c>
      <c r="P1570">
        <v>2005</v>
      </c>
      <c r="Q1570" t="s">
        <v>1329</v>
      </c>
      <c r="R1570">
        <v>10</v>
      </c>
      <c r="T1570" t="s">
        <v>1330</v>
      </c>
      <c r="U1570" t="s">
        <v>1340</v>
      </c>
      <c r="V1570" s="9" t="s">
        <v>1339</v>
      </c>
      <c r="W1570">
        <v>0</v>
      </c>
      <c r="X1570" s="9" t="s">
        <v>1333</v>
      </c>
      <c r="Z1570">
        <v>12</v>
      </c>
      <c r="AD1570" t="s">
        <v>1165</v>
      </c>
      <c r="AF1570" t="s">
        <v>1165</v>
      </c>
      <c r="AI1570" t="s">
        <v>1165</v>
      </c>
      <c r="AJ1570" s="4" t="s">
        <v>1148</v>
      </c>
      <c r="AK1570" s="4">
        <v>52.853999999999999</v>
      </c>
      <c r="AP1570" s="4">
        <v>28</v>
      </c>
      <c r="AQ1570" t="s">
        <v>1336</v>
      </c>
      <c r="AR1570" s="4" t="s">
        <v>1335</v>
      </c>
      <c r="AS1570" t="s">
        <v>3001</v>
      </c>
    </row>
    <row r="1571" spans="1:45" x14ac:dyDescent="0.2">
      <c r="A1571" t="s">
        <v>1326</v>
      </c>
      <c r="B1571" s="4" t="s">
        <v>1146</v>
      </c>
      <c r="C1571" s="4" t="s">
        <v>1149</v>
      </c>
      <c r="D1571" t="s">
        <v>1348</v>
      </c>
      <c r="E1571" t="s">
        <v>1349</v>
      </c>
      <c r="G1571" s="4" t="s">
        <v>1165</v>
      </c>
      <c r="H1571" t="s">
        <v>1165</v>
      </c>
      <c r="I1571" t="s">
        <v>1328</v>
      </c>
      <c r="J1571" t="s">
        <v>1337</v>
      </c>
      <c r="K1571" t="s">
        <v>1338</v>
      </c>
      <c r="L1571">
        <v>2000</v>
      </c>
      <c r="M1571" t="s">
        <v>1327</v>
      </c>
      <c r="O1571">
        <v>2005</v>
      </c>
      <c r="P1571">
        <v>2005</v>
      </c>
      <c r="Q1571" t="s">
        <v>1329</v>
      </c>
      <c r="R1571">
        <v>10</v>
      </c>
      <c r="T1571" t="s">
        <v>1330</v>
      </c>
      <c r="U1571" t="s">
        <v>1340</v>
      </c>
      <c r="V1571" s="9" t="s">
        <v>1339</v>
      </c>
      <c r="W1571">
        <v>0</v>
      </c>
      <c r="X1571" s="9" t="s">
        <v>1264</v>
      </c>
      <c r="Z1571">
        <v>12</v>
      </c>
      <c r="AD1571" t="s">
        <v>1165</v>
      </c>
      <c r="AF1571" t="s">
        <v>1165</v>
      </c>
      <c r="AI1571" t="s">
        <v>1165</v>
      </c>
      <c r="AJ1571" s="4" t="s">
        <v>1148</v>
      </c>
      <c r="AK1571" s="4">
        <v>96.555000000000007</v>
      </c>
      <c r="AP1571" s="4">
        <v>28</v>
      </c>
      <c r="AQ1571" t="s">
        <v>1336</v>
      </c>
      <c r="AR1571" s="4" t="s">
        <v>1335</v>
      </c>
      <c r="AS1571" t="s">
        <v>3001</v>
      </c>
    </row>
    <row r="1572" spans="1:45" x14ac:dyDescent="0.2">
      <c r="A1572" t="s">
        <v>1326</v>
      </c>
      <c r="B1572" s="4" t="s">
        <v>1146</v>
      </c>
      <c r="C1572" s="4" t="s">
        <v>1149</v>
      </c>
      <c r="D1572" t="s">
        <v>1348</v>
      </c>
      <c r="E1572" t="s">
        <v>1349</v>
      </c>
      <c r="G1572" s="4" t="s">
        <v>1165</v>
      </c>
      <c r="H1572" t="s">
        <v>1165</v>
      </c>
      <c r="I1572" t="s">
        <v>1328</v>
      </c>
      <c r="J1572" t="s">
        <v>1337</v>
      </c>
      <c r="K1572" t="s">
        <v>1338</v>
      </c>
      <c r="L1572">
        <v>2000</v>
      </c>
      <c r="M1572" t="s">
        <v>1327</v>
      </c>
      <c r="O1572">
        <v>2005</v>
      </c>
      <c r="P1572">
        <v>2005</v>
      </c>
      <c r="Q1572" t="s">
        <v>1329</v>
      </c>
      <c r="R1572">
        <v>10</v>
      </c>
      <c r="T1572" t="s">
        <v>1330</v>
      </c>
      <c r="U1572" t="s">
        <v>1340</v>
      </c>
      <c r="V1572" s="9" t="s">
        <v>1339</v>
      </c>
      <c r="W1572">
        <v>0</v>
      </c>
      <c r="X1572" s="9" t="s">
        <v>1261</v>
      </c>
      <c r="Z1572">
        <v>12</v>
      </c>
      <c r="AD1572" t="s">
        <v>1165</v>
      </c>
      <c r="AF1572" t="s">
        <v>1165</v>
      </c>
      <c r="AI1572" t="s">
        <v>1165</v>
      </c>
      <c r="AJ1572" s="4" t="s">
        <v>1148</v>
      </c>
      <c r="AK1572" s="4">
        <v>100</v>
      </c>
      <c r="AP1572" s="4">
        <v>28</v>
      </c>
      <c r="AQ1572" t="s">
        <v>1336</v>
      </c>
      <c r="AR1572" s="4" t="s">
        <v>1335</v>
      </c>
      <c r="AS1572" t="s">
        <v>3001</v>
      </c>
    </row>
    <row r="1573" spans="1:45" x14ac:dyDescent="0.2">
      <c r="A1573" t="s">
        <v>1326</v>
      </c>
      <c r="B1573" s="4" t="s">
        <v>1146</v>
      </c>
      <c r="C1573" s="4" t="s">
        <v>1149</v>
      </c>
      <c r="D1573" t="s">
        <v>1348</v>
      </c>
      <c r="E1573" t="s">
        <v>1349</v>
      </c>
      <c r="G1573" s="4" t="s">
        <v>1165</v>
      </c>
      <c r="H1573" t="s">
        <v>1165</v>
      </c>
      <c r="I1573" t="s">
        <v>1328</v>
      </c>
      <c r="J1573" t="s">
        <v>1337</v>
      </c>
      <c r="K1573" t="s">
        <v>1338</v>
      </c>
      <c r="L1573">
        <v>2000</v>
      </c>
      <c r="M1573" t="s">
        <v>1327</v>
      </c>
      <c r="O1573">
        <v>2005</v>
      </c>
      <c r="P1573">
        <v>2005</v>
      </c>
      <c r="Q1573" t="s">
        <v>1329</v>
      </c>
      <c r="R1573">
        <v>10</v>
      </c>
      <c r="T1573" t="s">
        <v>1330</v>
      </c>
      <c r="U1573" t="s">
        <v>1340</v>
      </c>
      <c r="V1573" s="9" t="s">
        <v>1339</v>
      </c>
      <c r="W1573">
        <v>0</v>
      </c>
      <c r="X1573" s="9" t="s">
        <v>1334</v>
      </c>
      <c r="Z1573">
        <v>12</v>
      </c>
      <c r="AD1573" t="s">
        <v>1165</v>
      </c>
      <c r="AF1573" t="s">
        <v>1165</v>
      </c>
      <c r="AI1573" t="s">
        <v>1165</v>
      </c>
      <c r="AJ1573" s="4" t="s">
        <v>1148</v>
      </c>
      <c r="AK1573" s="4">
        <v>100</v>
      </c>
      <c r="AP1573" s="4">
        <v>28</v>
      </c>
      <c r="AQ1573" t="s">
        <v>1336</v>
      </c>
      <c r="AR1573" s="4" t="s">
        <v>1335</v>
      </c>
      <c r="AS1573" t="s">
        <v>3001</v>
      </c>
    </row>
    <row r="1574" spans="1:45" x14ac:dyDescent="0.2">
      <c r="A1574" t="s">
        <v>1326</v>
      </c>
      <c r="B1574" s="4" t="s">
        <v>1146</v>
      </c>
      <c r="C1574" s="4" t="s">
        <v>1149</v>
      </c>
      <c r="D1574" t="s">
        <v>1348</v>
      </c>
      <c r="E1574" t="s">
        <v>1349</v>
      </c>
      <c r="G1574" s="4" t="s">
        <v>1165</v>
      </c>
      <c r="H1574" t="s">
        <v>1165</v>
      </c>
      <c r="I1574" t="s">
        <v>1328</v>
      </c>
      <c r="J1574" t="s">
        <v>1337</v>
      </c>
      <c r="K1574" t="s">
        <v>1338</v>
      </c>
      <c r="L1574">
        <v>2000</v>
      </c>
      <c r="M1574" t="s">
        <v>1327</v>
      </c>
      <c r="O1574">
        <v>2005</v>
      </c>
      <c r="P1574">
        <v>2005</v>
      </c>
      <c r="Q1574" t="s">
        <v>1329</v>
      </c>
      <c r="R1574">
        <v>10</v>
      </c>
      <c r="T1574" t="s">
        <v>1330</v>
      </c>
      <c r="U1574" t="s">
        <v>1340</v>
      </c>
      <c r="V1574" s="9" t="s">
        <v>1339</v>
      </c>
      <c r="W1574">
        <v>0</v>
      </c>
      <c r="X1574" s="9" t="s">
        <v>1333</v>
      </c>
      <c r="Z1574">
        <v>0</v>
      </c>
      <c r="AD1574" t="s">
        <v>1165</v>
      </c>
      <c r="AF1574" t="s">
        <v>1165</v>
      </c>
      <c r="AI1574" t="s">
        <v>1165</v>
      </c>
      <c r="AJ1574" s="4" t="s">
        <v>1148</v>
      </c>
      <c r="AK1574" s="4">
        <v>7.6769999999999996</v>
      </c>
      <c r="AP1574" s="4">
        <v>28</v>
      </c>
      <c r="AQ1574" t="s">
        <v>1336</v>
      </c>
      <c r="AR1574" s="4" t="s">
        <v>1335</v>
      </c>
      <c r="AS1574" t="s">
        <v>3001</v>
      </c>
    </row>
    <row r="1575" spans="1:45" x14ac:dyDescent="0.2">
      <c r="A1575" t="s">
        <v>1326</v>
      </c>
      <c r="B1575" s="4" t="s">
        <v>1146</v>
      </c>
      <c r="C1575" s="4" t="s">
        <v>1149</v>
      </c>
      <c r="D1575" t="s">
        <v>1348</v>
      </c>
      <c r="E1575" t="s">
        <v>1349</v>
      </c>
      <c r="G1575" s="4" t="s">
        <v>1165</v>
      </c>
      <c r="H1575" t="s">
        <v>1165</v>
      </c>
      <c r="I1575" t="s">
        <v>1328</v>
      </c>
      <c r="J1575" t="s">
        <v>1337</v>
      </c>
      <c r="K1575" t="s">
        <v>1338</v>
      </c>
      <c r="L1575">
        <v>2000</v>
      </c>
      <c r="M1575" t="s">
        <v>1327</v>
      </c>
      <c r="O1575">
        <v>2005</v>
      </c>
      <c r="P1575">
        <v>2005</v>
      </c>
      <c r="Q1575" t="s">
        <v>1329</v>
      </c>
      <c r="R1575">
        <v>10</v>
      </c>
      <c r="T1575" t="s">
        <v>1330</v>
      </c>
      <c r="U1575" t="s">
        <v>1340</v>
      </c>
      <c r="V1575" s="9" t="s">
        <v>1339</v>
      </c>
      <c r="W1575">
        <v>0</v>
      </c>
      <c r="X1575" s="9" t="s">
        <v>1264</v>
      </c>
      <c r="Z1575">
        <v>0</v>
      </c>
      <c r="AD1575" t="s">
        <v>1165</v>
      </c>
      <c r="AF1575" t="s">
        <v>1165</v>
      </c>
      <c r="AI1575" t="s">
        <v>1165</v>
      </c>
      <c r="AJ1575" s="4" t="s">
        <v>1148</v>
      </c>
      <c r="AK1575" s="4">
        <v>6.4960000000000004</v>
      </c>
      <c r="AP1575" s="4">
        <v>28</v>
      </c>
      <c r="AQ1575" t="s">
        <v>1336</v>
      </c>
      <c r="AR1575" s="4" t="s">
        <v>1335</v>
      </c>
      <c r="AS1575" t="s">
        <v>3001</v>
      </c>
    </row>
    <row r="1576" spans="1:45" x14ac:dyDescent="0.2">
      <c r="A1576" t="s">
        <v>1326</v>
      </c>
      <c r="B1576" s="4" t="s">
        <v>1146</v>
      </c>
      <c r="C1576" s="4" t="s">
        <v>1149</v>
      </c>
      <c r="D1576" t="s">
        <v>1348</v>
      </c>
      <c r="E1576" t="s">
        <v>1349</v>
      </c>
      <c r="G1576" s="4" t="s">
        <v>1165</v>
      </c>
      <c r="H1576" t="s">
        <v>1165</v>
      </c>
      <c r="I1576" t="s">
        <v>1328</v>
      </c>
      <c r="J1576" t="s">
        <v>1337</v>
      </c>
      <c r="K1576" t="s">
        <v>1338</v>
      </c>
      <c r="L1576">
        <v>2000</v>
      </c>
      <c r="M1576" t="s">
        <v>1327</v>
      </c>
      <c r="O1576">
        <v>2005</v>
      </c>
      <c r="P1576">
        <v>2005</v>
      </c>
      <c r="Q1576" t="s">
        <v>1329</v>
      </c>
      <c r="R1576">
        <v>10</v>
      </c>
      <c r="T1576" t="s">
        <v>1330</v>
      </c>
      <c r="U1576" t="s">
        <v>1340</v>
      </c>
      <c r="V1576" s="9" t="s">
        <v>1339</v>
      </c>
      <c r="W1576">
        <v>0</v>
      </c>
      <c r="X1576" s="9" t="s">
        <v>1261</v>
      </c>
      <c r="Z1576">
        <v>0</v>
      </c>
      <c r="AD1576" t="s">
        <v>1165</v>
      </c>
      <c r="AF1576" t="s">
        <v>1165</v>
      </c>
      <c r="AI1576" t="s">
        <v>1165</v>
      </c>
      <c r="AJ1576" s="4" t="s">
        <v>1148</v>
      </c>
      <c r="AK1576" s="4">
        <v>6.4960000000000004</v>
      </c>
      <c r="AP1576" s="4">
        <v>28</v>
      </c>
      <c r="AQ1576" t="s">
        <v>1336</v>
      </c>
      <c r="AR1576" s="4" t="s">
        <v>1335</v>
      </c>
      <c r="AS1576" t="s">
        <v>3001</v>
      </c>
    </row>
    <row r="1577" spans="1:45" x14ac:dyDescent="0.2">
      <c r="A1577" t="s">
        <v>1326</v>
      </c>
      <c r="B1577" s="4" t="s">
        <v>1146</v>
      </c>
      <c r="C1577" s="4" t="s">
        <v>1149</v>
      </c>
      <c r="D1577" t="s">
        <v>1348</v>
      </c>
      <c r="E1577" t="s">
        <v>1349</v>
      </c>
      <c r="G1577" s="4" t="s">
        <v>1165</v>
      </c>
      <c r="H1577" t="s">
        <v>1165</v>
      </c>
      <c r="I1577" t="s">
        <v>1328</v>
      </c>
      <c r="J1577" t="s">
        <v>1337</v>
      </c>
      <c r="K1577" t="s">
        <v>1338</v>
      </c>
      <c r="L1577">
        <v>2000</v>
      </c>
      <c r="M1577" t="s">
        <v>1327</v>
      </c>
      <c r="O1577">
        <v>2005</v>
      </c>
      <c r="P1577">
        <v>2005</v>
      </c>
      <c r="Q1577" t="s">
        <v>1329</v>
      </c>
      <c r="R1577">
        <v>10</v>
      </c>
      <c r="T1577" t="s">
        <v>1330</v>
      </c>
      <c r="U1577" t="s">
        <v>1340</v>
      </c>
      <c r="V1577" s="9" t="s">
        <v>1339</v>
      </c>
      <c r="W1577">
        <v>0</v>
      </c>
      <c r="X1577" s="9" t="s">
        <v>1334</v>
      </c>
      <c r="Z1577">
        <v>0</v>
      </c>
      <c r="AD1577" t="s">
        <v>1165</v>
      </c>
      <c r="AF1577" t="s">
        <v>1165</v>
      </c>
      <c r="AI1577" t="s">
        <v>1165</v>
      </c>
      <c r="AJ1577" s="4" t="s">
        <v>1148</v>
      </c>
      <c r="AK1577" s="4">
        <v>7.6769999999999996</v>
      </c>
      <c r="AP1577" s="4">
        <v>28</v>
      </c>
      <c r="AQ1577" t="s">
        <v>1336</v>
      </c>
      <c r="AR1577" s="4" t="s">
        <v>1335</v>
      </c>
      <c r="AS1577" t="s">
        <v>3001</v>
      </c>
    </row>
    <row r="1578" spans="1:45" x14ac:dyDescent="0.2">
      <c r="A1578" t="s">
        <v>1326</v>
      </c>
      <c r="B1578" s="4" t="s">
        <v>1146</v>
      </c>
      <c r="C1578" s="4" t="s">
        <v>1149</v>
      </c>
      <c r="D1578" t="s">
        <v>1348</v>
      </c>
      <c r="E1578" t="s">
        <v>1349</v>
      </c>
      <c r="G1578" s="4" t="s">
        <v>1165</v>
      </c>
      <c r="H1578" t="s">
        <v>1165</v>
      </c>
      <c r="I1578" t="s">
        <v>1328</v>
      </c>
      <c r="J1578" t="s">
        <v>1337</v>
      </c>
      <c r="K1578" t="s">
        <v>1338</v>
      </c>
      <c r="L1578">
        <v>2000</v>
      </c>
      <c r="M1578" t="s">
        <v>1327</v>
      </c>
      <c r="O1578">
        <v>2005</v>
      </c>
      <c r="P1578">
        <v>2005</v>
      </c>
      <c r="Q1578" t="s">
        <v>1329</v>
      </c>
      <c r="R1578">
        <v>10</v>
      </c>
      <c r="T1578" t="s">
        <v>1330</v>
      </c>
      <c r="U1578" t="s">
        <v>1340</v>
      </c>
      <c r="V1578" s="9" t="s">
        <v>1339</v>
      </c>
      <c r="W1578">
        <v>17.5</v>
      </c>
      <c r="X1578" s="9" t="s">
        <v>1333</v>
      </c>
      <c r="Z1578">
        <v>12</v>
      </c>
      <c r="AD1578" t="s">
        <v>1165</v>
      </c>
      <c r="AF1578" t="s">
        <v>1165</v>
      </c>
      <c r="AI1578" t="s">
        <v>1165</v>
      </c>
      <c r="AJ1578" s="4" t="s">
        <v>1148</v>
      </c>
      <c r="AK1578" s="4">
        <v>69.685000000000002</v>
      </c>
      <c r="AP1578" s="4">
        <v>28</v>
      </c>
      <c r="AQ1578" t="s">
        <v>1336</v>
      </c>
      <c r="AR1578" s="4" t="s">
        <v>1335</v>
      </c>
      <c r="AS1578" t="s">
        <v>3001</v>
      </c>
    </row>
    <row r="1579" spans="1:45" x14ac:dyDescent="0.2">
      <c r="A1579" t="s">
        <v>1326</v>
      </c>
      <c r="B1579" s="4" t="s">
        <v>1146</v>
      </c>
      <c r="C1579" s="4" t="s">
        <v>1149</v>
      </c>
      <c r="D1579" t="s">
        <v>1348</v>
      </c>
      <c r="E1579" t="s">
        <v>1349</v>
      </c>
      <c r="G1579" s="4" t="s">
        <v>1165</v>
      </c>
      <c r="H1579" t="s">
        <v>1165</v>
      </c>
      <c r="I1579" t="s">
        <v>1328</v>
      </c>
      <c r="J1579" t="s">
        <v>1337</v>
      </c>
      <c r="K1579" t="s">
        <v>1338</v>
      </c>
      <c r="L1579">
        <v>2000</v>
      </c>
      <c r="M1579" t="s">
        <v>1327</v>
      </c>
      <c r="O1579">
        <v>2005</v>
      </c>
      <c r="P1579">
        <v>2005</v>
      </c>
      <c r="Q1579" t="s">
        <v>1329</v>
      </c>
      <c r="R1579">
        <v>10</v>
      </c>
      <c r="T1579" t="s">
        <v>1330</v>
      </c>
      <c r="U1579" t="s">
        <v>1340</v>
      </c>
      <c r="V1579" s="9" t="s">
        <v>1339</v>
      </c>
      <c r="W1579">
        <v>17.5</v>
      </c>
      <c r="X1579" s="9" t="s">
        <v>1264</v>
      </c>
      <c r="Z1579">
        <v>12</v>
      </c>
      <c r="AD1579" t="s">
        <v>1165</v>
      </c>
      <c r="AF1579" t="s">
        <v>1165</v>
      </c>
      <c r="AI1579" t="s">
        <v>1165</v>
      </c>
      <c r="AJ1579" s="4" t="s">
        <v>1148</v>
      </c>
      <c r="AK1579" s="4">
        <v>100</v>
      </c>
      <c r="AP1579" s="4">
        <v>28</v>
      </c>
      <c r="AQ1579" t="s">
        <v>1336</v>
      </c>
      <c r="AR1579" s="4" t="s">
        <v>1335</v>
      </c>
      <c r="AS1579" t="s">
        <v>3001</v>
      </c>
    </row>
    <row r="1580" spans="1:45" x14ac:dyDescent="0.2">
      <c r="A1580" t="s">
        <v>1326</v>
      </c>
      <c r="B1580" s="4" t="s">
        <v>1146</v>
      </c>
      <c r="C1580" s="4" t="s">
        <v>1149</v>
      </c>
      <c r="D1580" t="s">
        <v>1348</v>
      </c>
      <c r="E1580" t="s">
        <v>1349</v>
      </c>
      <c r="G1580" s="4" t="s">
        <v>1165</v>
      </c>
      <c r="H1580" t="s">
        <v>1165</v>
      </c>
      <c r="I1580" t="s">
        <v>1328</v>
      </c>
      <c r="J1580" t="s">
        <v>1337</v>
      </c>
      <c r="K1580" t="s">
        <v>1338</v>
      </c>
      <c r="L1580">
        <v>2000</v>
      </c>
      <c r="M1580" t="s">
        <v>1327</v>
      </c>
      <c r="O1580">
        <v>2005</v>
      </c>
      <c r="P1580">
        <v>2005</v>
      </c>
      <c r="Q1580" t="s">
        <v>1329</v>
      </c>
      <c r="R1580">
        <v>10</v>
      </c>
      <c r="T1580" t="s">
        <v>1330</v>
      </c>
      <c r="U1580" t="s">
        <v>1340</v>
      </c>
      <c r="V1580" s="9" t="s">
        <v>1339</v>
      </c>
      <c r="W1580">
        <v>17.5</v>
      </c>
      <c r="X1580" s="9" t="s">
        <v>1261</v>
      </c>
      <c r="Z1580">
        <v>12</v>
      </c>
      <c r="AD1580" t="s">
        <v>1165</v>
      </c>
      <c r="AF1580" t="s">
        <v>1165</v>
      </c>
      <c r="AI1580" t="s">
        <v>1165</v>
      </c>
      <c r="AJ1580" s="4" t="s">
        <v>1148</v>
      </c>
      <c r="AK1580" s="4">
        <v>100</v>
      </c>
      <c r="AP1580" s="4">
        <v>28</v>
      </c>
      <c r="AQ1580" t="s">
        <v>1336</v>
      </c>
      <c r="AR1580" s="4" t="s">
        <v>1335</v>
      </c>
      <c r="AS1580" t="s">
        <v>3001</v>
      </c>
    </row>
    <row r="1581" spans="1:45" x14ac:dyDescent="0.2">
      <c r="A1581" t="s">
        <v>1326</v>
      </c>
      <c r="B1581" s="4" t="s">
        <v>1146</v>
      </c>
      <c r="C1581" s="4" t="s">
        <v>1149</v>
      </c>
      <c r="D1581" t="s">
        <v>1348</v>
      </c>
      <c r="E1581" t="s">
        <v>1349</v>
      </c>
      <c r="G1581" s="4" t="s">
        <v>1165</v>
      </c>
      <c r="H1581" t="s">
        <v>1165</v>
      </c>
      <c r="I1581" t="s">
        <v>1328</v>
      </c>
      <c r="J1581" t="s">
        <v>1337</v>
      </c>
      <c r="K1581" t="s">
        <v>1338</v>
      </c>
      <c r="L1581">
        <v>2000</v>
      </c>
      <c r="M1581" t="s">
        <v>1327</v>
      </c>
      <c r="O1581">
        <v>2005</v>
      </c>
      <c r="P1581">
        <v>2005</v>
      </c>
      <c r="Q1581" t="s">
        <v>1329</v>
      </c>
      <c r="R1581">
        <v>10</v>
      </c>
      <c r="T1581" t="s">
        <v>1330</v>
      </c>
      <c r="U1581" t="s">
        <v>1340</v>
      </c>
      <c r="V1581" s="9" t="s">
        <v>1339</v>
      </c>
      <c r="W1581">
        <v>17.5</v>
      </c>
      <c r="X1581" s="9" t="s">
        <v>1334</v>
      </c>
      <c r="Z1581">
        <v>12</v>
      </c>
      <c r="AD1581" t="s">
        <v>1165</v>
      </c>
      <c r="AF1581" t="s">
        <v>1165</v>
      </c>
      <c r="AI1581" t="s">
        <v>1165</v>
      </c>
      <c r="AJ1581" s="4" t="s">
        <v>1148</v>
      </c>
      <c r="AK1581" s="4">
        <v>100</v>
      </c>
      <c r="AP1581" s="4">
        <v>28</v>
      </c>
      <c r="AQ1581" t="s">
        <v>1336</v>
      </c>
      <c r="AR1581" s="4" t="s">
        <v>1335</v>
      </c>
      <c r="AS1581" t="s">
        <v>3001</v>
      </c>
    </row>
    <row r="1582" spans="1:45" x14ac:dyDescent="0.2">
      <c r="A1582" t="s">
        <v>1326</v>
      </c>
      <c r="B1582" s="4" t="s">
        <v>1146</v>
      </c>
      <c r="C1582" s="4" t="s">
        <v>1149</v>
      </c>
      <c r="D1582" t="s">
        <v>1348</v>
      </c>
      <c r="E1582" t="s">
        <v>1349</v>
      </c>
      <c r="G1582" s="4" t="s">
        <v>1165</v>
      </c>
      <c r="H1582" t="s">
        <v>1165</v>
      </c>
      <c r="I1582" t="s">
        <v>1328</v>
      </c>
      <c r="J1582" t="s">
        <v>1337</v>
      </c>
      <c r="K1582" t="s">
        <v>1338</v>
      </c>
      <c r="L1582">
        <v>2000</v>
      </c>
      <c r="M1582" t="s">
        <v>1327</v>
      </c>
      <c r="O1582">
        <v>2005</v>
      </c>
      <c r="P1582">
        <v>2005</v>
      </c>
      <c r="Q1582" t="s">
        <v>1329</v>
      </c>
      <c r="R1582">
        <v>10</v>
      </c>
      <c r="T1582" t="s">
        <v>1330</v>
      </c>
      <c r="U1582" t="s">
        <v>1340</v>
      </c>
      <c r="V1582" s="9" t="s">
        <v>1339</v>
      </c>
      <c r="W1582">
        <v>17.5</v>
      </c>
      <c r="X1582" s="9" t="s">
        <v>1333</v>
      </c>
      <c r="Z1582">
        <v>0</v>
      </c>
      <c r="AD1582" t="s">
        <v>1165</v>
      </c>
      <c r="AF1582" t="s">
        <v>1165</v>
      </c>
      <c r="AI1582" t="s">
        <v>1165</v>
      </c>
      <c r="AJ1582" s="4" t="s">
        <v>1148</v>
      </c>
      <c r="AK1582" s="4">
        <v>0</v>
      </c>
      <c r="AP1582" s="4">
        <v>28</v>
      </c>
      <c r="AQ1582" t="s">
        <v>1336</v>
      </c>
      <c r="AR1582" s="4" t="s">
        <v>1335</v>
      </c>
      <c r="AS1582" t="s">
        <v>3001</v>
      </c>
    </row>
    <row r="1583" spans="1:45" x14ac:dyDescent="0.2">
      <c r="A1583" t="s">
        <v>1326</v>
      </c>
      <c r="B1583" s="4" t="s">
        <v>1146</v>
      </c>
      <c r="C1583" s="4" t="s">
        <v>1149</v>
      </c>
      <c r="D1583" t="s">
        <v>1348</v>
      </c>
      <c r="E1583" t="s">
        <v>1349</v>
      </c>
      <c r="G1583" s="4" t="s">
        <v>1165</v>
      </c>
      <c r="H1583" t="s">
        <v>1165</v>
      </c>
      <c r="I1583" t="s">
        <v>1328</v>
      </c>
      <c r="J1583" t="s">
        <v>1337</v>
      </c>
      <c r="K1583" t="s">
        <v>1338</v>
      </c>
      <c r="L1583">
        <v>2000</v>
      </c>
      <c r="M1583" t="s">
        <v>1327</v>
      </c>
      <c r="O1583">
        <v>2005</v>
      </c>
      <c r="P1583">
        <v>2005</v>
      </c>
      <c r="Q1583" t="s">
        <v>1329</v>
      </c>
      <c r="R1583">
        <v>10</v>
      </c>
      <c r="T1583" t="s">
        <v>1330</v>
      </c>
      <c r="U1583" t="s">
        <v>1340</v>
      </c>
      <c r="V1583" s="9" t="s">
        <v>1339</v>
      </c>
      <c r="W1583">
        <v>17.5</v>
      </c>
      <c r="X1583" s="9" t="s">
        <v>1264</v>
      </c>
      <c r="Z1583">
        <v>0</v>
      </c>
      <c r="AD1583" t="s">
        <v>1165</v>
      </c>
      <c r="AF1583" t="s">
        <v>1165</v>
      </c>
      <c r="AI1583" t="s">
        <v>1165</v>
      </c>
      <c r="AJ1583" s="4" t="s">
        <v>1148</v>
      </c>
      <c r="AK1583" s="4">
        <v>3.839</v>
      </c>
      <c r="AP1583" s="4">
        <v>28</v>
      </c>
      <c r="AQ1583" t="s">
        <v>1336</v>
      </c>
      <c r="AR1583" s="4" t="s">
        <v>1335</v>
      </c>
      <c r="AS1583" t="s">
        <v>3001</v>
      </c>
    </row>
    <row r="1584" spans="1:45" x14ac:dyDescent="0.2">
      <c r="A1584" t="s">
        <v>1326</v>
      </c>
      <c r="B1584" s="4" t="s">
        <v>1146</v>
      </c>
      <c r="C1584" s="4" t="s">
        <v>1149</v>
      </c>
      <c r="D1584" t="s">
        <v>1348</v>
      </c>
      <c r="E1584" t="s">
        <v>1349</v>
      </c>
      <c r="G1584" s="4" t="s">
        <v>1165</v>
      </c>
      <c r="H1584" t="s">
        <v>1165</v>
      </c>
      <c r="I1584" t="s">
        <v>1328</v>
      </c>
      <c r="J1584" t="s">
        <v>1337</v>
      </c>
      <c r="K1584" t="s">
        <v>1338</v>
      </c>
      <c r="L1584">
        <v>2000</v>
      </c>
      <c r="M1584" t="s">
        <v>1327</v>
      </c>
      <c r="O1584">
        <v>2005</v>
      </c>
      <c r="P1584">
        <v>2005</v>
      </c>
      <c r="Q1584" t="s">
        <v>1329</v>
      </c>
      <c r="R1584">
        <v>10</v>
      </c>
      <c r="T1584" t="s">
        <v>1330</v>
      </c>
      <c r="U1584" t="s">
        <v>1340</v>
      </c>
      <c r="V1584" s="9" t="s">
        <v>1339</v>
      </c>
      <c r="W1584">
        <v>17.5</v>
      </c>
      <c r="X1584" s="9" t="s">
        <v>1261</v>
      </c>
      <c r="Z1584">
        <v>0</v>
      </c>
      <c r="AD1584" t="s">
        <v>1165</v>
      </c>
      <c r="AF1584" t="s">
        <v>1165</v>
      </c>
      <c r="AI1584" t="s">
        <v>1165</v>
      </c>
      <c r="AJ1584" s="4" t="s">
        <v>1148</v>
      </c>
      <c r="AK1584" s="4">
        <v>0</v>
      </c>
      <c r="AP1584" s="4">
        <v>28</v>
      </c>
      <c r="AQ1584" t="s">
        <v>1336</v>
      </c>
      <c r="AR1584" s="4" t="s">
        <v>1335</v>
      </c>
      <c r="AS1584" t="s">
        <v>3001</v>
      </c>
    </row>
    <row r="1585" spans="1:45" x14ac:dyDescent="0.2">
      <c r="A1585" t="s">
        <v>1326</v>
      </c>
      <c r="B1585" s="4" t="s">
        <v>1146</v>
      </c>
      <c r="C1585" s="4" t="s">
        <v>1149</v>
      </c>
      <c r="D1585" t="s">
        <v>1348</v>
      </c>
      <c r="E1585" t="s">
        <v>1349</v>
      </c>
      <c r="G1585" s="4" t="s">
        <v>1165</v>
      </c>
      <c r="H1585" t="s">
        <v>1165</v>
      </c>
      <c r="I1585" t="s">
        <v>1328</v>
      </c>
      <c r="J1585" t="s">
        <v>1337</v>
      </c>
      <c r="K1585" t="s">
        <v>1338</v>
      </c>
      <c r="L1585">
        <v>2000</v>
      </c>
      <c r="M1585" t="s">
        <v>1327</v>
      </c>
      <c r="O1585">
        <v>2005</v>
      </c>
      <c r="P1585">
        <v>2005</v>
      </c>
      <c r="Q1585" t="s">
        <v>1329</v>
      </c>
      <c r="R1585">
        <v>10</v>
      </c>
      <c r="T1585" t="s">
        <v>1330</v>
      </c>
      <c r="U1585" t="s">
        <v>1340</v>
      </c>
      <c r="V1585" s="9" t="s">
        <v>1339</v>
      </c>
      <c r="W1585">
        <v>17.5</v>
      </c>
      <c r="X1585" s="9" t="s">
        <v>1334</v>
      </c>
      <c r="Z1585">
        <v>0</v>
      </c>
      <c r="AD1585" t="s">
        <v>1165</v>
      </c>
      <c r="AF1585" t="s">
        <v>1165</v>
      </c>
      <c r="AI1585" t="s">
        <v>1165</v>
      </c>
      <c r="AJ1585" s="4" t="s">
        <v>1148</v>
      </c>
      <c r="AK1585" s="4">
        <v>0</v>
      </c>
      <c r="AP1585" s="4">
        <v>28</v>
      </c>
      <c r="AQ1585" t="s">
        <v>1336</v>
      </c>
      <c r="AR1585" s="4" t="s">
        <v>1335</v>
      </c>
      <c r="AS1585" t="s">
        <v>3001</v>
      </c>
    </row>
    <row r="1586" spans="1:45" x14ac:dyDescent="0.2">
      <c r="A1586" t="s">
        <v>1326</v>
      </c>
      <c r="B1586" s="4" t="s">
        <v>1146</v>
      </c>
      <c r="C1586" s="4" t="s">
        <v>1149</v>
      </c>
      <c r="D1586" t="s">
        <v>1348</v>
      </c>
      <c r="E1586" t="s">
        <v>1349</v>
      </c>
      <c r="G1586" s="4" t="s">
        <v>1165</v>
      </c>
      <c r="H1586" t="s">
        <v>1165</v>
      </c>
      <c r="I1586" t="s">
        <v>1328</v>
      </c>
      <c r="J1586" t="s">
        <v>1337</v>
      </c>
      <c r="K1586" t="s">
        <v>1338</v>
      </c>
      <c r="L1586">
        <v>2000</v>
      </c>
      <c r="M1586" t="s">
        <v>1327</v>
      </c>
      <c r="O1586">
        <v>2005</v>
      </c>
      <c r="P1586">
        <v>2005</v>
      </c>
      <c r="Q1586" t="s">
        <v>1329</v>
      </c>
      <c r="R1586">
        <v>10</v>
      </c>
      <c r="T1586" t="s">
        <v>1330</v>
      </c>
      <c r="U1586" t="s">
        <v>1340</v>
      </c>
      <c r="V1586" s="9" t="s">
        <v>1339</v>
      </c>
      <c r="W1586">
        <v>35</v>
      </c>
      <c r="X1586" s="9" t="s">
        <v>1333</v>
      </c>
      <c r="Z1586">
        <v>12</v>
      </c>
      <c r="AD1586" t="s">
        <v>1165</v>
      </c>
      <c r="AF1586" t="s">
        <v>1165</v>
      </c>
      <c r="AI1586" t="s">
        <v>1165</v>
      </c>
      <c r="AJ1586" s="4" t="s">
        <v>1148</v>
      </c>
      <c r="AK1586" s="4">
        <v>51.673000000000002</v>
      </c>
      <c r="AP1586" s="4">
        <v>28</v>
      </c>
      <c r="AQ1586" t="s">
        <v>1336</v>
      </c>
      <c r="AR1586" s="4" t="s">
        <v>1335</v>
      </c>
      <c r="AS1586" t="s">
        <v>3001</v>
      </c>
    </row>
    <row r="1587" spans="1:45" x14ac:dyDescent="0.2">
      <c r="A1587" t="s">
        <v>1326</v>
      </c>
      <c r="B1587" s="4" t="s">
        <v>1146</v>
      </c>
      <c r="C1587" s="4" t="s">
        <v>1149</v>
      </c>
      <c r="D1587" t="s">
        <v>1348</v>
      </c>
      <c r="E1587" t="s">
        <v>1349</v>
      </c>
      <c r="G1587" s="4" t="s">
        <v>1165</v>
      </c>
      <c r="H1587" t="s">
        <v>1165</v>
      </c>
      <c r="I1587" t="s">
        <v>1328</v>
      </c>
      <c r="J1587" t="s">
        <v>1337</v>
      </c>
      <c r="K1587" t="s">
        <v>1338</v>
      </c>
      <c r="L1587">
        <v>2000</v>
      </c>
      <c r="M1587" t="s">
        <v>1327</v>
      </c>
      <c r="O1587">
        <v>2005</v>
      </c>
      <c r="P1587">
        <v>2005</v>
      </c>
      <c r="Q1587" t="s">
        <v>1329</v>
      </c>
      <c r="R1587">
        <v>10</v>
      </c>
      <c r="T1587" t="s">
        <v>1330</v>
      </c>
      <c r="U1587" t="s">
        <v>1340</v>
      </c>
      <c r="V1587" s="9" t="s">
        <v>1339</v>
      </c>
      <c r="W1587">
        <v>35</v>
      </c>
      <c r="X1587" s="9" t="s">
        <v>1264</v>
      </c>
      <c r="Z1587">
        <v>12</v>
      </c>
      <c r="AD1587" t="s">
        <v>1165</v>
      </c>
      <c r="AF1587" t="s">
        <v>1165</v>
      </c>
      <c r="AI1587" t="s">
        <v>1165</v>
      </c>
      <c r="AJ1587" s="4" t="s">
        <v>1148</v>
      </c>
      <c r="AK1587" s="4">
        <v>100</v>
      </c>
      <c r="AP1587" s="4">
        <v>28</v>
      </c>
      <c r="AQ1587" t="s">
        <v>1336</v>
      </c>
      <c r="AR1587" s="4" t="s">
        <v>1335</v>
      </c>
      <c r="AS1587" t="s">
        <v>3001</v>
      </c>
    </row>
    <row r="1588" spans="1:45" x14ac:dyDescent="0.2">
      <c r="A1588" t="s">
        <v>1326</v>
      </c>
      <c r="B1588" s="4" t="s">
        <v>1146</v>
      </c>
      <c r="C1588" s="4" t="s">
        <v>1149</v>
      </c>
      <c r="D1588" t="s">
        <v>1348</v>
      </c>
      <c r="E1588" t="s">
        <v>1349</v>
      </c>
      <c r="G1588" s="4" t="s">
        <v>1165</v>
      </c>
      <c r="H1588" t="s">
        <v>1165</v>
      </c>
      <c r="I1588" t="s">
        <v>1328</v>
      </c>
      <c r="J1588" t="s">
        <v>1337</v>
      </c>
      <c r="K1588" t="s">
        <v>1338</v>
      </c>
      <c r="L1588">
        <v>2000</v>
      </c>
      <c r="M1588" t="s">
        <v>1327</v>
      </c>
      <c r="O1588">
        <v>2005</v>
      </c>
      <c r="P1588">
        <v>2005</v>
      </c>
      <c r="Q1588" t="s">
        <v>1329</v>
      </c>
      <c r="R1588">
        <v>10</v>
      </c>
      <c r="T1588" t="s">
        <v>1330</v>
      </c>
      <c r="U1588" t="s">
        <v>1340</v>
      </c>
      <c r="V1588" s="9" t="s">
        <v>1339</v>
      </c>
      <c r="W1588">
        <v>35</v>
      </c>
      <c r="X1588" s="9" t="s">
        <v>1261</v>
      </c>
      <c r="Z1588">
        <v>12</v>
      </c>
      <c r="AD1588" t="s">
        <v>1165</v>
      </c>
      <c r="AF1588" t="s">
        <v>1165</v>
      </c>
      <c r="AI1588" t="s">
        <v>1165</v>
      </c>
      <c r="AJ1588" s="4" t="s">
        <v>1148</v>
      </c>
      <c r="AK1588" s="4">
        <v>100</v>
      </c>
      <c r="AP1588" s="4">
        <v>28</v>
      </c>
      <c r="AQ1588" t="s">
        <v>1336</v>
      </c>
      <c r="AR1588" s="4" t="s">
        <v>1335</v>
      </c>
      <c r="AS1588" t="s">
        <v>3001</v>
      </c>
    </row>
    <row r="1589" spans="1:45" x14ac:dyDescent="0.2">
      <c r="A1589" t="s">
        <v>1326</v>
      </c>
      <c r="B1589" s="4" t="s">
        <v>1146</v>
      </c>
      <c r="C1589" s="4" t="s">
        <v>1149</v>
      </c>
      <c r="D1589" t="s">
        <v>1348</v>
      </c>
      <c r="E1589" t="s">
        <v>1349</v>
      </c>
      <c r="G1589" s="4" t="s">
        <v>1165</v>
      </c>
      <c r="H1589" t="s">
        <v>1165</v>
      </c>
      <c r="I1589" t="s">
        <v>1328</v>
      </c>
      <c r="J1589" t="s">
        <v>1337</v>
      </c>
      <c r="K1589" t="s">
        <v>1338</v>
      </c>
      <c r="L1589">
        <v>2000</v>
      </c>
      <c r="M1589" t="s">
        <v>1327</v>
      </c>
      <c r="O1589">
        <v>2005</v>
      </c>
      <c r="P1589">
        <v>2005</v>
      </c>
      <c r="Q1589" t="s">
        <v>1329</v>
      </c>
      <c r="R1589">
        <v>10</v>
      </c>
      <c r="T1589" t="s">
        <v>1330</v>
      </c>
      <c r="U1589" t="s">
        <v>1340</v>
      </c>
      <c r="V1589" s="9" t="s">
        <v>1339</v>
      </c>
      <c r="W1589">
        <v>35</v>
      </c>
      <c r="X1589" s="9" t="s">
        <v>1334</v>
      </c>
      <c r="Z1589">
        <v>12</v>
      </c>
      <c r="AD1589" t="s">
        <v>1165</v>
      </c>
      <c r="AF1589" t="s">
        <v>1165</v>
      </c>
      <c r="AI1589" t="s">
        <v>1165</v>
      </c>
      <c r="AJ1589" s="4" t="s">
        <v>1148</v>
      </c>
      <c r="AK1589" s="4">
        <v>100</v>
      </c>
      <c r="AP1589" s="4">
        <v>28</v>
      </c>
      <c r="AQ1589" t="s">
        <v>1336</v>
      </c>
      <c r="AR1589" s="4" t="s">
        <v>1335</v>
      </c>
      <c r="AS1589" t="s">
        <v>3001</v>
      </c>
    </row>
    <row r="1590" spans="1:45" x14ac:dyDescent="0.2">
      <c r="A1590" t="s">
        <v>1326</v>
      </c>
      <c r="B1590" s="4" t="s">
        <v>1146</v>
      </c>
      <c r="C1590" s="4" t="s">
        <v>1149</v>
      </c>
      <c r="D1590" t="s">
        <v>1348</v>
      </c>
      <c r="E1590" t="s">
        <v>1349</v>
      </c>
      <c r="G1590" s="4" t="s">
        <v>1165</v>
      </c>
      <c r="H1590" t="s">
        <v>1165</v>
      </c>
      <c r="I1590" t="s">
        <v>1328</v>
      </c>
      <c r="J1590" t="s">
        <v>1337</v>
      </c>
      <c r="K1590" t="s">
        <v>1338</v>
      </c>
      <c r="L1590">
        <v>2000</v>
      </c>
      <c r="M1590" t="s">
        <v>1327</v>
      </c>
      <c r="O1590">
        <v>2005</v>
      </c>
      <c r="P1590">
        <v>2005</v>
      </c>
      <c r="Q1590" t="s">
        <v>1329</v>
      </c>
      <c r="R1590">
        <v>10</v>
      </c>
      <c r="T1590" t="s">
        <v>1330</v>
      </c>
      <c r="U1590" t="s">
        <v>1340</v>
      </c>
      <c r="V1590" s="9" t="s">
        <v>1339</v>
      </c>
      <c r="W1590">
        <v>35</v>
      </c>
      <c r="X1590" s="9" t="s">
        <v>1333</v>
      </c>
      <c r="Z1590">
        <v>0</v>
      </c>
      <c r="AD1590" t="s">
        <v>1165</v>
      </c>
      <c r="AF1590" t="s">
        <v>1165</v>
      </c>
      <c r="AI1590" t="s">
        <v>1165</v>
      </c>
      <c r="AJ1590" s="4" t="s">
        <v>1148</v>
      </c>
      <c r="AK1590" s="4">
        <v>0</v>
      </c>
      <c r="AP1590" s="4">
        <v>28</v>
      </c>
      <c r="AQ1590" t="s">
        <v>1336</v>
      </c>
      <c r="AR1590" s="4" t="s">
        <v>1335</v>
      </c>
      <c r="AS1590" t="s">
        <v>3001</v>
      </c>
    </row>
    <row r="1591" spans="1:45" x14ac:dyDescent="0.2">
      <c r="A1591" t="s">
        <v>1326</v>
      </c>
      <c r="B1591" s="4" t="s">
        <v>1146</v>
      </c>
      <c r="C1591" s="4" t="s">
        <v>1149</v>
      </c>
      <c r="D1591" t="s">
        <v>1348</v>
      </c>
      <c r="E1591" t="s">
        <v>1349</v>
      </c>
      <c r="G1591" s="4" t="s">
        <v>1165</v>
      </c>
      <c r="H1591" t="s">
        <v>1165</v>
      </c>
      <c r="I1591" t="s">
        <v>1328</v>
      </c>
      <c r="J1591" t="s">
        <v>1337</v>
      </c>
      <c r="K1591" t="s">
        <v>1338</v>
      </c>
      <c r="L1591">
        <v>2000</v>
      </c>
      <c r="M1591" t="s">
        <v>1327</v>
      </c>
      <c r="O1591">
        <v>2005</v>
      </c>
      <c r="P1591">
        <v>2005</v>
      </c>
      <c r="Q1591" t="s">
        <v>1329</v>
      </c>
      <c r="R1591">
        <v>10</v>
      </c>
      <c r="T1591" t="s">
        <v>1330</v>
      </c>
      <c r="U1591" t="s">
        <v>1340</v>
      </c>
      <c r="V1591" s="9" t="s">
        <v>1339</v>
      </c>
      <c r="W1591">
        <v>35</v>
      </c>
      <c r="X1591" s="9" t="s">
        <v>1264</v>
      </c>
      <c r="Z1591">
        <v>0</v>
      </c>
      <c r="AD1591" t="s">
        <v>1165</v>
      </c>
      <c r="AF1591" t="s">
        <v>1165</v>
      </c>
      <c r="AI1591" t="s">
        <v>1165</v>
      </c>
      <c r="AJ1591" s="4" t="s">
        <v>1148</v>
      </c>
      <c r="AK1591" s="4">
        <v>0</v>
      </c>
      <c r="AP1591" s="4">
        <v>28</v>
      </c>
      <c r="AQ1591" t="s">
        <v>1336</v>
      </c>
      <c r="AR1591" s="4" t="s">
        <v>1335</v>
      </c>
      <c r="AS1591" t="s">
        <v>3001</v>
      </c>
    </row>
    <row r="1592" spans="1:45" x14ac:dyDescent="0.2">
      <c r="A1592" t="s">
        <v>1326</v>
      </c>
      <c r="B1592" s="4" t="s">
        <v>1146</v>
      </c>
      <c r="C1592" s="4" t="s">
        <v>1149</v>
      </c>
      <c r="D1592" t="s">
        <v>1348</v>
      </c>
      <c r="E1592" t="s">
        <v>1349</v>
      </c>
      <c r="G1592" s="4" t="s">
        <v>1165</v>
      </c>
      <c r="H1592" t="s">
        <v>1165</v>
      </c>
      <c r="I1592" t="s">
        <v>1328</v>
      </c>
      <c r="J1592" t="s">
        <v>1337</v>
      </c>
      <c r="K1592" t="s">
        <v>1338</v>
      </c>
      <c r="L1592">
        <v>2000</v>
      </c>
      <c r="M1592" t="s">
        <v>1327</v>
      </c>
      <c r="O1592">
        <v>2005</v>
      </c>
      <c r="P1592">
        <v>2005</v>
      </c>
      <c r="Q1592" t="s">
        <v>1329</v>
      </c>
      <c r="R1592">
        <v>10</v>
      </c>
      <c r="T1592" t="s">
        <v>1330</v>
      </c>
      <c r="U1592" t="s">
        <v>1340</v>
      </c>
      <c r="V1592" s="9" t="s">
        <v>1339</v>
      </c>
      <c r="W1592">
        <v>35</v>
      </c>
      <c r="X1592" s="9" t="s">
        <v>1261</v>
      </c>
      <c r="Z1592">
        <v>0</v>
      </c>
      <c r="AD1592" t="s">
        <v>1165</v>
      </c>
      <c r="AF1592" t="s">
        <v>1165</v>
      </c>
      <c r="AI1592" t="s">
        <v>1165</v>
      </c>
      <c r="AJ1592" s="4" t="s">
        <v>1148</v>
      </c>
      <c r="AK1592" s="4">
        <v>0</v>
      </c>
      <c r="AP1592" s="4">
        <v>28</v>
      </c>
      <c r="AQ1592" t="s">
        <v>1336</v>
      </c>
      <c r="AR1592" s="4" t="s">
        <v>1335</v>
      </c>
      <c r="AS1592" t="s">
        <v>3001</v>
      </c>
    </row>
    <row r="1593" spans="1:45" x14ac:dyDescent="0.2">
      <c r="A1593" t="s">
        <v>1326</v>
      </c>
      <c r="B1593" s="4" t="s">
        <v>1146</v>
      </c>
      <c r="C1593" s="4" t="s">
        <v>1149</v>
      </c>
      <c r="D1593" t="s">
        <v>1348</v>
      </c>
      <c r="E1593" t="s">
        <v>1349</v>
      </c>
      <c r="G1593" s="4" t="s">
        <v>1165</v>
      </c>
      <c r="H1593" t="s">
        <v>1165</v>
      </c>
      <c r="I1593" t="s">
        <v>1328</v>
      </c>
      <c r="J1593" t="s">
        <v>1337</v>
      </c>
      <c r="K1593" t="s">
        <v>1338</v>
      </c>
      <c r="L1593">
        <v>2000</v>
      </c>
      <c r="M1593" t="s">
        <v>1327</v>
      </c>
      <c r="O1593">
        <v>2005</v>
      </c>
      <c r="P1593">
        <v>2005</v>
      </c>
      <c r="Q1593" t="s">
        <v>1329</v>
      </c>
      <c r="R1593">
        <v>10</v>
      </c>
      <c r="T1593" t="s">
        <v>1330</v>
      </c>
      <c r="U1593" t="s">
        <v>1340</v>
      </c>
      <c r="V1593" s="9" t="s">
        <v>1339</v>
      </c>
      <c r="W1593">
        <v>35</v>
      </c>
      <c r="X1593" s="9" t="s">
        <v>1334</v>
      </c>
      <c r="Z1593">
        <v>0</v>
      </c>
      <c r="AD1593" t="s">
        <v>1165</v>
      </c>
      <c r="AF1593" t="s">
        <v>1165</v>
      </c>
      <c r="AI1593" t="s">
        <v>1165</v>
      </c>
      <c r="AJ1593" s="4" t="s">
        <v>1148</v>
      </c>
      <c r="AK1593" s="4">
        <v>100</v>
      </c>
      <c r="AP1593" s="4">
        <v>28</v>
      </c>
      <c r="AQ1593" t="s">
        <v>1336</v>
      </c>
      <c r="AR1593" s="4" t="s">
        <v>1335</v>
      </c>
      <c r="AS1593" t="s">
        <v>3001</v>
      </c>
    </row>
    <row r="1594" spans="1:45" x14ac:dyDescent="0.2">
      <c r="A1594" t="s">
        <v>1326</v>
      </c>
      <c r="B1594" s="4" t="s">
        <v>1146</v>
      </c>
      <c r="C1594" s="4" t="s">
        <v>1149</v>
      </c>
      <c r="D1594" t="s">
        <v>1348</v>
      </c>
      <c r="E1594" t="s">
        <v>1349</v>
      </c>
      <c r="G1594" s="4" t="s">
        <v>1165</v>
      </c>
      <c r="H1594" t="s">
        <v>1165</v>
      </c>
      <c r="I1594" t="s">
        <v>1328</v>
      </c>
      <c r="J1594" t="s">
        <v>1337</v>
      </c>
      <c r="K1594" t="s">
        <v>1338</v>
      </c>
      <c r="L1594">
        <v>2000</v>
      </c>
      <c r="M1594" t="s">
        <v>1327</v>
      </c>
      <c r="O1594">
        <v>2005</v>
      </c>
      <c r="P1594">
        <v>2005</v>
      </c>
      <c r="Q1594" t="s">
        <v>1329</v>
      </c>
      <c r="R1594">
        <v>10</v>
      </c>
      <c r="T1594" t="s">
        <v>1330</v>
      </c>
      <c r="U1594" t="s">
        <v>1340</v>
      </c>
      <c r="V1594" s="9" t="s">
        <v>1339</v>
      </c>
      <c r="W1594">
        <v>70</v>
      </c>
      <c r="X1594" s="9" t="s">
        <v>1333</v>
      </c>
      <c r="Z1594">
        <v>12</v>
      </c>
      <c r="AD1594" t="s">
        <v>1165</v>
      </c>
      <c r="AF1594" t="s">
        <v>1165</v>
      </c>
      <c r="AI1594" t="s">
        <v>1165</v>
      </c>
      <c r="AJ1594" s="4" t="s">
        <v>1148</v>
      </c>
      <c r="AK1594" s="4">
        <v>100</v>
      </c>
      <c r="AP1594" s="4">
        <v>28</v>
      </c>
      <c r="AQ1594" t="s">
        <v>1336</v>
      </c>
      <c r="AR1594" s="4" t="s">
        <v>1335</v>
      </c>
      <c r="AS1594" t="s">
        <v>3001</v>
      </c>
    </row>
    <row r="1595" spans="1:45" x14ac:dyDescent="0.2">
      <c r="A1595" t="s">
        <v>1326</v>
      </c>
      <c r="B1595" s="4" t="s">
        <v>1146</v>
      </c>
      <c r="C1595" s="4" t="s">
        <v>1149</v>
      </c>
      <c r="D1595" t="s">
        <v>1348</v>
      </c>
      <c r="E1595" t="s">
        <v>1349</v>
      </c>
      <c r="G1595" s="4" t="s">
        <v>1165</v>
      </c>
      <c r="H1595" t="s">
        <v>1165</v>
      </c>
      <c r="I1595" t="s">
        <v>1328</v>
      </c>
      <c r="J1595" t="s">
        <v>1337</v>
      </c>
      <c r="K1595" t="s">
        <v>1338</v>
      </c>
      <c r="L1595">
        <v>2000</v>
      </c>
      <c r="M1595" t="s">
        <v>1327</v>
      </c>
      <c r="O1595">
        <v>2005</v>
      </c>
      <c r="P1595">
        <v>2005</v>
      </c>
      <c r="Q1595" t="s">
        <v>1329</v>
      </c>
      <c r="R1595">
        <v>10</v>
      </c>
      <c r="T1595" t="s">
        <v>1330</v>
      </c>
      <c r="U1595" t="s">
        <v>1340</v>
      </c>
      <c r="V1595" s="9" t="s">
        <v>1339</v>
      </c>
      <c r="W1595">
        <v>70</v>
      </c>
      <c r="X1595" s="9" t="s">
        <v>1264</v>
      </c>
      <c r="Z1595">
        <v>12</v>
      </c>
      <c r="AD1595" t="s">
        <v>1165</v>
      </c>
      <c r="AF1595" t="s">
        <v>1165</v>
      </c>
      <c r="AI1595" t="s">
        <v>1165</v>
      </c>
      <c r="AJ1595" s="4" t="s">
        <v>1148</v>
      </c>
      <c r="AK1595" s="4">
        <v>100</v>
      </c>
      <c r="AP1595" s="4">
        <v>28</v>
      </c>
      <c r="AQ1595" t="s">
        <v>1336</v>
      </c>
      <c r="AR1595" s="4" t="s">
        <v>1335</v>
      </c>
      <c r="AS1595" t="s">
        <v>3001</v>
      </c>
    </row>
    <row r="1596" spans="1:45" x14ac:dyDescent="0.2">
      <c r="A1596" t="s">
        <v>1326</v>
      </c>
      <c r="B1596" s="4" t="s">
        <v>1146</v>
      </c>
      <c r="C1596" s="4" t="s">
        <v>1149</v>
      </c>
      <c r="D1596" t="s">
        <v>1348</v>
      </c>
      <c r="E1596" t="s">
        <v>1349</v>
      </c>
      <c r="G1596" s="4" t="s">
        <v>1165</v>
      </c>
      <c r="H1596" t="s">
        <v>1165</v>
      </c>
      <c r="I1596" t="s">
        <v>1328</v>
      </c>
      <c r="J1596" t="s">
        <v>1337</v>
      </c>
      <c r="K1596" t="s">
        <v>1338</v>
      </c>
      <c r="L1596">
        <v>2000</v>
      </c>
      <c r="M1596" t="s">
        <v>1327</v>
      </c>
      <c r="O1596">
        <v>2005</v>
      </c>
      <c r="P1596">
        <v>2005</v>
      </c>
      <c r="Q1596" t="s">
        <v>1329</v>
      </c>
      <c r="R1596">
        <v>10</v>
      </c>
      <c r="T1596" t="s">
        <v>1330</v>
      </c>
      <c r="U1596" t="s">
        <v>1340</v>
      </c>
      <c r="V1596" s="9" t="s">
        <v>1339</v>
      </c>
      <c r="W1596">
        <v>70</v>
      </c>
      <c r="X1596" s="9" t="s">
        <v>1261</v>
      </c>
      <c r="Z1596">
        <v>12</v>
      </c>
      <c r="AD1596" t="s">
        <v>1165</v>
      </c>
      <c r="AF1596" t="s">
        <v>1165</v>
      </c>
      <c r="AI1596" t="s">
        <v>1165</v>
      </c>
      <c r="AJ1596" s="4" t="s">
        <v>1148</v>
      </c>
      <c r="AK1596" s="4">
        <v>100</v>
      </c>
      <c r="AP1596" s="4">
        <v>28</v>
      </c>
      <c r="AQ1596" t="s">
        <v>1336</v>
      </c>
      <c r="AR1596" s="4" t="s">
        <v>1335</v>
      </c>
      <c r="AS1596" t="s">
        <v>3001</v>
      </c>
    </row>
    <row r="1597" spans="1:45" x14ac:dyDescent="0.2">
      <c r="A1597" t="s">
        <v>1326</v>
      </c>
      <c r="B1597" s="4" t="s">
        <v>1146</v>
      </c>
      <c r="C1597" s="4" t="s">
        <v>1149</v>
      </c>
      <c r="D1597" t="s">
        <v>1348</v>
      </c>
      <c r="E1597" t="s">
        <v>1349</v>
      </c>
      <c r="G1597" s="4" t="s">
        <v>1165</v>
      </c>
      <c r="H1597" t="s">
        <v>1165</v>
      </c>
      <c r="I1597" t="s">
        <v>1328</v>
      </c>
      <c r="J1597" t="s">
        <v>1337</v>
      </c>
      <c r="K1597" t="s">
        <v>1338</v>
      </c>
      <c r="L1597">
        <v>2000</v>
      </c>
      <c r="M1597" t="s">
        <v>1327</v>
      </c>
      <c r="O1597">
        <v>2005</v>
      </c>
      <c r="P1597">
        <v>2005</v>
      </c>
      <c r="Q1597" t="s">
        <v>1329</v>
      </c>
      <c r="R1597">
        <v>10</v>
      </c>
      <c r="T1597" t="s">
        <v>1330</v>
      </c>
      <c r="U1597" t="s">
        <v>1340</v>
      </c>
      <c r="V1597" s="9" t="s">
        <v>1339</v>
      </c>
      <c r="W1597">
        <v>70</v>
      </c>
      <c r="X1597" s="9" t="s">
        <v>1334</v>
      </c>
      <c r="Z1597">
        <v>12</v>
      </c>
      <c r="AD1597" t="s">
        <v>1165</v>
      </c>
      <c r="AF1597" t="s">
        <v>1165</v>
      </c>
      <c r="AI1597" t="s">
        <v>1165</v>
      </c>
      <c r="AJ1597" s="4" t="s">
        <v>1148</v>
      </c>
      <c r="AK1597" s="4">
        <v>0</v>
      </c>
      <c r="AP1597" s="4">
        <v>28</v>
      </c>
      <c r="AQ1597" t="s">
        <v>1336</v>
      </c>
      <c r="AR1597" s="4" t="s">
        <v>1335</v>
      </c>
      <c r="AS1597" t="s">
        <v>3001</v>
      </c>
    </row>
    <row r="1598" spans="1:45" x14ac:dyDescent="0.2">
      <c r="A1598" t="s">
        <v>1326</v>
      </c>
      <c r="B1598" s="4" t="s">
        <v>1146</v>
      </c>
      <c r="C1598" s="4" t="s">
        <v>1149</v>
      </c>
      <c r="D1598" t="s">
        <v>1348</v>
      </c>
      <c r="E1598" t="s">
        <v>1349</v>
      </c>
      <c r="G1598" s="4" t="s">
        <v>1165</v>
      </c>
      <c r="H1598" t="s">
        <v>1165</v>
      </c>
      <c r="I1598" t="s">
        <v>1328</v>
      </c>
      <c r="J1598" t="s">
        <v>1337</v>
      </c>
      <c r="K1598" t="s">
        <v>1338</v>
      </c>
      <c r="L1598">
        <v>2000</v>
      </c>
      <c r="M1598" t="s">
        <v>1327</v>
      </c>
      <c r="O1598">
        <v>2005</v>
      </c>
      <c r="P1598">
        <v>2005</v>
      </c>
      <c r="Q1598" t="s">
        <v>1329</v>
      </c>
      <c r="R1598">
        <v>10</v>
      </c>
      <c r="T1598" t="s">
        <v>1330</v>
      </c>
      <c r="U1598" t="s">
        <v>1340</v>
      </c>
      <c r="V1598" s="9" t="s">
        <v>1339</v>
      </c>
      <c r="W1598">
        <v>70</v>
      </c>
      <c r="X1598" s="9" t="s">
        <v>1333</v>
      </c>
      <c r="Z1598">
        <v>0</v>
      </c>
      <c r="AD1598" t="s">
        <v>1165</v>
      </c>
      <c r="AF1598" t="s">
        <v>1165</v>
      </c>
      <c r="AI1598" t="s">
        <v>1165</v>
      </c>
      <c r="AJ1598" s="4" t="s">
        <v>1148</v>
      </c>
      <c r="AK1598" s="4">
        <v>0</v>
      </c>
      <c r="AP1598" s="4">
        <v>28</v>
      </c>
      <c r="AQ1598" t="s">
        <v>1336</v>
      </c>
      <c r="AR1598" s="4" t="s">
        <v>1335</v>
      </c>
      <c r="AS1598" t="s">
        <v>3001</v>
      </c>
    </row>
    <row r="1599" spans="1:45" x14ac:dyDescent="0.2">
      <c r="A1599" t="s">
        <v>1326</v>
      </c>
      <c r="B1599" s="4" t="s">
        <v>1146</v>
      </c>
      <c r="C1599" s="4" t="s">
        <v>1149</v>
      </c>
      <c r="D1599" t="s">
        <v>1348</v>
      </c>
      <c r="E1599" t="s">
        <v>1349</v>
      </c>
      <c r="G1599" s="4" t="s">
        <v>1165</v>
      </c>
      <c r="H1599" t="s">
        <v>1165</v>
      </c>
      <c r="I1599" t="s">
        <v>1328</v>
      </c>
      <c r="J1599" t="s">
        <v>1337</v>
      </c>
      <c r="K1599" t="s">
        <v>1338</v>
      </c>
      <c r="L1599">
        <v>2000</v>
      </c>
      <c r="M1599" t="s">
        <v>1327</v>
      </c>
      <c r="O1599">
        <v>2005</v>
      </c>
      <c r="P1599">
        <v>2005</v>
      </c>
      <c r="Q1599" t="s">
        <v>1329</v>
      </c>
      <c r="R1599">
        <v>10</v>
      </c>
      <c r="T1599" t="s">
        <v>1330</v>
      </c>
      <c r="U1599" t="s">
        <v>1340</v>
      </c>
      <c r="V1599" s="9" t="s">
        <v>1339</v>
      </c>
      <c r="W1599">
        <v>70</v>
      </c>
      <c r="X1599" s="9" t="s">
        <v>1264</v>
      </c>
      <c r="Z1599">
        <v>0</v>
      </c>
      <c r="AD1599" t="s">
        <v>1165</v>
      </c>
      <c r="AF1599" t="s">
        <v>1165</v>
      </c>
      <c r="AI1599" t="s">
        <v>1165</v>
      </c>
      <c r="AJ1599" s="4" t="s">
        <v>1148</v>
      </c>
      <c r="AK1599" s="4">
        <v>0</v>
      </c>
      <c r="AP1599" s="4">
        <v>28</v>
      </c>
      <c r="AQ1599" t="s">
        <v>1336</v>
      </c>
      <c r="AR1599" s="4" t="s">
        <v>1335</v>
      </c>
      <c r="AS1599" t="s">
        <v>3001</v>
      </c>
    </row>
    <row r="1600" spans="1:45" x14ac:dyDescent="0.2">
      <c r="A1600" t="s">
        <v>1326</v>
      </c>
      <c r="B1600" s="4" t="s">
        <v>1146</v>
      </c>
      <c r="C1600" s="4" t="s">
        <v>1149</v>
      </c>
      <c r="D1600" t="s">
        <v>1348</v>
      </c>
      <c r="E1600" t="s">
        <v>1349</v>
      </c>
      <c r="G1600" s="4" t="s">
        <v>1165</v>
      </c>
      <c r="H1600" t="s">
        <v>1165</v>
      </c>
      <c r="I1600" t="s">
        <v>1328</v>
      </c>
      <c r="J1600" t="s">
        <v>1337</v>
      </c>
      <c r="K1600" t="s">
        <v>1338</v>
      </c>
      <c r="L1600">
        <v>2000</v>
      </c>
      <c r="M1600" t="s">
        <v>1327</v>
      </c>
      <c r="O1600">
        <v>2005</v>
      </c>
      <c r="P1600">
        <v>2005</v>
      </c>
      <c r="Q1600" t="s">
        <v>1329</v>
      </c>
      <c r="R1600">
        <v>10</v>
      </c>
      <c r="T1600" t="s">
        <v>1330</v>
      </c>
      <c r="U1600" t="s">
        <v>1340</v>
      </c>
      <c r="V1600" s="9" t="s">
        <v>1339</v>
      </c>
      <c r="W1600">
        <v>70</v>
      </c>
      <c r="X1600" s="9" t="s">
        <v>1261</v>
      </c>
      <c r="Z1600">
        <v>0</v>
      </c>
      <c r="AD1600" t="s">
        <v>1165</v>
      </c>
      <c r="AF1600" t="s">
        <v>1165</v>
      </c>
      <c r="AI1600" t="s">
        <v>1165</v>
      </c>
      <c r="AJ1600" s="4" t="s">
        <v>1148</v>
      </c>
      <c r="AK1600" s="4">
        <v>0</v>
      </c>
      <c r="AP1600" s="4">
        <v>28</v>
      </c>
      <c r="AQ1600" t="s">
        <v>1336</v>
      </c>
      <c r="AR1600" s="4" t="s">
        <v>1335</v>
      </c>
      <c r="AS1600" t="s">
        <v>3001</v>
      </c>
    </row>
    <row r="1601" spans="1:45" x14ac:dyDescent="0.2">
      <c r="A1601" t="s">
        <v>1326</v>
      </c>
      <c r="B1601" s="4" t="s">
        <v>1146</v>
      </c>
      <c r="C1601" s="4" t="s">
        <v>1149</v>
      </c>
      <c r="D1601" t="s">
        <v>1348</v>
      </c>
      <c r="E1601" t="s">
        <v>1349</v>
      </c>
      <c r="G1601" s="4" t="s">
        <v>1165</v>
      </c>
      <c r="H1601" t="s">
        <v>1165</v>
      </c>
      <c r="I1601" t="s">
        <v>1328</v>
      </c>
      <c r="J1601" t="s">
        <v>1337</v>
      </c>
      <c r="K1601" t="s">
        <v>1338</v>
      </c>
      <c r="L1601">
        <v>2000</v>
      </c>
      <c r="M1601" t="s">
        <v>1327</v>
      </c>
      <c r="O1601">
        <v>2005</v>
      </c>
      <c r="P1601">
        <v>2005</v>
      </c>
      <c r="Q1601" t="s">
        <v>1329</v>
      </c>
      <c r="R1601">
        <v>10</v>
      </c>
      <c r="T1601" t="s">
        <v>1330</v>
      </c>
      <c r="U1601" t="s">
        <v>1340</v>
      </c>
      <c r="V1601" s="9" t="s">
        <v>1339</v>
      </c>
      <c r="W1601">
        <v>70</v>
      </c>
      <c r="X1601" s="9" t="s">
        <v>1334</v>
      </c>
      <c r="Z1601">
        <v>0</v>
      </c>
      <c r="AD1601" t="s">
        <v>1165</v>
      </c>
      <c r="AF1601" t="s">
        <v>1165</v>
      </c>
      <c r="AI1601" t="s">
        <v>1165</v>
      </c>
      <c r="AJ1601" s="4" t="s">
        <v>1148</v>
      </c>
      <c r="AK1601" s="4">
        <v>2.0670000000000002</v>
      </c>
      <c r="AP1601" s="4">
        <v>28</v>
      </c>
      <c r="AQ1601" t="s">
        <v>1336</v>
      </c>
      <c r="AR1601" s="4" t="s">
        <v>1335</v>
      </c>
      <c r="AS1601" t="s">
        <v>3001</v>
      </c>
    </row>
    <row r="1602" spans="1:45" x14ac:dyDescent="0.2">
      <c r="A1602" t="s">
        <v>1326</v>
      </c>
      <c r="B1602" s="4" t="s">
        <v>1146</v>
      </c>
      <c r="C1602" s="4" t="s">
        <v>1149</v>
      </c>
      <c r="D1602" t="s">
        <v>1348</v>
      </c>
      <c r="E1602" t="s">
        <v>1349</v>
      </c>
      <c r="G1602" s="4" t="s">
        <v>1165</v>
      </c>
      <c r="H1602" t="s">
        <v>1165</v>
      </c>
      <c r="I1602" t="s">
        <v>1328</v>
      </c>
      <c r="J1602" t="s">
        <v>1337</v>
      </c>
      <c r="K1602" t="s">
        <v>1338</v>
      </c>
      <c r="L1602">
        <v>2000</v>
      </c>
      <c r="M1602" t="s">
        <v>1327</v>
      </c>
      <c r="O1602">
        <v>2005</v>
      </c>
      <c r="P1602">
        <v>2005</v>
      </c>
      <c r="Q1602" t="s">
        <v>1329</v>
      </c>
      <c r="R1602">
        <v>10</v>
      </c>
      <c r="T1602" t="s">
        <v>1330</v>
      </c>
      <c r="U1602" t="s">
        <v>1340</v>
      </c>
      <c r="V1602" s="9" t="s">
        <v>1339</v>
      </c>
      <c r="W1602">
        <v>140</v>
      </c>
      <c r="X1602" s="9" t="s">
        <v>1333</v>
      </c>
      <c r="Z1602">
        <v>12</v>
      </c>
      <c r="AD1602" t="s">
        <v>1165</v>
      </c>
      <c r="AF1602" t="s">
        <v>1165</v>
      </c>
      <c r="AI1602" t="s">
        <v>1165</v>
      </c>
      <c r="AJ1602" s="4" t="s">
        <v>1148</v>
      </c>
      <c r="AK1602" s="4">
        <v>97.736000000000004</v>
      </c>
      <c r="AP1602" s="4">
        <v>28</v>
      </c>
      <c r="AQ1602" t="s">
        <v>1336</v>
      </c>
      <c r="AR1602" s="4" t="s">
        <v>1335</v>
      </c>
      <c r="AS1602" t="s">
        <v>3001</v>
      </c>
    </row>
    <row r="1603" spans="1:45" x14ac:dyDescent="0.2">
      <c r="A1603" t="s">
        <v>1326</v>
      </c>
      <c r="B1603" s="4" t="s">
        <v>1146</v>
      </c>
      <c r="C1603" s="4" t="s">
        <v>1149</v>
      </c>
      <c r="D1603" t="s">
        <v>1348</v>
      </c>
      <c r="E1603" t="s">
        <v>1349</v>
      </c>
      <c r="G1603" s="4" t="s">
        <v>1165</v>
      </c>
      <c r="H1603" t="s">
        <v>1165</v>
      </c>
      <c r="I1603" t="s">
        <v>1328</v>
      </c>
      <c r="J1603" t="s">
        <v>1337</v>
      </c>
      <c r="K1603" t="s">
        <v>1338</v>
      </c>
      <c r="L1603">
        <v>2000</v>
      </c>
      <c r="M1603" t="s">
        <v>1327</v>
      </c>
      <c r="O1603">
        <v>2005</v>
      </c>
      <c r="P1603">
        <v>2005</v>
      </c>
      <c r="Q1603" t="s">
        <v>1329</v>
      </c>
      <c r="R1603">
        <v>10</v>
      </c>
      <c r="T1603" t="s">
        <v>1330</v>
      </c>
      <c r="U1603" t="s">
        <v>1340</v>
      </c>
      <c r="V1603" s="9" t="s">
        <v>1339</v>
      </c>
      <c r="W1603">
        <v>140</v>
      </c>
      <c r="X1603" s="9" t="s">
        <v>1264</v>
      </c>
      <c r="Z1603">
        <v>12</v>
      </c>
      <c r="AD1603" t="s">
        <v>1165</v>
      </c>
      <c r="AF1603" t="s">
        <v>1165</v>
      </c>
      <c r="AI1603" t="s">
        <v>1165</v>
      </c>
      <c r="AJ1603" s="4" t="s">
        <v>1148</v>
      </c>
      <c r="AK1603" s="4">
        <v>100</v>
      </c>
      <c r="AP1603" s="4">
        <v>28</v>
      </c>
      <c r="AQ1603" t="s">
        <v>1336</v>
      </c>
      <c r="AR1603" s="4" t="s">
        <v>1335</v>
      </c>
      <c r="AS1603" t="s">
        <v>3001</v>
      </c>
    </row>
    <row r="1604" spans="1:45" x14ac:dyDescent="0.2">
      <c r="A1604" t="s">
        <v>1326</v>
      </c>
      <c r="B1604" s="4" t="s">
        <v>1146</v>
      </c>
      <c r="C1604" s="4" t="s">
        <v>1149</v>
      </c>
      <c r="D1604" t="s">
        <v>1348</v>
      </c>
      <c r="E1604" t="s">
        <v>1349</v>
      </c>
      <c r="G1604" s="4" t="s">
        <v>1165</v>
      </c>
      <c r="H1604" t="s">
        <v>1165</v>
      </c>
      <c r="I1604" t="s">
        <v>1328</v>
      </c>
      <c r="J1604" t="s">
        <v>1337</v>
      </c>
      <c r="K1604" t="s">
        <v>1338</v>
      </c>
      <c r="L1604">
        <v>2000</v>
      </c>
      <c r="M1604" t="s">
        <v>1327</v>
      </c>
      <c r="O1604">
        <v>2005</v>
      </c>
      <c r="P1604">
        <v>2005</v>
      </c>
      <c r="Q1604" t="s">
        <v>1329</v>
      </c>
      <c r="R1604">
        <v>10</v>
      </c>
      <c r="T1604" t="s">
        <v>1330</v>
      </c>
      <c r="U1604" t="s">
        <v>1340</v>
      </c>
      <c r="V1604" s="9" t="s">
        <v>1339</v>
      </c>
      <c r="W1604">
        <v>140</v>
      </c>
      <c r="X1604" s="9" t="s">
        <v>1261</v>
      </c>
      <c r="Z1604">
        <v>12</v>
      </c>
      <c r="AD1604" t="s">
        <v>1165</v>
      </c>
      <c r="AF1604" t="s">
        <v>1165</v>
      </c>
      <c r="AI1604" t="s">
        <v>1165</v>
      </c>
      <c r="AJ1604" s="4" t="s">
        <v>1148</v>
      </c>
      <c r="AK1604" s="4">
        <v>100</v>
      </c>
      <c r="AP1604" s="4">
        <v>28</v>
      </c>
      <c r="AQ1604" t="s">
        <v>1336</v>
      </c>
      <c r="AR1604" s="4" t="s">
        <v>1335</v>
      </c>
      <c r="AS1604" t="s">
        <v>3001</v>
      </c>
    </row>
    <row r="1605" spans="1:45" x14ac:dyDescent="0.2">
      <c r="A1605" t="s">
        <v>1326</v>
      </c>
      <c r="B1605" s="4" t="s">
        <v>1146</v>
      </c>
      <c r="C1605" s="4" t="s">
        <v>1149</v>
      </c>
      <c r="D1605" t="s">
        <v>1348</v>
      </c>
      <c r="E1605" t="s">
        <v>1349</v>
      </c>
      <c r="G1605" s="4" t="s">
        <v>1165</v>
      </c>
      <c r="H1605" t="s">
        <v>1165</v>
      </c>
      <c r="I1605" t="s">
        <v>1328</v>
      </c>
      <c r="J1605" t="s">
        <v>1337</v>
      </c>
      <c r="K1605" t="s">
        <v>1338</v>
      </c>
      <c r="L1605">
        <v>2000</v>
      </c>
      <c r="M1605" t="s">
        <v>1327</v>
      </c>
      <c r="O1605">
        <v>2005</v>
      </c>
      <c r="P1605">
        <v>2005</v>
      </c>
      <c r="Q1605" t="s">
        <v>1329</v>
      </c>
      <c r="R1605">
        <v>10</v>
      </c>
      <c r="T1605" t="s">
        <v>1330</v>
      </c>
      <c r="U1605" t="s">
        <v>1340</v>
      </c>
      <c r="V1605" s="9" t="s">
        <v>1339</v>
      </c>
      <c r="W1605">
        <v>140</v>
      </c>
      <c r="X1605" s="9" t="s">
        <v>1334</v>
      </c>
      <c r="Z1605">
        <v>12</v>
      </c>
      <c r="AD1605" t="s">
        <v>1165</v>
      </c>
      <c r="AF1605" t="s">
        <v>1165</v>
      </c>
      <c r="AI1605" t="s">
        <v>1165</v>
      </c>
      <c r="AJ1605" s="4" t="s">
        <v>1148</v>
      </c>
      <c r="AK1605" s="4">
        <v>100</v>
      </c>
      <c r="AP1605" s="4">
        <v>28</v>
      </c>
      <c r="AQ1605" t="s">
        <v>1336</v>
      </c>
      <c r="AR1605" s="4" t="s">
        <v>1335</v>
      </c>
      <c r="AS1605" t="s">
        <v>3001</v>
      </c>
    </row>
    <row r="1606" spans="1:45" x14ac:dyDescent="0.2">
      <c r="A1606" t="s">
        <v>1326</v>
      </c>
      <c r="B1606" s="4" t="s">
        <v>1146</v>
      </c>
      <c r="C1606" s="4" t="s">
        <v>1149</v>
      </c>
      <c r="D1606" t="s">
        <v>1348</v>
      </c>
      <c r="E1606" t="s">
        <v>1349</v>
      </c>
      <c r="G1606" s="4" t="s">
        <v>1165</v>
      </c>
      <c r="H1606" t="s">
        <v>1165</v>
      </c>
      <c r="I1606" t="s">
        <v>1328</v>
      </c>
      <c r="J1606" t="s">
        <v>1337</v>
      </c>
      <c r="K1606" t="s">
        <v>1338</v>
      </c>
      <c r="L1606">
        <v>2000</v>
      </c>
      <c r="M1606" t="s">
        <v>1327</v>
      </c>
      <c r="O1606">
        <v>2005</v>
      </c>
      <c r="P1606">
        <v>2005</v>
      </c>
      <c r="Q1606" t="s">
        <v>1329</v>
      </c>
      <c r="R1606">
        <v>10</v>
      </c>
      <c r="T1606" t="s">
        <v>1330</v>
      </c>
      <c r="U1606" t="s">
        <v>1340</v>
      </c>
      <c r="V1606" s="9" t="s">
        <v>1339</v>
      </c>
      <c r="W1606">
        <v>140</v>
      </c>
      <c r="X1606" s="9" t="s">
        <v>1333</v>
      </c>
      <c r="Z1606">
        <v>0</v>
      </c>
      <c r="AD1606" t="s">
        <v>1165</v>
      </c>
      <c r="AF1606" t="s">
        <v>1165</v>
      </c>
      <c r="AI1606" t="s">
        <v>1165</v>
      </c>
      <c r="AJ1606" s="4" t="s">
        <v>1148</v>
      </c>
      <c r="AK1606" s="4">
        <v>0</v>
      </c>
      <c r="AP1606" s="4">
        <v>28</v>
      </c>
      <c r="AQ1606" t="s">
        <v>1336</v>
      </c>
      <c r="AR1606" s="4" t="s">
        <v>1335</v>
      </c>
      <c r="AS1606" t="s">
        <v>3001</v>
      </c>
    </row>
    <row r="1607" spans="1:45" x14ac:dyDescent="0.2">
      <c r="A1607" t="s">
        <v>1326</v>
      </c>
      <c r="B1607" s="4" t="s">
        <v>1146</v>
      </c>
      <c r="C1607" s="4" t="s">
        <v>1149</v>
      </c>
      <c r="D1607" t="s">
        <v>1348</v>
      </c>
      <c r="E1607" t="s">
        <v>1349</v>
      </c>
      <c r="G1607" s="4" t="s">
        <v>1165</v>
      </c>
      <c r="H1607" t="s">
        <v>1165</v>
      </c>
      <c r="I1607" t="s">
        <v>1328</v>
      </c>
      <c r="J1607" t="s">
        <v>1337</v>
      </c>
      <c r="K1607" t="s">
        <v>1338</v>
      </c>
      <c r="L1607">
        <v>2000</v>
      </c>
      <c r="M1607" t="s">
        <v>1327</v>
      </c>
      <c r="O1607">
        <v>2005</v>
      </c>
      <c r="P1607">
        <v>2005</v>
      </c>
      <c r="Q1607" t="s">
        <v>1329</v>
      </c>
      <c r="R1607">
        <v>10</v>
      </c>
      <c r="T1607" t="s">
        <v>1330</v>
      </c>
      <c r="U1607" t="s">
        <v>1340</v>
      </c>
      <c r="V1607" s="9" t="s">
        <v>1339</v>
      </c>
      <c r="W1607">
        <v>140</v>
      </c>
      <c r="X1607" s="9" t="s">
        <v>1264</v>
      </c>
      <c r="Z1607">
        <v>0</v>
      </c>
      <c r="AD1607" t="s">
        <v>1165</v>
      </c>
      <c r="AF1607" t="s">
        <v>1165</v>
      </c>
      <c r="AI1607" t="s">
        <v>1165</v>
      </c>
      <c r="AJ1607" s="4" t="s">
        <v>1148</v>
      </c>
      <c r="AK1607" s="4">
        <v>0</v>
      </c>
      <c r="AP1607" s="4">
        <v>28</v>
      </c>
      <c r="AQ1607" t="s">
        <v>1336</v>
      </c>
      <c r="AR1607" s="4" t="s">
        <v>1335</v>
      </c>
      <c r="AS1607" t="s">
        <v>3001</v>
      </c>
    </row>
    <row r="1608" spans="1:45" x14ac:dyDescent="0.2">
      <c r="A1608" t="s">
        <v>1326</v>
      </c>
      <c r="B1608" s="4" t="s">
        <v>1146</v>
      </c>
      <c r="C1608" s="4" t="s">
        <v>1149</v>
      </c>
      <c r="D1608" t="s">
        <v>1348</v>
      </c>
      <c r="E1608" t="s">
        <v>1349</v>
      </c>
      <c r="G1608" s="4" t="s">
        <v>1165</v>
      </c>
      <c r="H1608" t="s">
        <v>1165</v>
      </c>
      <c r="I1608" t="s">
        <v>1328</v>
      </c>
      <c r="J1608" t="s">
        <v>1337</v>
      </c>
      <c r="K1608" t="s">
        <v>1338</v>
      </c>
      <c r="L1608">
        <v>2000</v>
      </c>
      <c r="M1608" t="s">
        <v>1327</v>
      </c>
      <c r="O1608">
        <v>2005</v>
      </c>
      <c r="P1608">
        <v>2005</v>
      </c>
      <c r="Q1608" t="s">
        <v>1329</v>
      </c>
      <c r="R1608">
        <v>10</v>
      </c>
      <c r="T1608" t="s">
        <v>1330</v>
      </c>
      <c r="U1608" t="s">
        <v>1340</v>
      </c>
      <c r="V1608" s="9" t="s">
        <v>1339</v>
      </c>
      <c r="W1608">
        <v>140</v>
      </c>
      <c r="X1608" s="9" t="s">
        <v>1261</v>
      </c>
      <c r="Z1608">
        <v>0</v>
      </c>
      <c r="AD1608" t="s">
        <v>1165</v>
      </c>
      <c r="AF1608" t="s">
        <v>1165</v>
      </c>
      <c r="AI1608" t="s">
        <v>1165</v>
      </c>
      <c r="AJ1608" s="4" t="s">
        <v>1148</v>
      </c>
      <c r="AK1608" s="4">
        <v>0</v>
      </c>
      <c r="AP1608" s="4">
        <v>28</v>
      </c>
      <c r="AQ1608" t="s">
        <v>1336</v>
      </c>
      <c r="AR1608" s="4" t="s">
        <v>1335</v>
      </c>
      <c r="AS1608" t="s">
        <v>3001</v>
      </c>
    </row>
    <row r="1609" spans="1:45" x14ac:dyDescent="0.2">
      <c r="A1609" t="s">
        <v>1326</v>
      </c>
      <c r="B1609" s="4" t="s">
        <v>1146</v>
      </c>
      <c r="C1609" s="4" t="s">
        <v>1149</v>
      </c>
      <c r="D1609" t="s">
        <v>1348</v>
      </c>
      <c r="E1609" t="s">
        <v>1349</v>
      </c>
      <c r="G1609" s="4" t="s">
        <v>1165</v>
      </c>
      <c r="H1609" t="s">
        <v>1165</v>
      </c>
      <c r="I1609" t="s">
        <v>1328</v>
      </c>
      <c r="J1609" t="s">
        <v>1337</v>
      </c>
      <c r="K1609" t="s">
        <v>1338</v>
      </c>
      <c r="L1609">
        <v>2000</v>
      </c>
      <c r="M1609" t="s">
        <v>1327</v>
      </c>
      <c r="O1609">
        <v>2005</v>
      </c>
      <c r="P1609">
        <v>2005</v>
      </c>
      <c r="Q1609" t="s">
        <v>1329</v>
      </c>
      <c r="R1609">
        <v>10</v>
      </c>
      <c r="T1609" t="s">
        <v>1330</v>
      </c>
      <c r="U1609" t="s">
        <v>1340</v>
      </c>
      <c r="V1609" s="9" t="s">
        <v>1339</v>
      </c>
      <c r="W1609">
        <v>140</v>
      </c>
      <c r="X1609" s="9" t="s">
        <v>1334</v>
      </c>
      <c r="Z1609">
        <v>0</v>
      </c>
      <c r="AD1609" t="s">
        <v>1165</v>
      </c>
      <c r="AF1609" t="s">
        <v>1165</v>
      </c>
      <c r="AI1609" t="s">
        <v>1165</v>
      </c>
      <c r="AJ1609" s="4" t="s">
        <v>1148</v>
      </c>
      <c r="AK1609" s="4">
        <v>0</v>
      </c>
      <c r="AP1609" s="4">
        <v>28</v>
      </c>
      <c r="AQ1609" t="s">
        <v>1336</v>
      </c>
      <c r="AR1609" s="4" t="s">
        <v>1335</v>
      </c>
      <c r="AS1609" t="s">
        <v>3001</v>
      </c>
    </row>
    <row r="1610" spans="1:45" x14ac:dyDescent="0.2">
      <c r="A1610" t="s">
        <v>1326</v>
      </c>
      <c r="B1610" s="4" t="s">
        <v>1146</v>
      </c>
      <c r="C1610" s="4" t="s">
        <v>1149</v>
      </c>
      <c r="D1610" t="s">
        <v>1348</v>
      </c>
      <c r="E1610" t="s">
        <v>1349</v>
      </c>
      <c r="G1610" s="4" t="s">
        <v>1165</v>
      </c>
      <c r="H1610" t="s">
        <v>1165</v>
      </c>
      <c r="I1610" t="s">
        <v>1328</v>
      </c>
      <c r="J1610" t="s">
        <v>1337</v>
      </c>
      <c r="K1610" t="s">
        <v>1338</v>
      </c>
      <c r="L1610">
        <v>2000</v>
      </c>
      <c r="M1610" t="s">
        <v>1327</v>
      </c>
      <c r="O1610">
        <v>2005</v>
      </c>
      <c r="P1610">
        <v>2005</v>
      </c>
      <c r="Q1610" t="s">
        <v>1329</v>
      </c>
      <c r="R1610">
        <v>10</v>
      </c>
      <c r="T1610" t="s">
        <v>1330</v>
      </c>
      <c r="U1610" t="s">
        <v>1340</v>
      </c>
      <c r="V1610" s="9" t="s">
        <v>1339</v>
      </c>
      <c r="W1610">
        <v>210</v>
      </c>
      <c r="X1610" s="9" t="s">
        <v>1333</v>
      </c>
      <c r="Z1610">
        <v>12</v>
      </c>
      <c r="AD1610" t="s">
        <v>1165</v>
      </c>
      <c r="AF1610" t="s">
        <v>1165</v>
      </c>
      <c r="AI1610" t="s">
        <v>1165</v>
      </c>
      <c r="AJ1610" s="4" t="s">
        <v>1148</v>
      </c>
      <c r="AK1610" s="4">
        <v>100</v>
      </c>
      <c r="AP1610" s="4">
        <v>28</v>
      </c>
      <c r="AQ1610" t="s">
        <v>1336</v>
      </c>
      <c r="AR1610" s="4" t="s">
        <v>1335</v>
      </c>
      <c r="AS1610" t="s">
        <v>3001</v>
      </c>
    </row>
    <row r="1611" spans="1:45" x14ac:dyDescent="0.2">
      <c r="A1611" t="s">
        <v>1326</v>
      </c>
      <c r="B1611" s="4" t="s">
        <v>1146</v>
      </c>
      <c r="C1611" s="4" t="s">
        <v>1149</v>
      </c>
      <c r="D1611" t="s">
        <v>1348</v>
      </c>
      <c r="E1611" t="s">
        <v>1349</v>
      </c>
      <c r="G1611" s="4" t="s">
        <v>1165</v>
      </c>
      <c r="H1611" t="s">
        <v>1165</v>
      </c>
      <c r="I1611" t="s">
        <v>1328</v>
      </c>
      <c r="J1611" t="s">
        <v>1337</v>
      </c>
      <c r="K1611" t="s">
        <v>1338</v>
      </c>
      <c r="L1611">
        <v>2000</v>
      </c>
      <c r="M1611" t="s">
        <v>1327</v>
      </c>
      <c r="O1611">
        <v>2005</v>
      </c>
      <c r="P1611">
        <v>2005</v>
      </c>
      <c r="Q1611" t="s">
        <v>1329</v>
      </c>
      <c r="R1611">
        <v>10</v>
      </c>
      <c r="T1611" t="s">
        <v>1330</v>
      </c>
      <c r="U1611" t="s">
        <v>1340</v>
      </c>
      <c r="V1611" s="9" t="s">
        <v>1339</v>
      </c>
      <c r="W1611">
        <v>210</v>
      </c>
      <c r="X1611" s="9" t="s">
        <v>1264</v>
      </c>
      <c r="Z1611">
        <v>12</v>
      </c>
      <c r="AD1611" t="s">
        <v>1165</v>
      </c>
      <c r="AF1611" t="s">
        <v>1165</v>
      </c>
      <c r="AI1611" t="s">
        <v>1165</v>
      </c>
      <c r="AJ1611" s="4" t="s">
        <v>1148</v>
      </c>
      <c r="AK1611" s="4">
        <v>100</v>
      </c>
      <c r="AP1611" s="4">
        <v>28</v>
      </c>
      <c r="AQ1611" t="s">
        <v>1336</v>
      </c>
      <c r="AR1611" s="4" t="s">
        <v>1335</v>
      </c>
      <c r="AS1611" t="s">
        <v>3001</v>
      </c>
    </row>
    <row r="1612" spans="1:45" x14ac:dyDescent="0.2">
      <c r="A1612" t="s">
        <v>1326</v>
      </c>
      <c r="B1612" s="4" t="s">
        <v>1146</v>
      </c>
      <c r="C1612" s="4" t="s">
        <v>1149</v>
      </c>
      <c r="D1612" t="s">
        <v>1348</v>
      </c>
      <c r="E1612" t="s">
        <v>1349</v>
      </c>
      <c r="G1612" s="4" t="s">
        <v>1165</v>
      </c>
      <c r="H1612" t="s">
        <v>1165</v>
      </c>
      <c r="I1612" t="s">
        <v>1328</v>
      </c>
      <c r="J1612" t="s">
        <v>1337</v>
      </c>
      <c r="K1612" t="s">
        <v>1338</v>
      </c>
      <c r="L1612">
        <v>2000</v>
      </c>
      <c r="M1612" t="s">
        <v>1327</v>
      </c>
      <c r="O1612">
        <v>2005</v>
      </c>
      <c r="P1612">
        <v>2005</v>
      </c>
      <c r="Q1612" t="s">
        <v>1329</v>
      </c>
      <c r="R1612">
        <v>10</v>
      </c>
      <c r="T1612" t="s">
        <v>1330</v>
      </c>
      <c r="U1612" t="s">
        <v>1340</v>
      </c>
      <c r="V1612" s="9" t="s">
        <v>1339</v>
      </c>
      <c r="W1612">
        <v>210</v>
      </c>
      <c r="X1612" s="9" t="s">
        <v>1261</v>
      </c>
      <c r="Z1612">
        <v>12</v>
      </c>
      <c r="AD1612" t="s">
        <v>1165</v>
      </c>
      <c r="AF1612" t="s">
        <v>1165</v>
      </c>
      <c r="AI1612" t="s">
        <v>1165</v>
      </c>
      <c r="AJ1612" s="4" t="s">
        <v>1148</v>
      </c>
      <c r="AK1612" s="4">
        <v>100</v>
      </c>
      <c r="AP1612" s="4">
        <v>28</v>
      </c>
      <c r="AQ1612" t="s">
        <v>1336</v>
      </c>
      <c r="AR1612" s="4" t="s">
        <v>1335</v>
      </c>
      <c r="AS1612" t="s">
        <v>3001</v>
      </c>
    </row>
    <row r="1613" spans="1:45" x14ac:dyDescent="0.2">
      <c r="A1613" t="s">
        <v>1326</v>
      </c>
      <c r="B1613" s="4" t="s">
        <v>1146</v>
      </c>
      <c r="C1613" s="4" t="s">
        <v>1149</v>
      </c>
      <c r="D1613" t="s">
        <v>1348</v>
      </c>
      <c r="E1613" t="s">
        <v>1349</v>
      </c>
      <c r="G1613" s="4" t="s">
        <v>1165</v>
      </c>
      <c r="H1613" t="s">
        <v>1165</v>
      </c>
      <c r="I1613" t="s">
        <v>1328</v>
      </c>
      <c r="J1613" t="s">
        <v>1337</v>
      </c>
      <c r="K1613" t="s">
        <v>1338</v>
      </c>
      <c r="L1613">
        <v>2000</v>
      </c>
      <c r="M1613" t="s">
        <v>1327</v>
      </c>
      <c r="O1613">
        <v>2005</v>
      </c>
      <c r="P1613">
        <v>2005</v>
      </c>
      <c r="Q1613" t="s">
        <v>1329</v>
      </c>
      <c r="R1613">
        <v>10</v>
      </c>
      <c r="T1613" t="s">
        <v>1330</v>
      </c>
      <c r="U1613" t="s">
        <v>1340</v>
      </c>
      <c r="V1613" s="9" t="s">
        <v>1339</v>
      </c>
      <c r="W1613">
        <v>210</v>
      </c>
      <c r="X1613" s="9" t="s">
        <v>1334</v>
      </c>
      <c r="Z1613">
        <v>12</v>
      </c>
      <c r="AD1613" t="s">
        <v>1165</v>
      </c>
      <c r="AF1613" t="s">
        <v>1165</v>
      </c>
      <c r="AI1613" t="s">
        <v>1165</v>
      </c>
      <c r="AJ1613" s="4" t="s">
        <v>1148</v>
      </c>
      <c r="AK1613" s="4">
        <v>100</v>
      </c>
      <c r="AP1613" s="4">
        <v>28</v>
      </c>
      <c r="AQ1613" t="s">
        <v>1336</v>
      </c>
      <c r="AR1613" s="4" t="s">
        <v>1335</v>
      </c>
      <c r="AS1613" t="s">
        <v>3001</v>
      </c>
    </row>
    <row r="1614" spans="1:45" x14ac:dyDescent="0.2">
      <c r="A1614" t="s">
        <v>1326</v>
      </c>
      <c r="B1614" s="4" t="s">
        <v>1146</v>
      </c>
      <c r="C1614" s="4" t="s">
        <v>1149</v>
      </c>
      <c r="D1614" t="s">
        <v>1348</v>
      </c>
      <c r="E1614" t="s">
        <v>1349</v>
      </c>
      <c r="G1614" s="4" t="s">
        <v>1165</v>
      </c>
      <c r="H1614" t="s">
        <v>1165</v>
      </c>
      <c r="I1614" t="s">
        <v>1328</v>
      </c>
      <c r="J1614" t="s">
        <v>1337</v>
      </c>
      <c r="K1614" t="s">
        <v>1338</v>
      </c>
      <c r="L1614">
        <v>2000</v>
      </c>
      <c r="M1614" t="s">
        <v>1327</v>
      </c>
      <c r="O1614">
        <v>2005</v>
      </c>
      <c r="P1614">
        <v>2005</v>
      </c>
      <c r="Q1614" t="s">
        <v>1329</v>
      </c>
      <c r="R1614">
        <v>10</v>
      </c>
      <c r="T1614" t="s">
        <v>1330</v>
      </c>
      <c r="U1614" t="s">
        <v>1340</v>
      </c>
      <c r="V1614" s="9" t="s">
        <v>1339</v>
      </c>
      <c r="W1614">
        <v>210</v>
      </c>
      <c r="X1614" s="9" t="s">
        <v>1333</v>
      </c>
      <c r="Z1614">
        <v>0</v>
      </c>
      <c r="AD1614" t="s">
        <v>1165</v>
      </c>
      <c r="AF1614" t="s">
        <v>1165</v>
      </c>
      <c r="AI1614" t="s">
        <v>1165</v>
      </c>
      <c r="AJ1614" s="4" t="s">
        <v>1148</v>
      </c>
      <c r="AK1614" s="4">
        <v>0</v>
      </c>
      <c r="AP1614" s="4">
        <v>28</v>
      </c>
      <c r="AQ1614" t="s">
        <v>1336</v>
      </c>
      <c r="AR1614" s="4" t="s">
        <v>1335</v>
      </c>
      <c r="AS1614" t="s">
        <v>3001</v>
      </c>
    </row>
    <row r="1615" spans="1:45" x14ac:dyDescent="0.2">
      <c r="A1615" t="s">
        <v>1326</v>
      </c>
      <c r="B1615" s="4" t="s">
        <v>1146</v>
      </c>
      <c r="C1615" s="4" t="s">
        <v>1149</v>
      </c>
      <c r="D1615" t="s">
        <v>1348</v>
      </c>
      <c r="E1615" t="s">
        <v>1349</v>
      </c>
      <c r="G1615" s="4" t="s">
        <v>1165</v>
      </c>
      <c r="H1615" t="s">
        <v>1165</v>
      </c>
      <c r="I1615" t="s">
        <v>1328</v>
      </c>
      <c r="J1615" t="s">
        <v>1337</v>
      </c>
      <c r="K1615" t="s">
        <v>1338</v>
      </c>
      <c r="L1615">
        <v>2000</v>
      </c>
      <c r="M1615" t="s">
        <v>1327</v>
      </c>
      <c r="O1615">
        <v>2005</v>
      </c>
      <c r="P1615">
        <v>2005</v>
      </c>
      <c r="Q1615" t="s">
        <v>1329</v>
      </c>
      <c r="R1615">
        <v>10</v>
      </c>
      <c r="T1615" t="s">
        <v>1330</v>
      </c>
      <c r="U1615" t="s">
        <v>1340</v>
      </c>
      <c r="V1615" s="9" t="s">
        <v>1339</v>
      </c>
      <c r="W1615">
        <v>210</v>
      </c>
      <c r="X1615" s="9" t="s">
        <v>1264</v>
      </c>
      <c r="Z1615">
        <v>0</v>
      </c>
      <c r="AD1615" t="s">
        <v>1165</v>
      </c>
      <c r="AF1615" t="s">
        <v>1165</v>
      </c>
      <c r="AI1615" t="s">
        <v>1165</v>
      </c>
      <c r="AJ1615" s="4" t="s">
        <v>1148</v>
      </c>
      <c r="AK1615" s="4">
        <v>2.9529999999999998</v>
      </c>
      <c r="AP1615" s="4">
        <v>28</v>
      </c>
      <c r="AQ1615" t="s">
        <v>1336</v>
      </c>
      <c r="AR1615" s="4" t="s">
        <v>1335</v>
      </c>
      <c r="AS1615" t="s">
        <v>3001</v>
      </c>
    </row>
    <row r="1616" spans="1:45" x14ac:dyDescent="0.2">
      <c r="A1616" t="s">
        <v>1326</v>
      </c>
      <c r="B1616" s="4" t="s">
        <v>1146</v>
      </c>
      <c r="C1616" s="4" t="s">
        <v>1149</v>
      </c>
      <c r="D1616" t="s">
        <v>1348</v>
      </c>
      <c r="E1616" t="s">
        <v>1349</v>
      </c>
      <c r="G1616" s="4" t="s">
        <v>1165</v>
      </c>
      <c r="H1616" t="s">
        <v>1165</v>
      </c>
      <c r="I1616" t="s">
        <v>1328</v>
      </c>
      <c r="J1616" t="s">
        <v>1337</v>
      </c>
      <c r="K1616" t="s">
        <v>1338</v>
      </c>
      <c r="L1616">
        <v>2000</v>
      </c>
      <c r="M1616" t="s">
        <v>1327</v>
      </c>
      <c r="O1616">
        <v>2005</v>
      </c>
      <c r="P1616">
        <v>2005</v>
      </c>
      <c r="Q1616" t="s">
        <v>1329</v>
      </c>
      <c r="R1616">
        <v>10</v>
      </c>
      <c r="T1616" t="s">
        <v>1330</v>
      </c>
      <c r="U1616" t="s">
        <v>1340</v>
      </c>
      <c r="V1616" s="9" t="s">
        <v>1339</v>
      </c>
      <c r="W1616">
        <v>210</v>
      </c>
      <c r="X1616" s="9" t="s">
        <v>1261</v>
      </c>
      <c r="Z1616">
        <v>0</v>
      </c>
      <c r="AD1616" t="s">
        <v>1165</v>
      </c>
      <c r="AF1616" t="s">
        <v>1165</v>
      </c>
      <c r="AI1616" t="s">
        <v>1165</v>
      </c>
      <c r="AJ1616" s="4" t="s">
        <v>1148</v>
      </c>
      <c r="AK1616" s="4">
        <v>0</v>
      </c>
      <c r="AP1616" s="4">
        <v>28</v>
      </c>
      <c r="AQ1616" t="s">
        <v>1336</v>
      </c>
      <c r="AR1616" s="4" t="s">
        <v>1335</v>
      </c>
      <c r="AS1616" t="s">
        <v>3001</v>
      </c>
    </row>
    <row r="1617" spans="1:45" x14ac:dyDescent="0.2">
      <c r="A1617" t="s">
        <v>1326</v>
      </c>
      <c r="B1617" s="4" t="s">
        <v>1146</v>
      </c>
      <c r="C1617" s="4" t="s">
        <v>1149</v>
      </c>
      <c r="D1617" t="s">
        <v>1348</v>
      </c>
      <c r="E1617" t="s">
        <v>1349</v>
      </c>
      <c r="G1617" s="4" t="s">
        <v>1165</v>
      </c>
      <c r="H1617" t="s">
        <v>1165</v>
      </c>
      <c r="I1617" t="s">
        <v>1328</v>
      </c>
      <c r="J1617" t="s">
        <v>1337</v>
      </c>
      <c r="K1617" t="s">
        <v>1338</v>
      </c>
      <c r="L1617">
        <v>2000</v>
      </c>
      <c r="M1617" t="s">
        <v>1327</v>
      </c>
      <c r="O1617">
        <v>2005</v>
      </c>
      <c r="P1617">
        <v>2005</v>
      </c>
      <c r="Q1617" t="s">
        <v>1329</v>
      </c>
      <c r="R1617">
        <v>10</v>
      </c>
      <c r="T1617" t="s">
        <v>1330</v>
      </c>
      <c r="U1617" t="s">
        <v>1340</v>
      </c>
      <c r="V1617" s="9" t="s">
        <v>1339</v>
      </c>
      <c r="W1617">
        <v>210</v>
      </c>
      <c r="X1617" s="9" t="s">
        <v>1334</v>
      </c>
      <c r="Z1617">
        <v>0</v>
      </c>
      <c r="AD1617" t="s">
        <v>1165</v>
      </c>
      <c r="AF1617" t="s">
        <v>1165</v>
      </c>
      <c r="AI1617" t="s">
        <v>1165</v>
      </c>
      <c r="AJ1617" s="4" t="s">
        <v>1148</v>
      </c>
      <c r="AK1617" s="4">
        <v>0</v>
      </c>
      <c r="AP1617" s="4">
        <v>28</v>
      </c>
      <c r="AQ1617" t="s">
        <v>1336</v>
      </c>
      <c r="AR1617" s="4" t="s">
        <v>1335</v>
      </c>
      <c r="AS1617" t="s">
        <v>3001</v>
      </c>
    </row>
    <row r="1618" spans="1:45" s="14" customFormat="1" x14ac:dyDescent="0.2">
      <c r="A1618" s="14" t="s">
        <v>1326</v>
      </c>
      <c r="B1618" s="15" t="s">
        <v>1146</v>
      </c>
      <c r="C1618" s="15" t="s">
        <v>1149</v>
      </c>
      <c r="D1618" s="14" t="s">
        <v>1348</v>
      </c>
      <c r="E1618" s="14" t="s">
        <v>1349</v>
      </c>
      <c r="G1618" s="15" t="s">
        <v>1165</v>
      </c>
      <c r="H1618" s="14" t="s">
        <v>1165</v>
      </c>
      <c r="I1618" s="14" t="s">
        <v>1328</v>
      </c>
      <c r="J1618" s="14" t="s">
        <v>1337</v>
      </c>
      <c r="K1618" s="14" t="s">
        <v>1338</v>
      </c>
      <c r="L1618" s="14">
        <v>2000</v>
      </c>
      <c r="M1618" s="14" t="s">
        <v>1327</v>
      </c>
      <c r="O1618" s="14">
        <v>2005</v>
      </c>
      <c r="P1618" s="14">
        <v>2005</v>
      </c>
      <c r="Q1618" s="14" t="s">
        <v>1329</v>
      </c>
      <c r="R1618" s="14">
        <v>10</v>
      </c>
      <c r="T1618" s="14" t="s">
        <v>1330</v>
      </c>
      <c r="U1618" s="14" t="s">
        <v>1341</v>
      </c>
      <c r="V1618" s="12"/>
      <c r="W1618" s="14">
        <v>0</v>
      </c>
      <c r="X1618" s="12" t="s">
        <v>1333</v>
      </c>
      <c r="Y1618" s="14" t="s">
        <v>2994</v>
      </c>
      <c r="Z1618" s="14">
        <v>12</v>
      </c>
      <c r="AD1618" s="14" t="s">
        <v>1165</v>
      </c>
      <c r="AF1618" s="14" t="s">
        <v>1165</v>
      </c>
      <c r="AI1618" s="14" t="s">
        <v>1165</v>
      </c>
      <c r="AJ1618" s="15" t="s">
        <v>1148</v>
      </c>
      <c r="AK1618" s="15">
        <v>52.264000000000003</v>
      </c>
      <c r="AP1618" s="15">
        <v>28</v>
      </c>
      <c r="AQ1618" s="14" t="s">
        <v>1336</v>
      </c>
      <c r="AR1618" s="15" t="s">
        <v>1335</v>
      </c>
      <c r="AS1618" s="14" t="s">
        <v>3002</v>
      </c>
    </row>
    <row r="1619" spans="1:45" s="14" customFormat="1" x14ac:dyDescent="0.2">
      <c r="A1619" s="14" t="s">
        <v>1326</v>
      </c>
      <c r="B1619" s="15" t="s">
        <v>1146</v>
      </c>
      <c r="C1619" s="15" t="s">
        <v>1149</v>
      </c>
      <c r="D1619" s="14" t="s">
        <v>1348</v>
      </c>
      <c r="E1619" s="14" t="s">
        <v>1349</v>
      </c>
      <c r="G1619" s="15" t="s">
        <v>1165</v>
      </c>
      <c r="H1619" s="14" t="s">
        <v>1165</v>
      </c>
      <c r="I1619" s="14" t="s">
        <v>1328</v>
      </c>
      <c r="J1619" s="14" t="s">
        <v>1337</v>
      </c>
      <c r="K1619" s="14" t="s">
        <v>1338</v>
      </c>
      <c r="L1619" s="14">
        <v>2000</v>
      </c>
      <c r="M1619" s="14" t="s">
        <v>1327</v>
      </c>
      <c r="O1619" s="14">
        <v>2005</v>
      </c>
      <c r="P1619" s="14">
        <v>2005</v>
      </c>
      <c r="Q1619" s="14" t="s">
        <v>1329</v>
      </c>
      <c r="R1619" s="14">
        <v>10</v>
      </c>
      <c r="T1619" s="14" t="s">
        <v>1330</v>
      </c>
      <c r="U1619" s="14" t="s">
        <v>1341</v>
      </c>
      <c r="V1619" s="12"/>
      <c r="W1619" s="14">
        <v>0</v>
      </c>
      <c r="X1619" s="12" t="s">
        <v>1264</v>
      </c>
      <c r="Y1619" s="14" t="s">
        <v>2994</v>
      </c>
      <c r="Z1619" s="14">
        <v>12</v>
      </c>
      <c r="AD1619" s="14" t="s">
        <v>1165</v>
      </c>
      <c r="AF1619" s="14" t="s">
        <v>1165</v>
      </c>
      <c r="AI1619" s="14" t="s">
        <v>1165</v>
      </c>
      <c r="AJ1619" s="15" t="s">
        <v>1148</v>
      </c>
      <c r="AK1619" s="15">
        <v>96.555000000000007</v>
      </c>
      <c r="AP1619" s="15">
        <v>28</v>
      </c>
      <c r="AQ1619" s="14" t="s">
        <v>1336</v>
      </c>
      <c r="AR1619" s="15" t="s">
        <v>1335</v>
      </c>
      <c r="AS1619" s="14" t="s">
        <v>3002</v>
      </c>
    </row>
    <row r="1620" spans="1:45" s="14" customFormat="1" x14ac:dyDescent="0.2">
      <c r="A1620" s="14" t="s">
        <v>1326</v>
      </c>
      <c r="B1620" s="15" t="s">
        <v>1146</v>
      </c>
      <c r="C1620" s="15" t="s">
        <v>1149</v>
      </c>
      <c r="D1620" s="14" t="s">
        <v>1348</v>
      </c>
      <c r="E1620" s="14" t="s">
        <v>1349</v>
      </c>
      <c r="G1620" s="15" t="s">
        <v>1165</v>
      </c>
      <c r="H1620" s="14" t="s">
        <v>1165</v>
      </c>
      <c r="I1620" s="14" t="s">
        <v>1328</v>
      </c>
      <c r="J1620" s="14" t="s">
        <v>1337</v>
      </c>
      <c r="K1620" s="14" t="s">
        <v>1338</v>
      </c>
      <c r="L1620" s="14">
        <v>2000</v>
      </c>
      <c r="M1620" s="14" t="s">
        <v>1327</v>
      </c>
      <c r="O1620" s="14">
        <v>2005</v>
      </c>
      <c r="P1620" s="14">
        <v>2005</v>
      </c>
      <c r="Q1620" s="14" t="s">
        <v>1329</v>
      </c>
      <c r="R1620" s="14">
        <v>10</v>
      </c>
      <c r="T1620" s="14" t="s">
        <v>1330</v>
      </c>
      <c r="U1620" s="14" t="s">
        <v>1341</v>
      </c>
      <c r="V1620" s="12"/>
      <c r="W1620" s="14">
        <v>0</v>
      </c>
      <c r="X1620" s="12" t="s">
        <v>1261</v>
      </c>
      <c r="Y1620" s="14" t="s">
        <v>2994</v>
      </c>
      <c r="Z1620" s="14">
        <v>12</v>
      </c>
      <c r="AD1620" s="14" t="s">
        <v>1165</v>
      </c>
      <c r="AF1620" s="14" t="s">
        <v>1165</v>
      </c>
      <c r="AI1620" s="14" t="s">
        <v>1165</v>
      </c>
      <c r="AJ1620" s="15" t="s">
        <v>1148</v>
      </c>
      <c r="AK1620" s="15">
        <v>100</v>
      </c>
      <c r="AP1620" s="15">
        <v>28</v>
      </c>
      <c r="AQ1620" s="14" t="s">
        <v>1336</v>
      </c>
      <c r="AR1620" s="15" t="s">
        <v>1335</v>
      </c>
      <c r="AS1620" s="14" t="s">
        <v>3002</v>
      </c>
    </row>
    <row r="1621" spans="1:45" s="14" customFormat="1" x14ac:dyDescent="0.2">
      <c r="A1621" s="14" t="s">
        <v>1326</v>
      </c>
      <c r="B1621" s="15" t="s">
        <v>1146</v>
      </c>
      <c r="C1621" s="15" t="s">
        <v>1149</v>
      </c>
      <c r="D1621" s="14" t="s">
        <v>1348</v>
      </c>
      <c r="E1621" s="14" t="s">
        <v>1349</v>
      </c>
      <c r="G1621" s="15" t="s">
        <v>1165</v>
      </c>
      <c r="H1621" s="14" t="s">
        <v>1165</v>
      </c>
      <c r="I1621" s="14" t="s">
        <v>1328</v>
      </c>
      <c r="J1621" s="14" t="s">
        <v>1337</v>
      </c>
      <c r="K1621" s="14" t="s">
        <v>1338</v>
      </c>
      <c r="L1621" s="14">
        <v>2000</v>
      </c>
      <c r="M1621" s="14" t="s">
        <v>1327</v>
      </c>
      <c r="O1621" s="14">
        <v>2005</v>
      </c>
      <c r="P1621" s="14">
        <v>2005</v>
      </c>
      <c r="Q1621" s="14" t="s">
        <v>1329</v>
      </c>
      <c r="R1621" s="14">
        <v>10</v>
      </c>
      <c r="T1621" s="14" t="s">
        <v>1330</v>
      </c>
      <c r="U1621" s="14" t="s">
        <v>1341</v>
      </c>
      <c r="V1621" s="12"/>
      <c r="W1621" s="14">
        <v>0</v>
      </c>
      <c r="X1621" s="12" t="s">
        <v>1334</v>
      </c>
      <c r="Y1621" s="14" t="s">
        <v>2994</v>
      </c>
      <c r="Z1621" s="14">
        <v>12</v>
      </c>
      <c r="AD1621" s="14" t="s">
        <v>1165</v>
      </c>
      <c r="AF1621" s="14" t="s">
        <v>1165</v>
      </c>
      <c r="AI1621" s="14" t="s">
        <v>1165</v>
      </c>
      <c r="AJ1621" s="15" t="s">
        <v>1148</v>
      </c>
      <c r="AK1621" s="15">
        <v>100</v>
      </c>
      <c r="AP1621" s="15">
        <v>28</v>
      </c>
      <c r="AQ1621" s="14" t="s">
        <v>1336</v>
      </c>
      <c r="AR1621" s="15" t="s">
        <v>1335</v>
      </c>
      <c r="AS1621" s="14" t="s">
        <v>3002</v>
      </c>
    </row>
    <row r="1622" spans="1:45" s="14" customFormat="1" x14ac:dyDescent="0.2">
      <c r="A1622" s="14" t="s">
        <v>1326</v>
      </c>
      <c r="B1622" s="15" t="s">
        <v>1146</v>
      </c>
      <c r="C1622" s="15" t="s">
        <v>1149</v>
      </c>
      <c r="D1622" s="14" t="s">
        <v>1348</v>
      </c>
      <c r="E1622" s="14" t="s">
        <v>1349</v>
      </c>
      <c r="G1622" s="15" t="s">
        <v>1165</v>
      </c>
      <c r="H1622" s="14" t="s">
        <v>1165</v>
      </c>
      <c r="I1622" s="14" t="s">
        <v>1328</v>
      </c>
      <c r="J1622" s="14" t="s">
        <v>1337</v>
      </c>
      <c r="K1622" s="14" t="s">
        <v>1338</v>
      </c>
      <c r="L1622" s="14">
        <v>2000</v>
      </c>
      <c r="M1622" s="14" t="s">
        <v>1327</v>
      </c>
      <c r="O1622" s="14">
        <v>2005</v>
      </c>
      <c r="P1622" s="14">
        <v>2005</v>
      </c>
      <c r="Q1622" s="14" t="s">
        <v>1329</v>
      </c>
      <c r="R1622" s="14">
        <v>10</v>
      </c>
      <c r="T1622" s="14" t="s">
        <v>1330</v>
      </c>
      <c r="U1622" s="14" t="s">
        <v>1341</v>
      </c>
      <c r="V1622" s="12"/>
      <c r="W1622" s="14">
        <v>0</v>
      </c>
      <c r="X1622" s="12" t="s">
        <v>1333</v>
      </c>
      <c r="Y1622" s="14" t="s">
        <v>2994</v>
      </c>
      <c r="Z1622" s="14">
        <v>0</v>
      </c>
      <c r="AD1622" s="14" t="s">
        <v>1165</v>
      </c>
      <c r="AF1622" s="14" t="s">
        <v>1165</v>
      </c>
      <c r="AI1622" s="14" t="s">
        <v>1165</v>
      </c>
      <c r="AJ1622" s="15" t="s">
        <v>1148</v>
      </c>
      <c r="AK1622" s="15">
        <v>7.9720000000000004</v>
      </c>
      <c r="AP1622" s="15">
        <v>28</v>
      </c>
      <c r="AQ1622" s="14" t="s">
        <v>1336</v>
      </c>
      <c r="AR1622" s="15" t="s">
        <v>1335</v>
      </c>
      <c r="AS1622" s="14" t="s">
        <v>3002</v>
      </c>
    </row>
    <row r="1623" spans="1:45" s="14" customFormat="1" x14ac:dyDescent="0.2">
      <c r="A1623" s="14" t="s">
        <v>1326</v>
      </c>
      <c r="B1623" s="15" t="s">
        <v>1146</v>
      </c>
      <c r="C1623" s="15" t="s">
        <v>1149</v>
      </c>
      <c r="D1623" s="14" t="s">
        <v>1348</v>
      </c>
      <c r="E1623" s="14" t="s">
        <v>1349</v>
      </c>
      <c r="G1623" s="15" t="s">
        <v>1165</v>
      </c>
      <c r="H1623" s="14" t="s">
        <v>1165</v>
      </c>
      <c r="I1623" s="14" t="s">
        <v>1328</v>
      </c>
      <c r="J1623" s="14" t="s">
        <v>1337</v>
      </c>
      <c r="K1623" s="14" t="s">
        <v>1338</v>
      </c>
      <c r="L1623" s="14">
        <v>2000</v>
      </c>
      <c r="M1623" s="14" t="s">
        <v>1327</v>
      </c>
      <c r="O1623" s="14">
        <v>2005</v>
      </c>
      <c r="P1623" s="14">
        <v>2005</v>
      </c>
      <c r="Q1623" s="14" t="s">
        <v>1329</v>
      </c>
      <c r="R1623" s="14">
        <v>10</v>
      </c>
      <c r="T1623" s="14" t="s">
        <v>1330</v>
      </c>
      <c r="U1623" s="14" t="s">
        <v>1341</v>
      </c>
      <c r="V1623" s="12"/>
      <c r="W1623" s="14">
        <v>0</v>
      </c>
      <c r="X1623" s="12" t="s">
        <v>1264</v>
      </c>
      <c r="Y1623" s="14" t="s">
        <v>2994</v>
      </c>
      <c r="Z1623" s="14">
        <v>0</v>
      </c>
      <c r="AD1623" s="14" t="s">
        <v>1165</v>
      </c>
      <c r="AF1623" s="14" t="s">
        <v>1165</v>
      </c>
      <c r="AI1623" s="14" t="s">
        <v>1165</v>
      </c>
      <c r="AJ1623" s="15" t="s">
        <v>1148</v>
      </c>
      <c r="AK1623" s="15">
        <v>6.2009999999999996</v>
      </c>
      <c r="AP1623" s="15">
        <v>28</v>
      </c>
      <c r="AQ1623" s="14" t="s">
        <v>1336</v>
      </c>
      <c r="AR1623" s="15" t="s">
        <v>1335</v>
      </c>
      <c r="AS1623" s="14" t="s">
        <v>3002</v>
      </c>
    </row>
    <row r="1624" spans="1:45" s="14" customFormat="1" x14ac:dyDescent="0.2">
      <c r="A1624" s="14" t="s">
        <v>1326</v>
      </c>
      <c r="B1624" s="15" t="s">
        <v>1146</v>
      </c>
      <c r="C1624" s="15" t="s">
        <v>1149</v>
      </c>
      <c r="D1624" s="14" t="s">
        <v>1348</v>
      </c>
      <c r="E1624" s="14" t="s">
        <v>1349</v>
      </c>
      <c r="G1624" s="15" t="s">
        <v>1165</v>
      </c>
      <c r="H1624" s="14" t="s">
        <v>1165</v>
      </c>
      <c r="I1624" s="14" t="s">
        <v>1328</v>
      </c>
      <c r="J1624" s="14" t="s">
        <v>1337</v>
      </c>
      <c r="K1624" s="14" t="s">
        <v>1338</v>
      </c>
      <c r="L1624" s="14">
        <v>2000</v>
      </c>
      <c r="M1624" s="14" t="s">
        <v>1327</v>
      </c>
      <c r="O1624" s="14">
        <v>2005</v>
      </c>
      <c r="P1624" s="14">
        <v>2005</v>
      </c>
      <c r="Q1624" s="14" t="s">
        <v>1329</v>
      </c>
      <c r="R1624" s="14">
        <v>10</v>
      </c>
      <c r="T1624" s="14" t="s">
        <v>1330</v>
      </c>
      <c r="U1624" s="14" t="s">
        <v>1341</v>
      </c>
      <c r="V1624" s="12"/>
      <c r="W1624" s="14">
        <v>0</v>
      </c>
      <c r="X1624" s="12" t="s">
        <v>1261</v>
      </c>
      <c r="Y1624" s="14" t="s">
        <v>2994</v>
      </c>
      <c r="Z1624" s="14">
        <v>0</v>
      </c>
      <c r="AD1624" s="14" t="s">
        <v>1165</v>
      </c>
      <c r="AF1624" s="14" t="s">
        <v>1165</v>
      </c>
      <c r="AI1624" s="14" t="s">
        <v>1165</v>
      </c>
      <c r="AJ1624" s="15" t="s">
        <v>1148</v>
      </c>
      <c r="AK1624" s="15">
        <v>6.2009999999999996</v>
      </c>
      <c r="AP1624" s="15">
        <v>28</v>
      </c>
      <c r="AQ1624" s="14" t="s">
        <v>1336</v>
      </c>
      <c r="AR1624" s="15" t="s">
        <v>1335</v>
      </c>
      <c r="AS1624" s="14" t="s">
        <v>3002</v>
      </c>
    </row>
    <row r="1625" spans="1:45" s="14" customFormat="1" x14ac:dyDescent="0.2">
      <c r="A1625" s="14" t="s">
        <v>1326</v>
      </c>
      <c r="B1625" s="15" t="s">
        <v>1146</v>
      </c>
      <c r="C1625" s="15" t="s">
        <v>1149</v>
      </c>
      <c r="D1625" s="14" t="s">
        <v>1348</v>
      </c>
      <c r="E1625" s="14" t="s">
        <v>1349</v>
      </c>
      <c r="G1625" s="15" t="s">
        <v>1165</v>
      </c>
      <c r="H1625" s="14" t="s">
        <v>1165</v>
      </c>
      <c r="I1625" s="14" t="s">
        <v>1328</v>
      </c>
      <c r="J1625" s="14" t="s">
        <v>1337</v>
      </c>
      <c r="K1625" s="14" t="s">
        <v>1338</v>
      </c>
      <c r="L1625" s="14">
        <v>2000</v>
      </c>
      <c r="M1625" s="14" t="s">
        <v>1327</v>
      </c>
      <c r="O1625" s="14">
        <v>2005</v>
      </c>
      <c r="P1625" s="14">
        <v>2005</v>
      </c>
      <c r="Q1625" s="14" t="s">
        <v>1329</v>
      </c>
      <c r="R1625" s="14">
        <v>10</v>
      </c>
      <c r="T1625" s="14" t="s">
        <v>1330</v>
      </c>
      <c r="U1625" s="14" t="s">
        <v>1341</v>
      </c>
      <c r="V1625" s="12"/>
      <c r="W1625" s="14">
        <v>0</v>
      </c>
      <c r="X1625" s="12" t="s">
        <v>1334</v>
      </c>
      <c r="Y1625" s="14" t="s">
        <v>2994</v>
      </c>
      <c r="Z1625" s="14">
        <v>0</v>
      </c>
      <c r="AD1625" s="14" t="s">
        <v>1165</v>
      </c>
      <c r="AF1625" s="14" t="s">
        <v>1165</v>
      </c>
      <c r="AI1625" s="14" t="s">
        <v>1165</v>
      </c>
      <c r="AJ1625" s="15" t="s">
        <v>1148</v>
      </c>
      <c r="AK1625" s="15">
        <v>7.9720000000000004</v>
      </c>
      <c r="AP1625" s="15">
        <v>28</v>
      </c>
      <c r="AQ1625" s="14" t="s">
        <v>1336</v>
      </c>
      <c r="AR1625" s="15" t="s">
        <v>1335</v>
      </c>
      <c r="AS1625" s="14" t="s">
        <v>3002</v>
      </c>
    </row>
    <row r="1626" spans="1:45" s="14" customFormat="1" x14ac:dyDescent="0.2">
      <c r="A1626" s="14" t="s">
        <v>1326</v>
      </c>
      <c r="B1626" s="15" t="s">
        <v>1146</v>
      </c>
      <c r="C1626" s="15" t="s">
        <v>1149</v>
      </c>
      <c r="D1626" s="14" t="s">
        <v>1348</v>
      </c>
      <c r="E1626" s="14" t="s">
        <v>1349</v>
      </c>
      <c r="G1626" s="15" t="s">
        <v>1165</v>
      </c>
      <c r="H1626" s="14" t="s">
        <v>1165</v>
      </c>
      <c r="I1626" s="14" t="s">
        <v>1328</v>
      </c>
      <c r="J1626" s="14" t="s">
        <v>1337</v>
      </c>
      <c r="K1626" s="14" t="s">
        <v>1338</v>
      </c>
      <c r="L1626" s="14">
        <v>2000</v>
      </c>
      <c r="M1626" s="14" t="s">
        <v>1327</v>
      </c>
      <c r="O1626" s="14">
        <v>2005</v>
      </c>
      <c r="P1626" s="14">
        <v>2005</v>
      </c>
      <c r="Q1626" s="14" t="s">
        <v>1329</v>
      </c>
      <c r="R1626" s="14">
        <v>10</v>
      </c>
      <c r="T1626" s="14" t="s">
        <v>1330</v>
      </c>
      <c r="U1626" s="14" t="s">
        <v>1341</v>
      </c>
      <c r="V1626" s="12"/>
      <c r="W1626" s="14">
        <v>17.5</v>
      </c>
      <c r="X1626" s="12" t="s">
        <v>1333</v>
      </c>
      <c r="Y1626" s="14" t="s">
        <v>2995</v>
      </c>
      <c r="Z1626" s="14">
        <v>12</v>
      </c>
      <c r="AD1626" s="14" t="s">
        <v>1165</v>
      </c>
      <c r="AF1626" s="14" t="s">
        <v>1165</v>
      </c>
      <c r="AI1626" s="14" t="s">
        <v>1165</v>
      </c>
      <c r="AJ1626" s="15" t="s">
        <v>1148</v>
      </c>
      <c r="AK1626" s="15">
        <v>62.302999999999997</v>
      </c>
      <c r="AP1626" s="15">
        <v>28</v>
      </c>
      <c r="AQ1626" s="14" t="s">
        <v>1336</v>
      </c>
      <c r="AR1626" s="15" t="s">
        <v>1335</v>
      </c>
      <c r="AS1626" s="14" t="s">
        <v>3002</v>
      </c>
    </row>
    <row r="1627" spans="1:45" s="14" customFormat="1" x14ac:dyDescent="0.2">
      <c r="A1627" s="14" t="s">
        <v>1326</v>
      </c>
      <c r="B1627" s="15" t="s">
        <v>1146</v>
      </c>
      <c r="C1627" s="15" t="s">
        <v>1149</v>
      </c>
      <c r="D1627" s="14" t="s">
        <v>1348</v>
      </c>
      <c r="E1627" s="14" t="s">
        <v>1349</v>
      </c>
      <c r="G1627" s="15" t="s">
        <v>1165</v>
      </c>
      <c r="H1627" s="14" t="s">
        <v>1165</v>
      </c>
      <c r="I1627" s="14" t="s">
        <v>1328</v>
      </c>
      <c r="J1627" s="14" t="s">
        <v>1337</v>
      </c>
      <c r="K1627" s="14" t="s">
        <v>1338</v>
      </c>
      <c r="L1627" s="14">
        <v>2000</v>
      </c>
      <c r="M1627" s="14" t="s">
        <v>1327</v>
      </c>
      <c r="O1627" s="14">
        <v>2005</v>
      </c>
      <c r="P1627" s="14">
        <v>2005</v>
      </c>
      <c r="Q1627" s="14" t="s">
        <v>1329</v>
      </c>
      <c r="R1627" s="14">
        <v>10</v>
      </c>
      <c r="T1627" s="14" t="s">
        <v>1330</v>
      </c>
      <c r="U1627" s="14" t="s">
        <v>1341</v>
      </c>
      <c r="V1627" s="12"/>
      <c r="W1627" s="14">
        <v>17.5</v>
      </c>
      <c r="X1627" s="12" t="s">
        <v>1264</v>
      </c>
      <c r="Y1627" s="14" t="s">
        <v>2995</v>
      </c>
      <c r="Z1627" s="14">
        <v>12</v>
      </c>
      <c r="AD1627" s="14" t="s">
        <v>1165</v>
      </c>
      <c r="AF1627" s="14" t="s">
        <v>1165</v>
      </c>
      <c r="AI1627" s="14" t="s">
        <v>1165</v>
      </c>
      <c r="AJ1627" s="15" t="s">
        <v>1148</v>
      </c>
      <c r="AK1627" s="15">
        <v>100</v>
      </c>
      <c r="AP1627" s="15">
        <v>28</v>
      </c>
      <c r="AQ1627" s="14" t="s">
        <v>1336</v>
      </c>
      <c r="AR1627" s="15" t="s">
        <v>1335</v>
      </c>
      <c r="AS1627" s="14" t="s">
        <v>3002</v>
      </c>
    </row>
    <row r="1628" spans="1:45" s="14" customFormat="1" x14ac:dyDescent="0.2">
      <c r="A1628" s="14" t="s">
        <v>1326</v>
      </c>
      <c r="B1628" s="15" t="s">
        <v>1146</v>
      </c>
      <c r="C1628" s="15" t="s">
        <v>1149</v>
      </c>
      <c r="D1628" s="14" t="s">
        <v>1348</v>
      </c>
      <c r="E1628" s="14" t="s">
        <v>1349</v>
      </c>
      <c r="G1628" s="15" t="s">
        <v>1165</v>
      </c>
      <c r="H1628" s="14" t="s">
        <v>1165</v>
      </c>
      <c r="I1628" s="14" t="s">
        <v>1328</v>
      </c>
      <c r="J1628" s="14" t="s">
        <v>1337</v>
      </c>
      <c r="K1628" s="14" t="s">
        <v>1338</v>
      </c>
      <c r="L1628" s="14">
        <v>2000</v>
      </c>
      <c r="M1628" s="14" t="s">
        <v>1327</v>
      </c>
      <c r="O1628" s="14">
        <v>2005</v>
      </c>
      <c r="P1628" s="14">
        <v>2005</v>
      </c>
      <c r="Q1628" s="14" t="s">
        <v>1329</v>
      </c>
      <c r="R1628" s="14">
        <v>10</v>
      </c>
      <c r="T1628" s="14" t="s">
        <v>1330</v>
      </c>
      <c r="U1628" s="14" t="s">
        <v>1341</v>
      </c>
      <c r="V1628" s="12"/>
      <c r="W1628" s="14">
        <v>17.5</v>
      </c>
      <c r="X1628" s="12" t="s">
        <v>1261</v>
      </c>
      <c r="Y1628" s="14" t="s">
        <v>2995</v>
      </c>
      <c r="Z1628" s="14">
        <v>12</v>
      </c>
      <c r="AD1628" s="14" t="s">
        <v>1165</v>
      </c>
      <c r="AF1628" s="14" t="s">
        <v>1165</v>
      </c>
      <c r="AI1628" s="14" t="s">
        <v>1165</v>
      </c>
      <c r="AJ1628" s="15" t="s">
        <v>1148</v>
      </c>
      <c r="AK1628" s="15">
        <v>100</v>
      </c>
      <c r="AP1628" s="15">
        <v>28</v>
      </c>
      <c r="AQ1628" s="14" t="s">
        <v>1336</v>
      </c>
      <c r="AR1628" s="15" t="s">
        <v>1335</v>
      </c>
      <c r="AS1628" s="14" t="s">
        <v>3002</v>
      </c>
    </row>
    <row r="1629" spans="1:45" s="14" customFormat="1" x14ac:dyDescent="0.2">
      <c r="A1629" s="14" t="s">
        <v>1326</v>
      </c>
      <c r="B1629" s="15" t="s">
        <v>1146</v>
      </c>
      <c r="C1629" s="15" t="s">
        <v>1149</v>
      </c>
      <c r="D1629" s="14" t="s">
        <v>1348</v>
      </c>
      <c r="E1629" s="14" t="s">
        <v>1349</v>
      </c>
      <c r="G1629" s="15" t="s">
        <v>1165</v>
      </c>
      <c r="H1629" s="14" t="s">
        <v>1165</v>
      </c>
      <c r="I1629" s="14" t="s">
        <v>1328</v>
      </c>
      <c r="J1629" s="14" t="s">
        <v>1337</v>
      </c>
      <c r="K1629" s="14" t="s">
        <v>1338</v>
      </c>
      <c r="L1629" s="14">
        <v>2000</v>
      </c>
      <c r="M1629" s="14" t="s">
        <v>1327</v>
      </c>
      <c r="O1629" s="14">
        <v>2005</v>
      </c>
      <c r="P1629" s="14">
        <v>2005</v>
      </c>
      <c r="Q1629" s="14" t="s">
        <v>1329</v>
      </c>
      <c r="R1629" s="14">
        <v>10</v>
      </c>
      <c r="T1629" s="14" t="s">
        <v>1330</v>
      </c>
      <c r="U1629" s="14" t="s">
        <v>1341</v>
      </c>
      <c r="V1629" s="12"/>
      <c r="W1629" s="14">
        <v>17.5</v>
      </c>
      <c r="X1629" s="12" t="s">
        <v>1334</v>
      </c>
      <c r="Y1629" s="14" t="s">
        <v>2995</v>
      </c>
      <c r="Z1629" s="14">
        <v>12</v>
      </c>
      <c r="AD1629" s="14" t="s">
        <v>1165</v>
      </c>
      <c r="AF1629" s="14" t="s">
        <v>1165</v>
      </c>
      <c r="AI1629" s="14" t="s">
        <v>1165</v>
      </c>
      <c r="AJ1629" s="15" t="s">
        <v>1148</v>
      </c>
      <c r="AK1629" s="15">
        <v>100</v>
      </c>
      <c r="AP1629" s="15">
        <v>28</v>
      </c>
      <c r="AQ1629" s="14" t="s">
        <v>1336</v>
      </c>
      <c r="AR1629" s="15" t="s">
        <v>1335</v>
      </c>
      <c r="AS1629" s="14" t="s">
        <v>3002</v>
      </c>
    </row>
    <row r="1630" spans="1:45" s="14" customFormat="1" x14ac:dyDescent="0.2">
      <c r="A1630" s="14" t="s">
        <v>1326</v>
      </c>
      <c r="B1630" s="15" t="s">
        <v>1146</v>
      </c>
      <c r="C1630" s="15" t="s">
        <v>1149</v>
      </c>
      <c r="D1630" s="14" t="s">
        <v>1348</v>
      </c>
      <c r="E1630" s="14" t="s">
        <v>1349</v>
      </c>
      <c r="G1630" s="15" t="s">
        <v>1165</v>
      </c>
      <c r="H1630" s="14" t="s">
        <v>1165</v>
      </c>
      <c r="I1630" s="14" t="s">
        <v>1328</v>
      </c>
      <c r="J1630" s="14" t="s">
        <v>1337</v>
      </c>
      <c r="K1630" s="14" t="s">
        <v>1338</v>
      </c>
      <c r="L1630" s="14">
        <v>2000</v>
      </c>
      <c r="M1630" s="14" t="s">
        <v>1327</v>
      </c>
      <c r="O1630" s="14">
        <v>2005</v>
      </c>
      <c r="P1630" s="14">
        <v>2005</v>
      </c>
      <c r="Q1630" s="14" t="s">
        <v>1329</v>
      </c>
      <c r="R1630" s="14">
        <v>10</v>
      </c>
      <c r="T1630" s="14" t="s">
        <v>1330</v>
      </c>
      <c r="U1630" s="14" t="s">
        <v>1341</v>
      </c>
      <c r="V1630" s="12"/>
      <c r="W1630" s="14">
        <v>17.5</v>
      </c>
      <c r="X1630" s="12" t="s">
        <v>1333</v>
      </c>
      <c r="Y1630" s="14" t="s">
        <v>2995</v>
      </c>
      <c r="Z1630" s="14">
        <v>0</v>
      </c>
      <c r="AD1630" s="14" t="s">
        <v>1165</v>
      </c>
      <c r="AF1630" s="14" t="s">
        <v>1165</v>
      </c>
      <c r="AI1630" s="14" t="s">
        <v>1165</v>
      </c>
      <c r="AJ1630" s="15" t="s">
        <v>1148</v>
      </c>
      <c r="AK1630" s="15">
        <v>7.1849999999999996</v>
      </c>
      <c r="AP1630" s="15">
        <v>28</v>
      </c>
      <c r="AQ1630" s="14" t="s">
        <v>1336</v>
      </c>
      <c r="AR1630" s="15" t="s">
        <v>1335</v>
      </c>
      <c r="AS1630" s="14" t="s">
        <v>3002</v>
      </c>
    </row>
    <row r="1631" spans="1:45" s="14" customFormat="1" x14ac:dyDescent="0.2">
      <c r="A1631" s="14" t="s">
        <v>1326</v>
      </c>
      <c r="B1631" s="15" t="s">
        <v>1146</v>
      </c>
      <c r="C1631" s="15" t="s">
        <v>1149</v>
      </c>
      <c r="D1631" s="14" t="s">
        <v>1348</v>
      </c>
      <c r="E1631" s="14" t="s">
        <v>1349</v>
      </c>
      <c r="G1631" s="15" t="s">
        <v>1165</v>
      </c>
      <c r="H1631" s="14" t="s">
        <v>1165</v>
      </c>
      <c r="I1631" s="14" t="s">
        <v>1328</v>
      </c>
      <c r="J1631" s="14" t="s">
        <v>1337</v>
      </c>
      <c r="K1631" s="14" t="s">
        <v>1338</v>
      </c>
      <c r="L1631" s="14">
        <v>2000</v>
      </c>
      <c r="M1631" s="14" t="s">
        <v>1327</v>
      </c>
      <c r="O1631" s="14">
        <v>2005</v>
      </c>
      <c r="P1631" s="14">
        <v>2005</v>
      </c>
      <c r="Q1631" s="14" t="s">
        <v>1329</v>
      </c>
      <c r="R1631" s="14">
        <v>10</v>
      </c>
      <c r="T1631" s="14" t="s">
        <v>1330</v>
      </c>
      <c r="U1631" s="14" t="s">
        <v>1341</v>
      </c>
      <c r="V1631" s="12"/>
      <c r="W1631" s="14">
        <v>17.5</v>
      </c>
      <c r="X1631" s="12" t="s">
        <v>1264</v>
      </c>
      <c r="Y1631" s="14" t="s">
        <v>2995</v>
      </c>
      <c r="Z1631" s="14">
        <v>0</v>
      </c>
      <c r="AD1631" s="14" t="s">
        <v>1165</v>
      </c>
      <c r="AF1631" s="14" t="s">
        <v>1165</v>
      </c>
      <c r="AI1631" s="14" t="s">
        <v>1165</v>
      </c>
      <c r="AJ1631" s="15" t="s">
        <v>1148</v>
      </c>
      <c r="AK1631" s="15">
        <v>3.6419999999999999</v>
      </c>
      <c r="AP1631" s="15">
        <v>28</v>
      </c>
      <c r="AQ1631" s="14" t="s">
        <v>1336</v>
      </c>
      <c r="AR1631" s="15" t="s">
        <v>1335</v>
      </c>
      <c r="AS1631" s="14" t="s">
        <v>3002</v>
      </c>
    </row>
    <row r="1632" spans="1:45" s="14" customFormat="1" x14ac:dyDescent="0.2">
      <c r="A1632" s="14" t="s">
        <v>1326</v>
      </c>
      <c r="B1632" s="15" t="s">
        <v>1146</v>
      </c>
      <c r="C1632" s="15" t="s">
        <v>1149</v>
      </c>
      <c r="D1632" s="14" t="s">
        <v>1348</v>
      </c>
      <c r="E1632" s="14" t="s">
        <v>1349</v>
      </c>
      <c r="G1632" s="15" t="s">
        <v>1165</v>
      </c>
      <c r="H1632" s="14" t="s">
        <v>1165</v>
      </c>
      <c r="I1632" s="14" t="s">
        <v>1328</v>
      </c>
      <c r="J1632" s="14" t="s">
        <v>1337</v>
      </c>
      <c r="K1632" s="14" t="s">
        <v>1338</v>
      </c>
      <c r="L1632" s="14">
        <v>2000</v>
      </c>
      <c r="M1632" s="14" t="s">
        <v>1327</v>
      </c>
      <c r="O1632" s="14">
        <v>2005</v>
      </c>
      <c r="P1632" s="14">
        <v>2005</v>
      </c>
      <c r="Q1632" s="14" t="s">
        <v>1329</v>
      </c>
      <c r="R1632" s="14">
        <v>10</v>
      </c>
      <c r="T1632" s="14" t="s">
        <v>1330</v>
      </c>
      <c r="U1632" s="14" t="s">
        <v>1341</v>
      </c>
      <c r="V1632" s="12"/>
      <c r="W1632" s="14">
        <v>17.5</v>
      </c>
      <c r="X1632" s="12" t="s">
        <v>1261</v>
      </c>
      <c r="Y1632" s="14" t="s">
        <v>2995</v>
      </c>
      <c r="Z1632" s="14">
        <v>0</v>
      </c>
      <c r="AD1632" s="14" t="s">
        <v>1165</v>
      </c>
      <c r="AF1632" s="14" t="s">
        <v>1165</v>
      </c>
      <c r="AI1632" s="14" t="s">
        <v>1165</v>
      </c>
      <c r="AJ1632" s="15" t="s">
        <v>1148</v>
      </c>
      <c r="AK1632" s="15">
        <v>5.61</v>
      </c>
      <c r="AP1632" s="15">
        <v>28</v>
      </c>
      <c r="AQ1632" s="14" t="s">
        <v>1336</v>
      </c>
      <c r="AR1632" s="15" t="s">
        <v>1335</v>
      </c>
      <c r="AS1632" s="14" t="s">
        <v>3002</v>
      </c>
    </row>
    <row r="1633" spans="1:45" s="14" customFormat="1" x14ac:dyDescent="0.2">
      <c r="A1633" s="14" t="s">
        <v>1326</v>
      </c>
      <c r="B1633" s="15" t="s">
        <v>1146</v>
      </c>
      <c r="C1633" s="15" t="s">
        <v>1149</v>
      </c>
      <c r="D1633" s="14" t="s">
        <v>1348</v>
      </c>
      <c r="E1633" s="14" t="s">
        <v>1349</v>
      </c>
      <c r="G1633" s="15" t="s">
        <v>1165</v>
      </c>
      <c r="H1633" s="14" t="s">
        <v>1165</v>
      </c>
      <c r="I1633" s="14" t="s">
        <v>1328</v>
      </c>
      <c r="J1633" s="14" t="s">
        <v>1337</v>
      </c>
      <c r="K1633" s="14" t="s">
        <v>1338</v>
      </c>
      <c r="L1633" s="14">
        <v>2000</v>
      </c>
      <c r="M1633" s="14" t="s">
        <v>1327</v>
      </c>
      <c r="O1633" s="14">
        <v>2005</v>
      </c>
      <c r="P1633" s="14">
        <v>2005</v>
      </c>
      <c r="Q1633" s="14" t="s">
        <v>1329</v>
      </c>
      <c r="R1633" s="14">
        <v>10</v>
      </c>
      <c r="T1633" s="14" t="s">
        <v>1330</v>
      </c>
      <c r="U1633" s="14" t="s">
        <v>1341</v>
      </c>
      <c r="V1633" s="12"/>
      <c r="W1633" s="14">
        <v>17.5</v>
      </c>
      <c r="X1633" s="12" t="s">
        <v>1334</v>
      </c>
      <c r="Y1633" s="14" t="s">
        <v>2995</v>
      </c>
      <c r="Z1633" s="14">
        <v>0</v>
      </c>
      <c r="AD1633" s="14" t="s">
        <v>1165</v>
      </c>
      <c r="AF1633" s="14" t="s">
        <v>1165</v>
      </c>
      <c r="AI1633" s="14" t="s">
        <v>1165</v>
      </c>
      <c r="AJ1633" s="15" t="s">
        <v>1148</v>
      </c>
      <c r="AK1633" s="15">
        <v>5.2169999999999996</v>
      </c>
      <c r="AP1633" s="15">
        <v>28</v>
      </c>
      <c r="AQ1633" s="14" t="s">
        <v>1336</v>
      </c>
      <c r="AR1633" s="15" t="s">
        <v>1335</v>
      </c>
      <c r="AS1633" s="14" t="s">
        <v>3002</v>
      </c>
    </row>
    <row r="1634" spans="1:45" s="14" customFormat="1" x14ac:dyDescent="0.2">
      <c r="A1634" s="14" t="s">
        <v>1326</v>
      </c>
      <c r="B1634" s="15" t="s">
        <v>1146</v>
      </c>
      <c r="C1634" s="15" t="s">
        <v>1149</v>
      </c>
      <c r="D1634" s="14" t="s">
        <v>1348</v>
      </c>
      <c r="E1634" s="14" t="s">
        <v>1349</v>
      </c>
      <c r="G1634" s="15" t="s">
        <v>1165</v>
      </c>
      <c r="H1634" s="14" t="s">
        <v>1165</v>
      </c>
      <c r="I1634" s="14" t="s">
        <v>1328</v>
      </c>
      <c r="J1634" s="14" t="s">
        <v>1337</v>
      </c>
      <c r="K1634" s="14" t="s">
        <v>1338</v>
      </c>
      <c r="L1634" s="14">
        <v>2000</v>
      </c>
      <c r="M1634" s="14" t="s">
        <v>1327</v>
      </c>
      <c r="O1634" s="14">
        <v>2005</v>
      </c>
      <c r="P1634" s="14">
        <v>2005</v>
      </c>
      <c r="Q1634" s="14" t="s">
        <v>1329</v>
      </c>
      <c r="R1634" s="14">
        <v>10</v>
      </c>
      <c r="T1634" s="14" t="s">
        <v>1330</v>
      </c>
      <c r="U1634" s="14" t="s">
        <v>1341</v>
      </c>
      <c r="V1634" s="12"/>
      <c r="W1634" s="14">
        <v>35</v>
      </c>
      <c r="X1634" s="12" t="s">
        <v>1333</v>
      </c>
      <c r="Y1634" s="14" t="s">
        <v>2996</v>
      </c>
      <c r="Z1634" s="14">
        <v>12</v>
      </c>
      <c r="AD1634" s="14" t="s">
        <v>1165</v>
      </c>
      <c r="AF1634" s="14" t="s">
        <v>1165</v>
      </c>
      <c r="AI1634" s="14" t="s">
        <v>1165</v>
      </c>
      <c r="AJ1634" s="15" t="s">
        <v>1148</v>
      </c>
      <c r="AK1634" s="15">
        <v>86.811000000000007</v>
      </c>
      <c r="AP1634" s="15">
        <v>28</v>
      </c>
      <c r="AQ1634" s="14" t="s">
        <v>1336</v>
      </c>
      <c r="AR1634" s="15" t="s">
        <v>1335</v>
      </c>
      <c r="AS1634" s="14" t="s">
        <v>3002</v>
      </c>
    </row>
    <row r="1635" spans="1:45" s="14" customFormat="1" x14ac:dyDescent="0.2">
      <c r="A1635" s="14" t="s">
        <v>1326</v>
      </c>
      <c r="B1635" s="15" t="s">
        <v>1146</v>
      </c>
      <c r="C1635" s="15" t="s">
        <v>1149</v>
      </c>
      <c r="D1635" s="14" t="s">
        <v>1348</v>
      </c>
      <c r="E1635" s="14" t="s">
        <v>1349</v>
      </c>
      <c r="G1635" s="15" t="s">
        <v>1165</v>
      </c>
      <c r="H1635" s="14" t="s">
        <v>1165</v>
      </c>
      <c r="I1635" s="14" t="s">
        <v>1328</v>
      </c>
      <c r="J1635" s="14" t="s">
        <v>1337</v>
      </c>
      <c r="K1635" s="14" t="s">
        <v>1338</v>
      </c>
      <c r="L1635" s="14">
        <v>2000</v>
      </c>
      <c r="M1635" s="14" t="s">
        <v>1327</v>
      </c>
      <c r="O1635" s="14">
        <v>2005</v>
      </c>
      <c r="P1635" s="14">
        <v>2005</v>
      </c>
      <c r="Q1635" s="14" t="s">
        <v>1329</v>
      </c>
      <c r="R1635" s="14">
        <v>10</v>
      </c>
      <c r="T1635" s="14" t="s">
        <v>1330</v>
      </c>
      <c r="U1635" s="14" t="s">
        <v>1341</v>
      </c>
      <c r="V1635" s="12"/>
      <c r="W1635" s="14">
        <v>35</v>
      </c>
      <c r="X1635" s="12" t="s">
        <v>1264</v>
      </c>
      <c r="Y1635" s="14" t="s">
        <v>2996</v>
      </c>
      <c r="Z1635" s="14">
        <v>12</v>
      </c>
      <c r="AD1635" s="14" t="s">
        <v>1165</v>
      </c>
      <c r="AF1635" s="14" t="s">
        <v>1165</v>
      </c>
      <c r="AI1635" s="14" t="s">
        <v>1165</v>
      </c>
      <c r="AJ1635" s="15" t="s">
        <v>1148</v>
      </c>
      <c r="AK1635" s="15">
        <v>100</v>
      </c>
      <c r="AP1635" s="15">
        <v>28</v>
      </c>
      <c r="AQ1635" s="14" t="s">
        <v>1336</v>
      </c>
      <c r="AR1635" s="15" t="s">
        <v>1335</v>
      </c>
      <c r="AS1635" s="14" t="s">
        <v>3002</v>
      </c>
    </row>
    <row r="1636" spans="1:45" s="14" customFormat="1" x14ac:dyDescent="0.2">
      <c r="A1636" s="14" t="s">
        <v>1326</v>
      </c>
      <c r="B1636" s="15" t="s">
        <v>1146</v>
      </c>
      <c r="C1636" s="15" t="s">
        <v>1149</v>
      </c>
      <c r="D1636" s="14" t="s">
        <v>1348</v>
      </c>
      <c r="E1636" s="14" t="s">
        <v>1349</v>
      </c>
      <c r="G1636" s="15" t="s">
        <v>1165</v>
      </c>
      <c r="H1636" s="14" t="s">
        <v>1165</v>
      </c>
      <c r="I1636" s="14" t="s">
        <v>1328</v>
      </c>
      <c r="J1636" s="14" t="s">
        <v>1337</v>
      </c>
      <c r="K1636" s="14" t="s">
        <v>1338</v>
      </c>
      <c r="L1636" s="14">
        <v>2000</v>
      </c>
      <c r="M1636" s="14" t="s">
        <v>1327</v>
      </c>
      <c r="O1636" s="14">
        <v>2005</v>
      </c>
      <c r="P1636" s="14">
        <v>2005</v>
      </c>
      <c r="Q1636" s="14" t="s">
        <v>1329</v>
      </c>
      <c r="R1636" s="14">
        <v>10</v>
      </c>
      <c r="T1636" s="14" t="s">
        <v>1330</v>
      </c>
      <c r="U1636" s="14" t="s">
        <v>1341</v>
      </c>
      <c r="V1636" s="12"/>
      <c r="W1636" s="14">
        <v>35</v>
      </c>
      <c r="X1636" s="12" t="s">
        <v>1261</v>
      </c>
      <c r="Y1636" s="14" t="s">
        <v>2996</v>
      </c>
      <c r="Z1636" s="14">
        <v>12</v>
      </c>
      <c r="AD1636" s="14" t="s">
        <v>1165</v>
      </c>
      <c r="AF1636" s="14" t="s">
        <v>1165</v>
      </c>
      <c r="AI1636" s="14" t="s">
        <v>1165</v>
      </c>
      <c r="AJ1636" s="15" t="s">
        <v>1148</v>
      </c>
      <c r="AK1636" s="15">
        <v>96.948999999999998</v>
      </c>
      <c r="AP1636" s="15">
        <v>28</v>
      </c>
      <c r="AQ1636" s="14" t="s">
        <v>1336</v>
      </c>
      <c r="AR1636" s="15" t="s">
        <v>1335</v>
      </c>
      <c r="AS1636" s="14" t="s">
        <v>3002</v>
      </c>
    </row>
    <row r="1637" spans="1:45" s="14" customFormat="1" x14ac:dyDescent="0.2">
      <c r="A1637" s="14" t="s">
        <v>1326</v>
      </c>
      <c r="B1637" s="15" t="s">
        <v>1146</v>
      </c>
      <c r="C1637" s="15" t="s">
        <v>1149</v>
      </c>
      <c r="D1637" s="14" t="s">
        <v>1348</v>
      </c>
      <c r="E1637" s="14" t="s">
        <v>1349</v>
      </c>
      <c r="G1637" s="15" t="s">
        <v>1165</v>
      </c>
      <c r="H1637" s="14" t="s">
        <v>1165</v>
      </c>
      <c r="I1637" s="14" t="s">
        <v>1328</v>
      </c>
      <c r="J1637" s="14" t="s">
        <v>1337</v>
      </c>
      <c r="K1637" s="14" t="s">
        <v>1338</v>
      </c>
      <c r="L1637" s="14">
        <v>2000</v>
      </c>
      <c r="M1637" s="14" t="s">
        <v>1327</v>
      </c>
      <c r="O1637" s="14">
        <v>2005</v>
      </c>
      <c r="P1637" s="14">
        <v>2005</v>
      </c>
      <c r="Q1637" s="14" t="s">
        <v>1329</v>
      </c>
      <c r="R1637" s="14">
        <v>10</v>
      </c>
      <c r="T1637" s="14" t="s">
        <v>1330</v>
      </c>
      <c r="U1637" s="14" t="s">
        <v>1341</v>
      </c>
      <c r="V1637" s="12"/>
      <c r="W1637" s="14">
        <v>35</v>
      </c>
      <c r="X1637" s="12" t="s">
        <v>1334</v>
      </c>
      <c r="Y1637" s="14" t="s">
        <v>2996</v>
      </c>
      <c r="Z1637" s="14">
        <v>12</v>
      </c>
      <c r="AD1637" s="14" t="s">
        <v>1165</v>
      </c>
      <c r="AF1637" s="14" t="s">
        <v>1165</v>
      </c>
      <c r="AI1637" s="14" t="s">
        <v>1165</v>
      </c>
      <c r="AJ1637" s="15" t="s">
        <v>1148</v>
      </c>
      <c r="AK1637" s="15">
        <v>100</v>
      </c>
      <c r="AP1637" s="15">
        <v>28</v>
      </c>
      <c r="AQ1637" s="14" t="s">
        <v>1336</v>
      </c>
      <c r="AR1637" s="15" t="s">
        <v>1335</v>
      </c>
      <c r="AS1637" s="14" t="s">
        <v>3002</v>
      </c>
    </row>
    <row r="1638" spans="1:45" s="14" customFormat="1" x14ac:dyDescent="0.2">
      <c r="A1638" s="14" t="s">
        <v>1326</v>
      </c>
      <c r="B1638" s="15" t="s">
        <v>1146</v>
      </c>
      <c r="C1638" s="15" t="s">
        <v>1149</v>
      </c>
      <c r="D1638" s="14" t="s">
        <v>1348</v>
      </c>
      <c r="E1638" s="14" t="s">
        <v>1349</v>
      </c>
      <c r="G1638" s="15" t="s">
        <v>1165</v>
      </c>
      <c r="H1638" s="14" t="s">
        <v>1165</v>
      </c>
      <c r="I1638" s="14" t="s">
        <v>1328</v>
      </c>
      <c r="J1638" s="14" t="s">
        <v>1337</v>
      </c>
      <c r="K1638" s="14" t="s">
        <v>1338</v>
      </c>
      <c r="L1638" s="14">
        <v>2000</v>
      </c>
      <c r="M1638" s="14" t="s">
        <v>1327</v>
      </c>
      <c r="O1638" s="14">
        <v>2005</v>
      </c>
      <c r="P1638" s="14">
        <v>2005</v>
      </c>
      <c r="Q1638" s="14" t="s">
        <v>1329</v>
      </c>
      <c r="R1638" s="14">
        <v>10</v>
      </c>
      <c r="T1638" s="14" t="s">
        <v>1330</v>
      </c>
      <c r="U1638" s="14" t="s">
        <v>1341</v>
      </c>
      <c r="V1638" s="12"/>
      <c r="W1638" s="14">
        <v>35</v>
      </c>
      <c r="X1638" s="12" t="s">
        <v>1333</v>
      </c>
      <c r="Y1638" s="14" t="s">
        <v>2996</v>
      </c>
      <c r="Z1638" s="14">
        <v>0</v>
      </c>
      <c r="AD1638" s="14" t="s">
        <v>1165</v>
      </c>
      <c r="AF1638" s="14" t="s">
        <v>1165</v>
      </c>
      <c r="AI1638" s="14" t="s">
        <v>1165</v>
      </c>
      <c r="AJ1638" s="15" t="s">
        <v>1148</v>
      </c>
      <c r="AK1638" s="15">
        <v>5.9059999999999997</v>
      </c>
      <c r="AP1638" s="15">
        <v>28</v>
      </c>
      <c r="AQ1638" s="14" t="s">
        <v>1336</v>
      </c>
      <c r="AR1638" s="15" t="s">
        <v>1335</v>
      </c>
      <c r="AS1638" s="14" t="s">
        <v>3002</v>
      </c>
    </row>
    <row r="1639" spans="1:45" s="14" customFormat="1" x14ac:dyDescent="0.2">
      <c r="A1639" s="14" t="s">
        <v>1326</v>
      </c>
      <c r="B1639" s="15" t="s">
        <v>1146</v>
      </c>
      <c r="C1639" s="15" t="s">
        <v>1149</v>
      </c>
      <c r="D1639" s="14" t="s">
        <v>1348</v>
      </c>
      <c r="E1639" s="14" t="s">
        <v>1349</v>
      </c>
      <c r="G1639" s="15" t="s">
        <v>1165</v>
      </c>
      <c r="H1639" s="14" t="s">
        <v>1165</v>
      </c>
      <c r="I1639" s="14" t="s">
        <v>1328</v>
      </c>
      <c r="J1639" s="14" t="s">
        <v>1337</v>
      </c>
      <c r="K1639" s="14" t="s">
        <v>1338</v>
      </c>
      <c r="L1639" s="14">
        <v>2000</v>
      </c>
      <c r="M1639" s="14" t="s">
        <v>1327</v>
      </c>
      <c r="O1639" s="14">
        <v>2005</v>
      </c>
      <c r="P1639" s="14">
        <v>2005</v>
      </c>
      <c r="Q1639" s="14" t="s">
        <v>1329</v>
      </c>
      <c r="R1639" s="14">
        <v>10</v>
      </c>
      <c r="T1639" s="14" t="s">
        <v>1330</v>
      </c>
      <c r="U1639" s="14" t="s">
        <v>1341</v>
      </c>
      <c r="V1639" s="12"/>
      <c r="W1639" s="14">
        <v>35</v>
      </c>
      <c r="X1639" s="12" t="s">
        <v>1264</v>
      </c>
      <c r="Y1639" s="14" t="s">
        <v>2996</v>
      </c>
      <c r="Z1639" s="14">
        <v>0</v>
      </c>
      <c r="AD1639" s="14" t="s">
        <v>1165</v>
      </c>
      <c r="AF1639" s="14" t="s">
        <v>1165</v>
      </c>
      <c r="AI1639" s="14" t="s">
        <v>1165</v>
      </c>
      <c r="AJ1639" s="15" t="s">
        <v>1148</v>
      </c>
      <c r="AK1639" s="15">
        <v>12.303000000000001</v>
      </c>
      <c r="AP1639" s="15">
        <v>28</v>
      </c>
      <c r="AQ1639" s="14" t="s">
        <v>1336</v>
      </c>
      <c r="AR1639" s="15" t="s">
        <v>1335</v>
      </c>
      <c r="AS1639" s="14" t="s">
        <v>3002</v>
      </c>
    </row>
    <row r="1640" spans="1:45" s="14" customFormat="1" x14ac:dyDescent="0.2">
      <c r="A1640" s="14" t="s">
        <v>1326</v>
      </c>
      <c r="B1640" s="15" t="s">
        <v>1146</v>
      </c>
      <c r="C1640" s="15" t="s">
        <v>1149</v>
      </c>
      <c r="D1640" s="14" t="s">
        <v>1348</v>
      </c>
      <c r="E1640" s="14" t="s">
        <v>1349</v>
      </c>
      <c r="G1640" s="15" t="s">
        <v>1165</v>
      </c>
      <c r="H1640" s="14" t="s">
        <v>1165</v>
      </c>
      <c r="I1640" s="14" t="s">
        <v>1328</v>
      </c>
      <c r="J1640" s="14" t="s">
        <v>1337</v>
      </c>
      <c r="K1640" s="14" t="s">
        <v>1338</v>
      </c>
      <c r="L1640" s="14">
        <v>2000</v>
      </c>
      <c r="M1640" s="14" t="s">
        <v>1327</v>
      </c>
      <c r="O1640" s="14">
        <v>2005</v>
      </c>
      <c r="P1640" s="14">
        <v>2005</v>
      </c>
      <c r="Q1640" s="14" t="s">
        <v>1329</v>
      </c>
      <c r="R1640" s="14">
        <v>10</v>
      </c>
      <c r="T1640" s="14" t="s">
        <v>1330</v>
      </c>
      <c r="U1640" s="14" t="s">
        <v>1341</v>
      </c>
      <c r="V1640" s="12"/>
      <c r="W1640" s="14">
        <v>35</v>
      </c>
      <c r="X1640" s="12" t="s">
        <v>1261</v>
      </c>
      <c r="Y1640" s="14" t="s">
        <v>2996</v>
      </c>
      <c r="Z1640" s="14">
        <v>0</v>
      </c>
      <c r="AD1640" s="14" t="s">
        <v>1165</v>
      </c>
      <c r="AF1640" s="14" t="s">
        <v>1165</v>
      </c>
      <c r="AI1640" s="14" t="s">
        <v>1165</v>
      </c>
      <c r="AJ1640" s="15" t="s">
        <v>1148</v>
      </c>
      <c r="AK1640" s="15">
        <v>4.1340000000000003</v>
      </c>
      <c r="AP1640" s="15">
        <v>28</v>
      </c>
      <c r="AQ1640" s="14" t="s">
        <v>1336</v>
      </c>
      <c r="AR1640" s="15" t="s">
        <v>1335</v>
      </c>
      <c r="AS1640" s="14" t="s">
        <v>3002</v>
      </c>
    </row>
    <row r="1641" spans="1:45" s="14" customFormat="1" x14ac:dyDescent="0.2">
      <c r="A1641" s="14" t="s">
        <v>1326</v>
      </c>
      <c r="B1641" s="15" t="s">
        <v>1146</v>
      </c>
      <c r="C1641" s="15" t="s">
        <v>1149</v>
      </c>
      <c r="D1641" s="14" t="s">
        <v>1348</v>
      </c>
      <c r="E1641" s="14" t="s">
        <v>1349</v>
      </c>
      <c r="G1641" s="15" t="s">
        <v>1165</v>
      </c>
      <c r="H1641" s="14" t="s">
        <v>1165</v>
      </c>
      <c r="I1641" s="14" t="s">
        <v>1328</v>
      </c>
      <c r="J1641" s="14" t="s">
        <v>1337</v>
      </c>
      <c r="K1641" s="14" t="s">
        <v>1338</v>
      </c>
      <c r="L1641" s="14">
        <v>2000</v>
      </c>
      <c r="M1641" s="14" t="s">
        <v>1327</v>
      </c>
      <c r="O1641" s="14">
        <v>2005</v>
      </c>
      <c r="P1641" s="14">
        <v>2005</v>
      </c>
      <c r="Q1641" s="14" t="s">
        <v>1329</v>
      </c>
      <c r="R1641" s="14">
        <v>10</v>
      </c>
      <c r="T1641" s="14" t="s">
        <v>1330</v>
      </c>
      <c r="U1641" s="14" t="s">
        <v>1341</v>
      </c>
      <c r="V1641" s="12"/>
      <c r="W1641" s="14">
        <v>35</v>
      </c>
      <c r="X1641" s="12" t="s">
        <v>1334</v>
      </c>
      <c r="Y1641" s="14" t="s">
        <v>2996</v>
      </c>
      <c r="Z1641" s="14">
        <v>0</v>
      </c>
      <c r="AD1641" s="14" t="s">
        <v>1165</v>
      </c>
      <c r="AF1641" s="14" t="s">
        <v>1165</v>
      </c>
      <c r="AI1641" s="14" t="s">
        <v>1165</v>
      </c>
      <c r="AJ1641" s="15" t="s">
        <v>1148</v>
      </c>
      <c r="AK1641" s="15">
        <v>7.1849999999999996</v>
      </c>
      <c r="AP1641" s="15">
        <v>28</v>
      </c>
      <c r="AQ1641" s="14" t="s">
        <v>1336</v>
      </c>
      <c r="AR1641" s="15" t="s">
        <v>1335</v>
      </c>
      <c r="AS1641" s="14" t="s">
        <v>3002</v>
      </c>
    </row>
    <row r="1642" spans="1:45" s="14" customFormat="1" x14ac:dyDescent="0.2">
      <c r="A1642" s="14" t="s">
        <v>1326</v>
      </c>
      <c r="B1642" s="15" t="s">
        <v>1146</v>
      </c>
      <c r="C1642" s="15" t="s">
        <v>1149</v>
      </c>
      <c r="D1642" s="14" t="s">
        <v>1348</v>
      </c>
      <c r="E1642" s="14" t="s">
        <v>1349</v>
      </c>
      <c r="G1642" s="15" t="s">
        <v>1165</v>
      </c>
      <c r="H1642" s="14" t="s">
        <v>1165</v>
      </c>
      <c r="I1642" s="14" t="s">
        <v>1328</v>
      </c>
      <c r="J1642" s="14" t="s">
        <v>1337</v>
      </c>
      <c r="K1642" s="14" t="s">
        <v>1338</v>
      </c>
      <c r="L1642" s="14">
        <v>2000</v>
      </c>
      <c r="M1642" s="14" t="s">
        <v>1327</v>
      </c>
      <c r="O1642" s="14">
        <v>2005</v>
      </c>
      <c r="P1642" s="14">
        <v>2005</v>
      </c>
      <c r="Q1642" s="14" t="s">
        <v>1329</v>
      </c>
      <c r="R1642" s="14">
        <v>10</v>
      </c>
      <c r="T1642" s="14" t="s">
        <v>1330</v>
      </c>
      <c r="U1642" s="14" t="s">
        <v>1341</v>
      </c>
      <c r="V1642" s="12"/>
      <c r="W1642" s="14">
        <v>70</v>
      </c>
      <c r="X1642" s="12" t="s">
        <v>1333</v>
      </c>
      <c r="Y1642" s="14" t="s">
        <v>2997</v>
      </c>
      <c r="Z1642" s="14">
        <v>12</v>
      </c>
      <c r="AD1642" s="14" t="s">
        <v>1165</v>
      </c>
      <c r="AF1642" s="14" t="s">
        <v>1165</v>
      </c>
      <c r="AI1642" s="14" t="s">
        <v>1165</v>
      </c>
      <c r="AJ1642" s="15" t="s">
        <v>1148</v>
      </c>
      <c r="AK1642" s="15">
        <v>100</v>
      </c>
      <c r="AP1642" s="15">
        <v>28</v>
      </c>
      <c r="AQ1642" s="14" t="s">
        <v>1336</v>
      </c>
      <c r="AR1642" s="15" t="s">
        <v>1335</v>
      </c>
      <c r="AS1642" s="14" t="s">
        <v>3002</v>
      </c>
    </row>
    <row r="1643" spans="1:45" s="14" customFormat="1" x14ac:dyDescent="0.2">
      <c r="A1643" s="14" t="s">
        <v>1326</v>
      </c>
      <c r="B1643" s="15" t="s">
        <v>1146</v>
      </c>
      <c r="C1643" s="15" t="s">
        <v>1149</v>
      </c>
      <c r="D1643" s="14" t="s">
        <v>1348</v>
      </c>
      <c r="E1643" s="14" t="s">
        <v>1349</v>
      </c>
      <c r="G1643" s="15" t="s">
        <v>1165</v>
      </c>
      <c r="H1643" s="14" t="s">
        <v>1165</v>
      </c>
      <c r="I1643" s="14" t="s">
        <v>1328</v>
      </c>
      <c r="J1643" s="14" t="s">
        <v>1337</v>
      </c>
      <c r="K1643" s="14" t="s">
        <v>1338</v>
      </c>
      <c r="L1643" s="14">
        <v>2000</v>
      </c>
      <c r="M1643" s="14" t="s">
        <v>1327</v>
      </c>
      <c r="O1643" s="14">
        <v>2005</v>
      </c>
      <c r="P1643" s="14">
        <v>2005</v>
      </c>
      <c r="Q1643" s="14" t="s">
        <v>1329</v>
      </c>
      <c r="R1643" s="14">
        <v>10</v>
      </c>
      <c r="T1643" s="14" t="s">
        <v>1330</v>
      </c>
      <c r="U1643" s="14" t="s">
        <v>1341</v>
      </c>
      <c r="V1643" s="12"/>
      <c r="W1643" s="14">
        <v>70</v>
      </c>
      <c r="X1643" s="12" t="s">
        <v>1264</v>
      </c>
      <c r="Y1643" s="14" t="s">
        <v>2997</v>
      </c>
      <c r="Z1643" s="14">
        <v>12</v>
      </c>
      <c r="AD1643" s="14" t="s">
        <v>1165</v>
      </c>
      <c r="AF1643" s="14" t="s">
        <v>1165</v>
      </c>
      <c r="AI1643" s="14" t="s">
        <v>1165</v>
      </c>
      <c r="AJ1643" s="15" t="s">
        <v>1148</v>
      </c>
      <c r="AK1643" s="15">
        <v>100</v>
      </c>
      <c r="AP1643" s="15">
        <v>28</v>
      </c>
      <c r="AQ1643" s="14" t="s">
        <v>1336</v>
      </c>
      <c r="AR1643" s="15" t="s">
        <v>1335</v>
      </c>
      <c r="AS1643" s="14" t="s">
        <v>3002</v>
      </c>
    </row>
    <row r="1644" spans="1:45" s="14" customFormat="1" x14ac:dyDescent="0.2">
      <c r="A1644" s="14" t="s">
        <v>1326</v>
      </c>
      <c r="B1644" s="15" t="s">
        <v>1146</v>
      </c>
      <c r="C1644" s="15" t="s">
        <v>1149</v>
      </c>
      <c r="D1644" s="14" t="s">
        <v>1348</v>
      </c>
      <c r="E1644" s="14" t="s">
        <v>1349</v>
      </c>
      <c r="G1644" s="15" t="s">
        <v>1165</v>
      </c>
      <c r="H1644" s="14" t="s">
        <v>1165</v>
      </c>
      <c r="I1644" s="14" t="s">
        <v>1328</v>
      </c>
      <c r="J1644" s="14" t="s">
        <v>1337</v>
      </c>
      <c r="K1644" s="14" t="s">
        <v>1338</v>
      </c>
      <c r="L1644" s="14">
        <v>2000</v>
      </c>
      <c r="M1644" s="14" t="s">
        <v>1327</v>
      </c>
      <c r="O1644" s="14">
        <v>2005</v>
      </c>
      <c r="P1644" s="14">
        <v>2005</v>
      </c>
      <c r="Q1644" s="14" t="s">
        <v>1329</v>
      </c>
      <c r="R1644" s="14">
        <v>10</v>
      </c>
      <c r="T1644" s="14" t="s">
        <v>1330</v>
      </c>
      <c r="U1644" s="14" t="s">
        <v>1341</v>
      </c>
      <c r="V1644" s="12"/>
      <c r="W1644" s="14">
        <v>70</v>
      </c>
      <c r="X1644" s="12" t="s">
        <v>1261</v>
      </c>
      <c r="Y1644" s="14" t="s">
        <v>2997</v>
      </c>
      <c r="Z1644" s="14">
        <v>12</v>
      </c>
      <c r="AD1644" s="14" t="s">
        <v>1165</v>
      </c>
      <c r="AF1644" s="14" t="s">
        <v>1165</v>
      </c>
      <c r="AI1644" s="14" t="s">
        <v>1165</v>
      </c>
      <c r="AJ1644" s="15" t="s">
        <v>1148</v>
      </c>
      <c r="AK1644" s="15">
        <v>100</v>
      </c>
      <c r="AP1644" s="15">
        <v>28</v>
      </c>
      <c r="AQ1644" s="14" t="s">
        <v>1336</v>
      </c>
      <c r="AR1644" s="15" t="s">
        <v>1335</v>
      </c>
      <c r="AS1644" s="14" t="s">
        <v>3002</v>
      </c>
    </row>
    <row r="1645" spans="1:45" s="14" customFormat="1" x14ac:dyDescent="0.2">
      <c r="A1645" s="14" t="s">
        <v>1326</v>
      </c>
      <c r="B1645" s="15" t="s">
        <v>1146</v>
      </c>
      <c r="C1645" s="15" t="s">
        <v>1149</v>
      </c>
      <c r="D1645" s="14" t="s">
        <v>1348</v>
      </c>
      <c r="E1645" s="14" t="s">
        <v>1349</v>
      </c>
      <c r="G1645" s="15" t="s">
        <v>1165</v>
      </c>
      <c r="H1645" s="14" t="s">
        <v>1165</v>
      </c>
      <c r="I1645" s="14" t="s">
        <v>1328</v>
      </c>
      <c r="J1645" s="14" t="s">
        <v>1337</v>
      </c>
      <c r="K1645" s="14" t="s">
        <v>1338</v>
      </c>
      <c r="L1645" s="14">
        <v>2000</v>
      </c>
      <c r="M1645" s="14" t="s">
        <v>1327</v>
      </c>
      <c r="O1645" s="14">
        <v>2005</v>
      </c>
      <c r="P1645" s="14">
        <v>2005</v>
      </c>
      <c r="Q1645" s="14" t="s">
        <v>1329</v>
      </c>
      <c r="R1645" s="14">
        <v>10</v>
      </c>
      <c r="T1645" s="14" t="s">
        <v>1330</v>
      </c>
      <c r="U1645" s="14" t="s">
        <v>1341</v>
      </c>
      <c r="V1645" s="12"/>
      <c r="W1645" s="14">
        <v>70</v>
      </c>
      <c r="X1645" s="12" t="s">
        <v>1334</v>
      </c>
      <c r="Y1645" s="14" t="s">
        <v>2997</v>
      </c>
      <c r="Z1645" s="14">
        <v>12</v>
      </c>
      <c r="AD1645" s="14" t="s">
        <v>1165</v>
      </c>
      <c r="AF1645" s="14" t="s">
        <v>1165</v>
      </c>
      <c r="AI1645" s="14" t="s">
        <v>1165</v>
      </c>
      <c r="AJ1645" s="15" t="s">
        <v>1148</v>
      </c>
      <c r="AK1645" s="15">
        <v>100</v>
      </c>
      <c r="AP1645" s="15">
        <v>28</v>
      </c>
      <c r="AQ1645" s="14" t="s">
        <v>1336</v>
      </c>
      <c r="AR1645" s="15" t="s">
        <v>1335</v>
      </c>
      <c r="AS1645" s="14" t="s">
        <v>3002</v>
      </c>
    </row>
    <row r="1646" spans="1:45" s="14" customFormat="1" x14ac:dyDescent="0.2">
      <c r="A1646" s="14" t="s">
        <v>1326</v>
      </c>
      <c r="B1646" s="15" t="s">
        <v>1146</v>
      </c>
      <c r="C1646" s="15" t="s">
        <v>1149</v>
      </c>
      <c r="D1646" s="14" t="s">
        <v>1348</v>
      </c>
      <c r="E1646" s="14" t="s">
        <v>1349</v>
      </c>
      <c r="G1646" s="15" t="s">
        <v>1165</v>
      </c>
      <c r="H1646" s="14" t="s">
        <v>1165</v>
      </c>
      <c r="I1646" s="14" t="s">
        <v>1328</v>
      </c>
      <c r="J1646" s="14" t="s">
        <v>1337</v>
      </c>
      <c r="K1646" s="14" t="s">
        <v>1338</v>
      </c>
      <c r="L1646" s="14">
        <v>2000</v>
      </c>
      <c r="M1646" s="14" t="s">
        <v>1327</v>
      </c>
      <c r="O1646" s="14">
        <v>2005</v>
      </c>
      <c r="P1646" s="14">
        <v>2005</v>
      </c>
      <c r="Q1646" s="14" t="s">
        <v>1329</v>
      </c>
      <c r="R1646" s="14">
        <v>10</v>
      </c>
      <c r="T1646" s="14" t="s">
        <v>1330</v>
      </c>
      <c r="U1646" s="14" t="s">
        <v>1341</v>
      </c>
      <c r="V1646" s="12"/>
      <c r="W1646" s="14">
        <v>70</v>
      </c>
      <c r="X1646" s="12" t="s">
        <v>1333</v>
      </c>
      <c r="Y1646" s="14" t="s">
        <v>2997</v>
      </c>
      <c r="Z1646" s="14">
        <v>0</v>
      </c>
      <c r="AD1646" s="14" t="s">
        <v>1165</v>
      </c>
      <c r="AF1646" s="14" t="s">
        <v>1165</v>
      </c>
      <c r="AI1646" s="14" t="s">
        <v>1165</v>
      </c>
      <c r="AJ1646" s="15" t="s">
        <v>1148</v>
      </c>
      <c r="AK1646" s="15">
        <v>17.420999999999999</v>
      </c>
      <c r="AP1646" s="15">
        <v>28</v>
      </c>
      <c r="AQ1646" s="14" t="s">
        <v>1336</v>
      </c>
      <c r="AR1646" s="15" t="s">
        <v>1335</v>
      </c>
      <c r="AS1646" s="14" t="s">
        <v>3002</v>
      </c>
    </row>
    <row r="1647" spans="1:45" s="14" customFormat="1" x14ac:dyDescent="0.2">
      <c r="A1647" s="14" t="s">
        <v>1326</v>
      </c>
      <c r="B1647" s="15" t="s">
        <v>1146</v>
      </c>
      <c r="C1647" s="15" t="s">
        <v>1149</v>
      </c>
      <c r="D1647" s="14" t="s">
        <v>1348</v>
      </c>
      <c r="E1647" s="14" t="s">
        <v>1349</v>
      </c>
      <c r="G1647" s="15" t="s">
        <v>1165</v>
      </c>
      <c r="H1647" s="14" t="s">
        <v>1165</v>
      </c>
      <c r="I1647" s="14" t="s">
        <v>1328</v>
      </c>
      <c r="J1647" s="14" t="s">
        <v>1337</v>
      </c>
      <c r="K1647" s="14" t="s">
        <v>1338</v>
      </c>
      <c r="L1647" s="14">
        <v>2000</v>
      </c>
      <c r="M1647" s="14" t="s">
        <v>1327</v>
      </c>
      <c r="O1647" s="14">
        <v>2005</v>
      </c>
      <c r="P1647" s="14">
        <v>2005</v>
      </c>
      <c r="Q1647" s="14" t="s">
        <v>1329</v>
      </c>
      <c r="R1647" s="14">
        <v>10</v>
      </c>
      <c r="T1647" s="14" t="s">
        <v>1330</v>
      </c>
      <c r="U1647" s="14" t="s">
        <v>1341</v>
      </c>
      <c r="V1647" s="12"/>
      <c r="W1647" s="14">
        <v>70</v>
      </c>
      <c r="X1647" s="12" t="s">
        <v>1264</v>
      </c>
      <c r="Y1647" s="14" t="s">
        <v>2997</v>
      </c>
      <c r="Z1647" s="14">
        <v>0</v>
      </c>
      <c r="AD1647" s="14" t="s">
        <v>1165</v>
      </c>
      <c r="AF1647" s="14" t="s">
        <v>1165</v>
      </c>
      <c r="AI1647" s="14" t="s">
        <v>1165</v>
      </c>
      <c r="AJ1647" s="15" t="s">
        <v>1148</v>
      </c>
      <c r="AK1647" s="15">
        <v>37.5</v>
      </c>
      <c r="AP1647" s="15">
        <v>28</v>
      </c>
      <c r="AQ1647" s="14" t="s">
        <v>1336</v>
      </c>
      <c r="AR1647" s="15" t="s">
        <v>1335</v>
      </c>
      <c r="AS1647" s="14" t="s">
        <v>3002</v>
      </c>
    </row>
    <row r="1648" spans="1:45" s="14" customFormat="1" x14ac:dyDescent="0.2">
      <c r="A1648" s="14" t="s">
        <v>1326</v>
      </c>
      <c r="B1648" s="15" t="s">
        <v>1146</v>
      </c>
      <c r="C1648" s="15" t="s">
        <v>1149</v>
      </c>
      <c r="D1648" s="14" t="s">
        <v>1348</v>
      </c>
      <c r="E1648" s="14" t="s">
        <v>1349</v>
      </c>
      <c r="G1648" s="15" t="s">
        <v>1165</v>
      </c>
      <c r="H1648" s="14" t="s">
        <v>1165</v>
      </c>
      <c r="I1648" s="14" t="s">
        <v>1328</v>
      </c>
      <c r="J1648" s="14" t="s">
        <v>1337</v>
      </c>
      <c r="K1648" s="14" t="s">
        <v>1338</v>
      </c>
      <c r="L1648" s="14">
        <v>2000</v>
      </c>
      <c r="M1648" s="14" t="s">
        <v>1327</v>
      </c>
      <c r="O1648" s="14">
        <v>2005</v>
      </c>
      <c r="P1648" s="14">
        <v>2005</v>
      </c>
      <c r="Q1648" s="14" t="s">
        <v>1329</v>
      </c>
      <c r="R1648" s="14">
        <v>10</v>
      </c>
      <c r="T1648" s="14" t="s">
        <v>1330</v>
      </c>
      <c r="U1648" s="14" t="s">
        <v>1341</v>
      </c>
      <c r="V1648" s="12"/>
      <c r="W1648" s="14">
        <v>70</v>
      </c>
      <c r="X1648" s="12" t="s">
        <v>1261</v>
      </c>
      <c r="Y1648" s="14" t="s">
        <v>2997</v>
      </c>
      <c r="Z1648" s="14">
        <v>0</v>
      </c>
      <c r="AD1648" s="14" t="s">
        <v>1165</v>
      </c>
      <c r="AF1648" s="14" t="s">
        <v>1165</v>
      </c>
      <c r="AI1648" s="14" t="s">
        <v>1165</v>
      </c>
      <c r="AJ1648" s="15" t="s">
        <v>1148</v>
      </c>
      <c r="AK1648" s="15">
        <v>23.327000000000002</v>
      </c>
      <c r="AP1648" s="15">
        <v>28</v>
      </c>
      <c r="AQ1648" s="14" t="s">
        <v>1336</v>
      </c>
      <c r="AR1648" s="15" t="s">
        <v>1335</v>
      </c>
      <c r="AS1648" s="14" t="s">
        <v>3002</v>
      </c>
    </row>
    <row r="1649" spans="1:45" s="14" customFormat="1" x14ac:dyDescent="0.2">
      <c r="A1649" s="14" t="s">
        <v>1326</v>
      </c>
      <c r="B1649" s="15" t="s">
        <v>1146</v>
      </c>
      <c r="C1649" s="15" t="s">
        <v>1149</v>
      </c>
      <c r="D1649" s="14" t="s">
        <v>1348</v>
      </c>
      <c r="E1649" s="14" t="s">
        <v>1349</v>
      </c>
      <c r="G1649" s="15" t="s">
        <v>1165</v>
      </c>
      <c r="H1649" s="14" t="s">
        <v>1165</v>
      </c>
      <c r="I1649" s="14" t="s">
        <v>1328</v>
      </c>
      <c r="J1649" s="14" t="s">
        <v>1337</v>
      </c>
      <c r="K1649" s="14" t="s">
        <v>1338</v>
      </c>
      <c r="L1649" s="14">
        <v>2000</v>
      </c>
      <c r="M1649" s="14" t="s">
        <v>1327</v>
      </c>
      <c r="O1649" s="14">
        <v>2005</v>
      </c>
      <c r="P1649" s="14">
        <v>2005</v>
      </c>
      <c r="Q1649" s="14" t="s">
        <v>1329</v>
      </c>
      <c r="R1649" s="14">
        <v>10</v>
      </c>
      <c r="T1649" s="14" t="s">
        <v>1330</v>
      </c>
      <c r="U1649" s="14" t="s">
        <v>1341</v>
      </c>
      <c r="V1649" s="12"/>
      <c r="W1649" s="14">
        <v>70</v>
      </c>
      <c r="X1649" s="12" t="s">
        <v>1334</v>
      </c>
      <c r="Y1649" s="14" t="s">
        <v>2997</v>
      </c>
      <c r="Z1649" s="14">
        <v>0</v>
      </c>
      <c r="AD1649" s="14" t="s">
        <v>1165</v>
      </c>
      <c r="AF1649" s="14" t="s">
        <v>1165</v>
      </c>
      <c r="AI1649" s="14" t="s">
        <v>1165</v>
      </c>
      <c r="AJ1649" s="15" t="s">
        <v>1148</v>
      </c>
      <c r="AK1649" s="15">
        <v>14.272</v>
      </c>
      <c r="AP1649" s="15">
        <v>28</v>
      </c>
      <c r="AQ1649" s="14" t="s">
        <v>1336</v>
      </c>
      <c r="AR1649" s="15" t="s">
        <v>1335</v>
      </c>
      <c r="AS1649" s="14" t="s">
        <v>3002</v>
      </c>
    </row>
    <row r="1650" spans="1:45" s="14" customFormat="1" x14ac:dyDescent="0.2">
      <c r="A1650" s="14" t="s">
        <v>1326</v>
      </c>
      <c r="B1650" s="15" t="s">
        <v>1146</v>
      </c>
      <c r="C1650" s="15" t="s">
        <v>1149</v>
      </c>
      <c r="D1650" s="14" t="s">
        <v>1348</v>
      </c>
      <c r="E1650" s="14" t="s">
        <v>1349</v>
      </c>
      <c r="G1650" s="15" t="s">
        <v>1165</v>
      </c>
      <c r="H1650" s="14" t="s">
        <v>1165</v>
      </c>
      <c r="I1650" s="14" t="s">
        <v>1328</v>
      </c>
      <c r="J1650" s="14" t="s">
        <v>1337</v>
      </c>
      <c r="K1650" s="14" t="s">
        <v>1338</v>
      </c>
      <c r="L1650" s="14">
        <v>2000</v>
      </c>
      <c r="M1650" s="14" t="s">
        <v>1327</v>
      </c>
      <c r="O1650" s="14">
        <v>2005</v>
      </c>
      <c r="P1650" s="14">
        <v>2005</v>
      </c>
      <c r="Q1650" s="14" t="s">
        <v>1329</v>
      </c>
      <c r="R1650" s="14">
        <v>10</v>
      </c>
      <c r="T1650" s="14" t="s">
        <v>1330</v>
      </c>
      <c r="U1650" s="14" t="s">
        <v>1341</v>
      </c>
      <c r="V1650" s="12"/>
      <c r="W1650" s="14">
        <v>140</v>
      </c>
      <c r="X1650" s="12" t="s">
        <v>1333</v>
      </c>
      <c r="Y1650" s="14" t="s">
        <v>2998</v>
      </c>
      <c r="Z1650" s="14">
        <v>12</v>
      </c>
      <c r="AD1650" s="14" t="s">
        <v>1165</v>
      </c>
      <c r="AF1650" s="14" t="s">
        <v>1165</v>
      </c>
      <c r="AI1650" s="14" t="s">
        <v>1165</v>
      </c>
      <c r="AJ1650" s="15" t="s">
        <v>1148</v>
      </c>
      <c r="AK1650" s="15">
        <v>100</v>
      </c>
      <c r="AP1650" s="15">
        <v>28</v>
      </c>
      <c r="AQ1650" s="14" t="s">
        <v>1336</v>
      </c>
      <c r="AR1650" s="15" t="s">
        <v>1335</v>
      </c>
      <c r="AS1650" s="14" t="s">
        <v>3002</v>
      </c>
    </row>
    <row r="1651" spans="1:45" s="14" customFormat="1" x14ac:dyDescent="0.2">
      <c r="A1651" s="14" t="s">
        <v>1326</v>
      </c>
      <c r="B1651" s="15" t="s">
        <v>1146</v>
      </c>
      <c r="C1651" s="15" t="s">
        <v>1149</v>
      </c>
      <c r="D1651" s="14" t="s">
        <v>1348</v>
      </c>
      <c r="E1651" s="14" t="s">
        <v>1349</v>
      </c>
      <c r="G1651" s="15" t="s">
        <v>1165</v>
      </c>
      <c r="H1651" s="14" t="s">
        <v>1165</v>
      </c>
      <c r="I1651" s="14" t="s">
        <v>1328</v>
      </c>
      <c r="J1651" s="14" t="s">
        <v>1337</v>
      </c>
      <c r="K1651" s="14" t="s">
        <v>1338</v>
      </c>
      <c r="L1651" s="14">
        <v>2000</v>
      </c>
      <c r="M1651" s="14" t="s">
        <v>1327</v>
      </c>
      <c r="O1651" s="14">
        <v>2005</v>
      </c>
      <c r="P1651" s="14">
        <v>2005</v>
      </c>
      <c r="Q1651" s="14" t="s">
        <v>1329</v>
      </c>
      <c r="R1651" s="14">
        <v>10</v>
      </c>
      <c r="T1651" s="14" t="s">
        <v>1330</v>
      </c>
      <c r="U1651" s="14" t="s">
        <v>1341</v>
      </c>
      <c r="V1651" s="12"/>
      <c r="W1651" s="14">
        <v>140</v>
      </c>
      <c r="X1651" s="12" t="s">
        <v>1264</v>
      </c>
      <c r="Y1651" s="14" t="s">
        <v>2998</v>
      </c>
      <c r="Z1651" s="14">
        <v>12</v>
      </c>
      <c r="AD1651" s="14" t="s">
        <v>1165</v>
      </c>
      <c r="AF1651" s="14" t="s">
        <v>1165</v>
      </c>
      <c r="AI1651" s="14" t="s">
        <v>1165</v>
      </c>
      <c r="AJ1651" s="15" t="s">
        <v>1148</v>
      </c>
      <c r="AK1651" s="15">
        <v>100</v>
      </c>
      <c r="AP1651" s="15">
        <v>28</v>
      </c>
      <c r="AQ1651" s="14" t="s">
        <v>1336</v>
      </c>
      <c r="AR1651" s="15" t="s">
        <v>1335</v>
      </c>
      <c r="AS1651" s="14" t="s">
        <v>3002</v>
      </c>
    </row>
    <row r="1652" spans="1:45" s="14" customFormat="1" x14ac:dyDescent="0.2">
      <c r="A1652" s="14" t="s">
        <v>1326</v>
      </c>
      <c r="B1652" s="15" t="s">
        <v>1146</v>
      </c>
      <c r="C1652" s="15" t="s">
        <v>1149</v>
      </c>
      <c r="D1652" s="14" t="s">
        <v>1348</v>
      </c>
      <c r="E1652" s="14" t="s">
        <v>1349</v>
      </c>
      <c r="G1652" s="15" t="s">
        <v>1165</v>
      </c>
      <c r="H1652" s="14" t="s">
        <v>1165</v>
      </c>
      <c r="I1652" s="14" t="s">
        <v>1328</v>
      </c>
      <c r="J1652" s="14" t="s">
        <v>1337</v>
      </c>
      <c r="K1652" s="14" t="s">
        <v>1338</v>
      </c>
      <c r="L1652" s="14">
        <v>2000</v>
      </c>
      <c r="M1652" s="14" t="s">
        <v>1327</v>
      </c>
      <c r="O1652" s="14">
        <v>2005</v>
      </c>
      <c r="P1652" s="14">
        <v>2005</v>
      </c>
      <c r="Q1652" s="14" t="s">
        <v>1329</v>
      </c>
      <c r="R1652" s="14">
        <v>10</v>
      </c>
      <c r="T1652" s="14" t="s">
        <v>1330</v>
      </c>
      <c r="U1652" s="14" t="s">
        <v>1341</v>
      </c>
      <c r="V1652" s="12"/>
      <c r="W1652" s="14">
        <v>140</v>
      </c>
      <c r="X1652" s="12" t="s">
        <v>1261</v>
      </c>
      <c r="Y1652" s="14" t="s">
        <v>2998</v>
      </c>
      <c r="Z1652" s="14">
        <v>12</v>
      </c>
      <c r="AD1652" s="14" t="s">
        <v>1165</v>
      </c>
      <c r="AF1652" s="14" t="s">
        <v>1165</v>
      </c>
      <c r="AI1652" s="14" t="s">
        <v>1165</v>
      </c>
      <c r="AJ1652" s="15" t="s">
        <v>1148</v>
      </c>
      <c r="AK1652" s="15">
        <v>100</v>
      </c>
      <c r="AP1652" s="15">
        <v>28</v>
      </c>
      <c r="AQ1652" s="14" t="s">
        <v>1336</v>
      </c>
      <c r="AR1652" s="15" t="s">
        <v>1335</v>
      </c>
      <c r="AS1652" s="14" t="s">
        <v>3002</v>
      </c>
    </row>
    <row r="1653" spans="1:45" s="14" customFormat="1" x14ac:dyDescent="0.2">
      <c r="A1653" s="14" t="s">
        <v>1326</v>
      </c>
      <c r="B1653" s="15" t="s">
        <v>1146</v>
      </c>
      <c r="C1653" s="15" t="s">
        <v>1149</v>
      </c>
      <c r="D1653" s="14" t="s">
        <v>1348</v>
      </c>
      <c r="E1653" s="14" t="s">
        <v>1349</v>
      </c>
      <c r="G1653" s="15" t="s">
        <v>1165</v>
      </c>
      <c r="H1653" s="14" t="s">
        <v>1165</v>
      </c>
      <c r="I1653" s="14" t="s">
        <v>1328</v>
      </c>
      <c r="J1653" s="14" t="s">
        <v>1337</v>
      </c>
      <c r="K1653" s="14" t="s">
        <v>1338</v>
      </c>
      <c r="L1653" s="14">
        <v>2000</v>
      </c>
      <c r="M1653" s="14" t="s">
        <v>1327</v>
      </c>
      <c r="O1653" s="14">
        <v>2005</v>
      </c>
      <c r="P1653" s="14">
        <v>2005</v>
      </c>
      <c r="Q1653" s="14" t="s">
        <v>1329</v>
      </c>
      <c r="R1653" s="14">
        <v>10</v>
      </c>
      <c r="T1653" s="14" t="s">
        <v>1330</v>
      </c>
      <c r="U1653" s="14" t="s">
        <v>1341</v>
      </c>
      <c r="V1653" s="12"/>
      <c r="W1653" s="14">
        <v>140</v>
      </c>
      <c r="X1653" s="12" t="s">
        <v>1334</v>
      </c>
      <c r="Y1653" s="14" t="s">
        <v>2998</v>
      </c>
      <c r="Z1653" s="14">
        <v>12</v>
      </c>
      <c r="AD1653" s="14" t="s">
        <v>1165</v>
      </c>
      <c r="AF1653" s="14" t="s">
        <v>1165</v>
      </c>
      <c r="AI1653" s="14" t="s">
        <v>1165</v>
      </c>
      <c r="AJ1653" s="15" t="s">
        <v>1148</v>
      </c>
      <c r="AK1653" s="15">
        <v>100</v>
      </c>
      <c r="AP1653" s="15">
        <v>28</v>
      </c>
      <c r="AQ1653" s="14" t="s">
        <v>1336</v>
      </c>
      <c r="AR1653" s="15" t="s">
        <v>1335</v>
      </c>
      <c r="AS1653" s="14" t="s">
        <v>3002</v>
      </c>
    </row>
    <row r="1654" spans="1:45" s="14" customFormat="1" x14ac:dyDescent="0.2">
      <c r="A1654" s="14" t="s">
        <v>1326</v>
      </c>
      <c r="B1654" s="15" t="s">
        <v>1146</v>
      </c>
      <c r="C1654" s="15" t="s">
        <v>1149</v>
      </c>
      <c r="D1654" s="14" t="s">
        <v>1348</v>
      </c>
      <c r="E1654" s="14" t="s">
        <v>1349</v>
      </c>
      <c r="G1654" s="15" t="s">
        <v>1165</v>
      </c>
      <c r="H1654" s="14" t="s">
        <v>1165</v>
      </c>
      <c r="I1654" s="14" t="s">
        <v>1328</v>
      </c>
      <c r="J1654" s="14" t="s">
        <v>1337</v>
      </c>
      <c r="K1654" s="14" t="s">
        <v>1338</v>
      </c>
      <c r="L1654" s="14">
        <v>2000</v>
      </c>
      <c r="M1654" s="14" t="s">
        <v>1327</v>
      </c>
      <c r="O1654" s="14">
        <v>2005</v>
      </c>
      <c r="P1654" s="14">
        <v>2005</v>
      </c>
      <c r="Q1654" s="14" t="s">
        <v>1329</v>
      </c>
      <c r="R1654" s="14">
        <v>10</v>
      </c>
      <c r="T1654" s="14" t="s">
        <v>1330</v>
      </c>
      <c r="U1654" s="14" t="s">
        <v>1341</v>
      </c>
      <c r="V1654" s="12"/>
      <c r="W1654" s="14">
        <v>140</v>
      </c>
      <c r="X1654" s="12" t="s">
        <v>1333</v>
      </c>
      <c r="Y1654" s="14" t="s">
        <v>2998</v>
      </c>
      <c r="Z1654" s="14">
        <v>0</v>
      </c>
      <c r="AD1654" s="14" t="s">
        <v>1165</v>
      </c>
      <c r="AF1654" s="14" t="s">
        <v>1165</v>
      </c>
      <c r="AI1654" s="14" t="s">
        <v>1165</v>
      </c>
      <c r="AJ1654" s="15" t="s">
        <v>1148</v>
      </c>
      <c r="AK1654" s="15">
        <v>32.479999999999997</v>
      </c>
      <c r="AP1654" s="15">
        <v>28</v>
      </c>
      <c r="AQ1654" s="14" t="s">
        <v>1336</v>
      </c>
      <c r="AR1654" s="15" t="s">
        <v>1335</v>
      </c>
      <c r="AS1654" s="14" t="s">
        <v>3002</v>
      </c>
    </row>
    <row r="1655" spans="1:45" s="14" customFormat="1" x14ac:dyDescent="0.2">
      <c r="A1655" s="14" t="s">
        <v>1326</v>
      </c>
      <c r="B1655" s="15" t="s">
        <v>1146</v>
      </c>
      <c r="C1655" s="15" t="s">
        <v>1149</v>
      </c>
      <c r="D1655" s="14" t="s">
        <v>1348</v>
      </c>
      <c r="E1655" s="14" t="s">
        <v>1349</v>
      </c>
      <c r="G1655" s="15" t="s">
        <v>1165</v>
      </c>
      <c r="H1655" s="14" t="s">
        <v>1165</v>
      </c>
      <c r="I1655" s="14" t="s">
        <v>1328</v>
      </c>
      <c r="J1655" s="14" t="s">
        <v>1337</v>
      </c>
      <c r="K1655" s="14" t="s">
        <v>1338</v>
      </c>
      <c r="L1655" s="14">
        <v>2000</v>
      </c>
      <c r="M1655" s="14" t="s">
        <v>1327</v>
      </c>
      <c r="O1655" s="14">
        <v>2005</v>
      </c>
      <c r="P1655" s="14">
        <v>2005</v>
      </c>
      <c r="Q1655" s="14" t="s">
        <v>1329</v>
      </c>
      <c r="R1655" s="14">
        <v>10</v>
      </c>
      <c r="T1655" s="14" t="s">
        <v>1330</v>
      </c>
      <c r="U1655" s="14" t="s">
        <v>1341</v>
      </c>
      <c r="V1655" s="12"/>
      <c r="W1655" s="14">
        <v>140</v>
      </c>
      <c r="X1655" s="12" t="s">
        <v>1264</v>
      </c>
      <c r="Y1655" s="14" t="s">
        <v>2998</v>
      </c>
      <c r="Z1655" s="14">
        <v>0</v>
      </c>
      <c r="AD1655" s="14" t="s">
        <v>1165</v>
      </c>
      <c r="AF1655" s="14" t="s">
        <v>1165</v>
      </c>
      <c r="AI1655" s="14" t="s">
        <v>1165</v>
      </c>
      <c r="AJ1655" s="15" t="s">
        <v>1148</v>
      </c>
      <c r="AK1655" s="15">
        <v>44.192999999999998</v>
      </c>
      <c r="AP1655" s="15">
        <v>28</v>
      </c>
      <c r="AQ1655" s="14" t="s">
        <v>1336</v>
      </c>
      <c r="AR1655" s="15" t="s">
        <v>1335</v>
      </c>
      <c r="AS1655" s="14" t="s">
        <v>3002</v>
      </c>
    </row>
    <row r="1656" spans="1:45" s="14" customFormat="1" x14ac:dyDescent="0.2">
      <c r="A1656" s="14" t="s">
        <v>1326</v>
      </c>
      <c r="B1656" s="15" t="s">
        <v>1146</v>
      </c>
      <c r="C1656" s="15" t="s">
        <v>1149</v>
      </c>
      <c r="D1656" s="14" t="s">
        <v>1348</v>
      </c>
      <c r="E1656" s="14" t="s">
        <v>1349</v>
      </c>
      <c r="G1656" s="15" t="s">
        <v>1165</v>
      </c>
      <c r="H1656" s="14" t="s">
        <v>1165</v>
      </c>
      <c r="I1656" s="14" t="s">
        <v>1328</v>
      </c>
      <c r="J1656" s="14" t="s">
        <v>1337</v>
      </c>
      <c r="K1656" s="14" t="s">
        <v>1338</v>
      </c>
      <c r="L1656" s="14">
        <v>2000</v>
      </c>
      <c r="M1656" s="14" t="s">
        <v>1327</v>
      </c>
      <c r="O1656" s="14">
        <v>2005</v>
      </c>
      <c r="P1656" s="14">
        <v>2005</v>
      </c>
      <c r="Q1656" s="14" t="s">
        <v>1329</v>
      </c>
      <c r="R1656" s="14">
        <v>10</v>
      </c>
      <c r="T1656" s="14" t="s">
        <v>1330</v>
      </c>
      <c r="U1656" s="14" t="s">
        <v>1341</v>
      </c>
      <c r="V1656" s="12"/>
      <c r="W1656" s="14">
        <v>140</v>
      </c>
      <c r="X1656" s="12" t="s">
        <v>1261</v>
      </c>
      <c r="Y1656" s="14" t="s">
        <v>2998</v>
      </c>
      <c r="Z1656" s="14">
        <v>0</v>
      </c>
      <c r="AD1656" s="14" t="s">
        <v>1165</v>
      </c>
      <c r="AF1656" s="14" t="s">
        <v>1165</v>
      </c>
      <c r="AI1656" s="14" t="s">
        <v>1165</v>
      </c>
      <c r="AJ1656" s="15" t="s">
        <v>1148</v>
      </c>
      <c r="AK1656" s="15">
        <v>49.311</v>
      </c>
      <c r="AP1656" s="15">
        <v>28</v>
      </c>
      <c r="AQ1656" s="14" t="s">
        <v>1336</v>
      </c>
      <c r="AR1656" s="15" t="s">
        <v>1335</v>
      </c>
      <c r="AS1656" s="14" t="s">
        <v>3002</v>
      </c>
    </row>
    <row r="1657" spans="1:45" s="14" customFormat="1" x14ac:dyDescent="0.2">
      <c r="A1657" s="14" t="s">
        <v>1326</v>
      </c>
      <c r="B1657" s="15" t="s">
        <v>1146</v>
      </c>
      <c r="C1657" s="15" t="s">
        <v>1149</v>
      </c>
      <c r="D1657" s="14" t="s">
        <v>1348</v>
      </c>
      <c r="E1657" s="14" t="s">
        <v>1349</v>
      </c>
      <c r="G1657" s="15" t="s">
        <v>1165</v>
      </c>
      <c r="H1657" s="14" t="s">
        <v>1165</v>
      </c>
      <c r="I1657" s="14" t="s">
        <v>1328</v>
      </c>
      <c r="J1657" s="14" t="s">
        <v>1337</v>
      </c>
      <c r="K1657" s="14" t="s">
        <v>1338</v>
      </c>
      <c r="L1657" s="14">
        <v>2000</v>
      </c>
      <c r="M1657" s="14" t="s">
        <v>1327</v>
      </c>
      <c r="O1657" s="14">
        <v>2005</v>
      </c>
      <c r="P1657" s="14">
        <v>2005</v>
      </c>
      <c r="Q1657" s="14" t="s">
        <v>1329</v>
      </c>
      <c r="R1657" s="14">
        <v>10</v>
      </c>
      <c r="T1657" s="14" t="s">
        <v>1330</v>
      </c>
      <c r="U1657" s="14" t="s">
        <v>1341</v>
      </c>
      <c r="V1657" s="12"/>
      <c r="W1657" s="14">
        <v>140</v>
      </c>
      <c r="X1657" s="12" t="s">
        <v>1334</v>
      </c>
      <c r="Y1657" s="14" t="s">
        <v>2998</v>
      </c>
      <c r="Z1657" s="14">
        <v>0</v>
      </c>
      <c r="AD1657" s="14" t="s">
        <v>1165</v>
      </c>
      <c r="AF1657" s="14" t="s">
        <v>1165</v>
      </c>
      <c r="AI1657" s="14" t="s">
        <v>1165</v>
      </c>
      <c r="AJ1657" s="15" t="s">
        <v>1148</v>
      </c>
      <c r="AK1657" s="15">
        <v>91.436999999999998</v>
      </c>
      <c r="AP1657" s="15">
        <v>28</v>
      </c>
      <c r="AQ1657" s="14" t="s">
        <v>1336</v>
      </c>
      <c r="AR1657" s="15" t="s">
        <v>1335</v>
      </c>
      <c r="AS1657" s="14" t="s">
        <v>3002</v>
      </c>
    </row>
    <row r="1658" spans="1:45" s="14" customFormat="1" x14ac:dyDescent="0.2">
      <c r="A1658" s="14" t="s">
        <v>1326</v>
      </c>
      <c r="B1658" s="15" t="s">
        <v>1146</v>
      </c>
      <c r="C1658" s="15" t="s">
        <v>1149</v>
      </c>
      <c r="D1658" s="14" t="s">
        <v>1348</v>
      </c>
      <c r="E1658" s="14" t="s">
        <v>1349</v>
      </c>
      <c r="G1658" s="15" t="s">
        <v>1165</v>
      </c>
      <c r="H1658" s="14" t="s">
        <v>1165</v>
      </c>
      <c r="I1658" s="14" t="s">
        <v>1328</v>
      </c>
      <c r="J1658" s="14" t="s">
        <v>1337</v>
      </c>
      <c r="K1658" s="14" t="s">
        <v>1338</v>
      </c>
      <c r="L1658" s="14">
        <v>2000</v>
      </c>
      <c r="M1658" s="14" t="s">
        <v>1327</v>
      </c>
      <c r="O1658" s="14">
        <v>2005</v>
      </c>
      <c r="P1658" s="14">
        <v>2005</v>
      </c>
      <c r="Q1658" s="14" t="s">
        <v>1329</v>
      </c>
      <c r="R1658" s="14">
        <v>10</v>
      </c>
      <c r="T1658" s="14" t="s">
        <v>1330</v>
      </c>
      <c r="U1658" s="14" t="s">
        <v>1341</v>
      </c>
      <c r="V1658" s="12"/>
      <c r="W1658" s="14">
        <v>210</v>
      </c>
      <c r="X1658" s="12" t="s">
        <v>1333</v>
      </c>
      <c r="Y1658" s="14" t="s">
        <v>2999</v>
      </c>
      <c r="Z1658" s="14">
        <v>12</v>
      </c>
      <c r="AD1658" s="14" t="s">
        <v>1165</v>
      </c>
      <c r="AF1658" s="14" t="s">
        <v>1165</v>
      </c>
      <c r="AI1658" s="14" t="s">
        <v>1165</v>
      </c>
      <c r="AJ1658" s="15" t="s">
        <v>1148</v>
      </c>
      <c r="AK1658" s="15">
        <v>96.555000000000007</v>
      </c>
      <c r="AP1658" s="15">
        <v>28</v>
      </c>
      <c r="AQ1658" s="14" t="s">
        <v>1336</v>
      </c>
      <c r="AR1658" s="15" t="s">
        <v>1335</v>
      </c>
      <c r="AS1658" s="14" t="s">
        <v>3002</v>
      </c>
    </row>
    <row r="1659" spans="1:45" s="14" customFormat="1" x14ac:dyDescent="0.2">
      <c r="A1659" s="14" t="s">
        <v>1326</v>
      </c>
      <c r="B1659" s="15" t="s">
        <v>1146</v>
      </c>
      <c r="C1659" s="15" t="s">
        <v>1149</v>
      </c>
      <c r="D1659" s="14" t="s">
        <v>1348</v>
      </c>
      <c r="E1659" s="14" t="s">
        <v>1349</v>
      </c>
      <c r="G1659" s="15" t="s">
        <v>1165</v>
      </c>
      <c r="H1659" s="14" t="s">
        <v>1165</v>
      </c>
      <c r="I1659" s="14" t="s">
        <v>1328</v>
      </c>
      <c r="J1659" s="14" t="s">
        <v>1337</v>
      </c>
      <c r="K1659" s="14" t="s">
        <v>1338</v>
      </c>
      <c r="L1659" s="14">
        <v>2000</v>
      </c>
      <c r="M1659" s="14" t="s">
        <v>1327</v>
      </c>
      <c r="O1659" s="14">
        <v>2005</v>
      </c>
      <c r="P1659" s="14">
        <v>2005</v>
      </c>
      <c r="Q1659" s="14" t="s">
        <v>1329</v>
      </c>
      <c r="R1659" s="14">
        <v>10</v>
      </c>
      <c r="T1659" s="14" t="s">
        <v>1330</v>
      </c>
      <c r="U1659" s="14" t="s">
        <v>1341</v>
      </c>
      <c r="V1659" s="12"/>
      <c r="W1659" s="14">
        <v>210</v>
      </c>
      <c r="X1659" s="12" t="s">
        <v>1264</v>
      </c>
      <c r="Y1659" s="14" t="s">
        <v>2999</v>
      </c>
      <c r="Z1659" s="14">
        <v>12</v>
      </c>
      <c r="AD1659" s="14" t="s">
        <v>1165</v>
      </c>
      <c r="AF1659" s="14" t="s">
        <v>1165</v>
      </c>
      <c r="AI1659" s="14" t="s">
        <v>1165</v>
      </c>
      <c r="AJ1659" s="15" t="s">
        <v>1148</v>
      </c>
      <c r="AK1659" s="15">
        <v>100</v>
      </c>
      <c r="AP1659" s="15">
        <v>28</v>
      </c>
      <c r="AQ1659" s="14" t="s">
        <v>1336</v>
      </c>
      <c r="AR1659" s="15" t="s">
        <v>1335</v>
      </c>
      <c r="AS1659" s="14" t="s">
        <v>3002</v>
      </c>
    </row>
    <row r="1660" spans="1:45" s="14" customFormat="1" x14ac:dyDescent="0.2">
      <c r="A1660" s="14" t="s">
        <v>1326</v>
      </c>
      <c r="B1660" s="15" t="s">
        <v>1146</v>
      </c>
      <c r="C1660" s="15" t="s">
        <v>1149</v>
      </c>
      <c r="D1660" s="14" t="s">
        <v>1348</v>
      </c>
      <c r="E1660" s="14" t="s">
        <v>1349</v>
      </c>
      <c r="G1660" s="15" t="s">
        <v>1165</v>
      </c>
      <c r="H1660" s="14" t="s">
        <v>1165</v>
      </c>
      <c r="I1660" s="14" t="s">
        <v>1328</v>
      </c>
      <c r="J1660" s="14" t="s">
        <v>1337</v>
      </c>
      <c r="K1660" s="14" t="s">
        <v>1338</v>
      </c>
      <c r="L1660" s="14">
        <v>2000</v>
      </c>
      <c r="M1660" s="14" t="s">
        <v>1327</v>
      </c>
      <c r="O1660" s="14">
        <v>2005</v>
      </c>
      <c r="P1660" s="14">
        <v>2005</v>
      </c>
      <c r="Q1660" s="14" t="s">
        <v>1329</v>
      </c>
      <c r="R1660" s="14">
        <v>10</v>
      </c>
      <c r="T1660" s="14" t="s">
        <v>1330</v>
      </c>
      <c r="U1660" s="14" t="s">
        <v>1341</v>
      </c>
      <c r="V1660" s="12"/>
      <c r="W1660" s="14">
        <v>210</v>
      </c>
      <c r="X1660" s="12" t="s">
        <v>1261</v>
      </c>
      <c r="Y1660" s="14" t="s">
        <v>2999</v>
      </c>
      <c r="Z1660" s="14">
        <v>12</v>
      </c>
      <c r="AD1660" s="14" t="s">
        <v>1165</v>
      </c>
      <c r="AF1660" s="14" t="s">
        <v>1165</v>
      </c>
      <c r="AI1660" s="14" t="s">
        <v>1165</v>
      </c>
      <c r="AJ1660" s="15" t="s">
        <v>1148</v>
      </c>
      <c r="AK1660" s="15">
        <v>100</v>
      </c>
      <c r="AP1660" s="15">
        <v>28</v>
      </c>
      <c r="AQ1660" s="14" t="s">
        <v>1336</v>
      </c>
      <c r="AR1660" s="15" t="s">
        <v>1335</v>
      </c>
      <c r="AS1660" s="14" t="s">
        <v>3002</v>
      </c>
    </row>
    <row r="1661" spans="1:45" s="14" customFormat="1" x14ac:dyDescent="0.2">
      <c r="A1661" s="14" t="s">
        <v>1326</v>
      </c>
      <c r="B1661" s="15" t="s">
        <v>1146</v>
      </c>
      <c r="C1661" s="15" t="s">
        <v>1149</v>
      </c>
      <c r="D1661" s="14" t="s">
        <v>1348</v>
      </c>
      <c r="E1661" s="14" t="s">
        <v>1349</v>
      </c>
      <c r="G1661" s="15" t="s">
        <v>1165</v>
      </c>
      <c r="H1661" s="14" t="s">
        <v>1165</v>
      </c>
      <c r="I1661" s="14" t="s">
        <v>1328</v>
      </c>
      <c r="J1661" s="14" t="s">
        <v>1337</v>
      </c>
      <c r="K1661" s="14" t="s">
        <v>1338</v>
      </c>
      <c r="L1661" s="14">
        <v>2000</v>
      </c>
      <c r="M1661" s="14" t="s">
        <v>1327</v>
      </c>
      <c r="O1661" s="14">
        <v>2005</v>
      </c>
      <c r="P1661" s="14">
        <v>2005</v>
      </c>
      <c r="Q1661" s="14" t="s">
        <v>1329</v>
      </c>
      <c r="R1661" s="14">
        <v>10</v>
      </c>
      <c r="T1661" s="14" t="s">
        <v>1330</v>
      </c>
      <c r="U1661" s="14" t="s">
        <v>1341</v>
      </c>
      <c r="V1661" s="12"/>
      <c r="W1661" s="14">
        <v>210</v>
      </c>
      <c r="X1661" s="12" t="s">
        <v>1334</v>
      </c>
      <c r="Y1661" s="14" t="s">
        <v>2999</v>
      </c>
      <c r="Z1661" s="14">
        <v>12</v>
      </c>
      <c r="AD1661" s="14" t="s">
        <v>1165</v>
      </c>
      <c r="AF1661" s="14" t="s">
        <v>1165</v>
      </c>
      <c r="AI1661" s="14" t="s">
        <v>1165</v>
      </c>
      <c r="AJ1661" s="15" t="s">
        <v>1148</v>
      </c>
      <c r="AK1661" s="15">
        <v>100</v>
      </c>
      <c r="AP1661" s="15">
        <v>28</v>
      </c>
      <c r="AQ1661" s="14" t="s">
        <v>1336</v>
      </c>
      <c r="AR1661" s="15" t="s">
        <v>1335</v>
      </c>
      <c r="AS1661" s="14" t="s">
        <v>3002</v>
      </c>
    </row>
    <row r="1662" spans="1:45" s="14" customFormat="1" x14ac:dyDescent="0.2">
      <c r="A1662" s="14" t="s">
        <v>1326</v>
      </c>
      <c r="B1662" s="15" t="s">
        <v>1146</v>
      </c>
      <c r="C1662" s="15" t="s">
        <v>1149</v>
      </c>
      <c r="D1662" s="14" t="s">
        <v>1348</v>
      </c>
      <c r="E1662" s="14" t="s">
        <v>1349</v>
      </c>
      <c r="G1662" s="15" t="s">
        <v>1165</v>
      </c>
      <c r="H1662" s="14" t="s">
        <v>1165</v>
      </c>
      <c r="I1662" s="14" t="s">
        <v>1328</v>
      </c>
      <c r="J1662" s="14" t="s">
        <v>1337</v>
      </c>
      <c r="K1662" s="14" t="s">
        <v>1338</v>
      </c>
      <c r="L1662" s="14">
        <v>2000</v>
      </c>
      <c r="M1662" s="14" t="s">
        <v>1327</v>
      </c>
      <c r="O1662" s="14">
        <v>2005</v>
      </c>
      <c r="P1662" s="14">
        <v>2005</v>
      </c>
      <c r="Q1662" s="14" t="s">
        <v>1329</v>
      </c>
      <c r="R1662" s="14">
        <v>10</v>
      </c>
      <c r="T1662" s="14" t="s">
        <v>1330</v>
      </c>
      <c r="U1662" s="14" t="s">
        <v>1341</v>
      </c>
      <c r="V1662" s="12"/>
      <c r="W1662" s="14">
        <v>210</v>
      </c>
      <c r="X1662" s="12" t="s">
        <v>1333</v>
      </c>
      <c r="Y1662" s="14" t="s">
        <v>2999</v>
      </c>
      <c r="Z1662" s="14">
        <v>0</v>
      </c>
      <c r="AD1662" s="14" t="s">
        <v>1165</v>
      </c>
      <c r="AF1662" s="14" t="s">
        <v>1165</v>
      </c>
      <c r="AI1662" s="14" t="s">
        <v>1165</v>
      </c>
      <c r="AJ1662" s="15" t="s">
        <v>1148</v>
      </c>
      <c r="AK1662" s="15">
        <v>46.948999999999998</v>
      </c>
      <c r="AP1662" s="15">
        <v>28</v>
      </c>
      <c r="AQ1662" s="14" t="s">
        <v>1336</v>
      </c>
      <c r="AR1662" s="15" t="s">
        <v>1335</v>
      </c>
      <c r="AS1662" s="14" t="s">
        <v>3002</v>
      </c>
    </row>
    <row r="1663" spans="1:45" s="14" customFormat="1" x14ac:dyDescent="0.2">
      <c r="A1663" s="14" t="s">
        <v>1326</v>
      </c>
      <c r="B1663" s="15" t="s">
        <v>1146</v>
      </c>
      <c r="C1663" s="15" t="s">
        <v>1149</v>
      </c>
      <c r="D1663" s="14" t="s">
        <v>1348</v>
      </c>
      <c r="E1663" s="14" t="s">
        <v>1349</v>
      </c>
      <c r="G1663" s="15" t="s">
        <v>1165</v>
      </c>
      <c r="H1663" s="14" t="s">
        <v>1165</v>
      </c>
      <c r="I1663" s="14" t="s">
        <v>1328</v>
      </c>
      <c r="J1663" s="14" t="s">
        <v>1337</v>
      </c>
      <c r="K1663" s="14" t="s">
        <v>1338</v>
      </c>
      <c r="L1663" s="14">
        <v>2000</v>
      </c>
      <c r="M1663" s="14" t="s">
        <v>1327</v>
      </c>
      <c r="O1663" s="14">
        <v>2005</v>
      </c>
      <c r="P1663" s="14">
        <v>2005</v>
      </c>
      <c r="Q1663" s="14" t="s">
        <v>1329</v>
      </c>
      <c r="R1663" s="14">
        <v>10</v>
      </c>
      <c r="T1663" s="14" t="s">
        <v>1330</v>
      </c>
      <c r="U1663" s="14" t="s">
        <v>1341</v>
      </c>
      <c r="V1663" s="12"/>
      <c r="W1663" s="14">
        <v>210</v>
      </c>
      <c r="X1663" s="12" t="s">
        <v>1264</v>
      </c>
      <c r="Y1663" s="14" t="s">
        <v>2999</v>
      </c>
      <c r="Z1663" s="14">
        <v>0</v>
      </c>
      <c r="AD1663" s="14" t="s">
        <v>1165</v>
      </c>
      <c r="AF1663" s="14" t="s">
        <v>1165</v>
      </c>
      <c r="AI1663" s="14" t="s">
        <v>1165</v>
      </c>
      <c r="AJ1663" s="15" t="s">
        <v>1148</v>
      </c>
      <c r="AK1663" s="15">
        <v>43.405999999999999</v>
      </c>
      <c r="AP1663" s="15">
        <v>28</v>
      </c>
      <c r="AQ1663" s="14" t="s">
        <v>1336</v>
      </c>
      <c r="AR1663" s="15" t="s">
        <v>1335</v>
      </c>
      <c r="AS1663" s="14" t="s">
        <v>3002</v>
      </c>
    </row>
    <row r="1664" spans="1:45" s="14" customFormat="1" x14ac:dyDescent="0.2">
      <c r="A1664" s="14" t="s">
        <v>1326</v>
      </c>
      <c r="B1664" s="15" t="s">
        <v>1146</v>
      </c>
      <c r="C1664" s="15" t="s">
        <v>1149</v>
      </c>
      <c r="D1664" s="14" t="s">
        <v>1348</v>
      </c>
      <c r="E1664" s="14" t="s">
        <v>1349</v>
      </c>
      <c r="G1664" s="15" t="s">
        <v>1165</v>
      </c>
      <c r="H1664" s="14" t="s">
        <v>1165</v>
      </c>
      <c r="I1664" s="14" t="s">
        <v>1328</v>
      </c>
      <c r="J1664" s="14" t="s">
        <v>1337</v>
      </c>
      <c r="K1664" s="14" t="s">
        <v>1338</v>
      </c>
      <c r="L1664" s="14">
        <v>2000</v>
      </c>
      <c r="M1664" s="14" t="s">
        <v>1327</v>
      </c>
      <c r="O1664" s="14">
        <v>2005</v>
      </c>
      <c r="P1664" s="14">
        <v>2005</v>
      </c>
      <c r="Q1664" s="14" t="s">
        <v>1329</v>
      </c>
      <c r="R1664" s="14">
        <v>10</v>
      </c>
      <c r="T1664" s="14" t="s">
        <v>1330</v>
      </c>
      <c r="U1664" s="14" t="s">
        <v>1341</v>
      </c>
      <c r="V1664" s="12"/>
      <c r="W1664" s="14">
        <v>210</v>
      </c>
      <c r="X1664" s="12" t="s">
        <v>1261</v>
      </c>
      <c r="Y1664" s="14" t="s">
        <v>2999</v>
      </c>
      <c r="Z1664" s="14">
        <v>0</v>
      </c>
      <c r="AD1664" s="14" t="s">
        <v>1165</v>
      </c>
      <c r="AF1664" s="14" t="s">
        <v>1165</v>
      </c>
      <c r="AI1664" s="14" t="s">
        <v>1165</v>
      </c>
      <c r="AJ1664" s="15" t="s">
        <v>1148</v>
      </c>
      <c r="AK1664" s="15">
        <v>56</v>
      </c>
      <c r="AP1664" s="15">
        <v>28</v>
      </c>
      <c r="AQ1664" s="14" t="s">
        <v>1336</v>
      </c>
      <c r="AR1664" s="15" t="s">
        <v>1335</v>
      </c>
      <c r="AS1664" s="14" t="s">
        <v>3002</v>
      </c>
    </row>
    <row r="1665" spans="1:45" s="14" customFormat="1" x14ac:dyDescent="0.2">
      <c r="A1665" s="14" t="s">
        <v>1326</v>
      </c>
      <c r="B1665" s="15" t="s">
        <v>1146</v>
      </c>
      <c r="C1665" s="15" t="s">
        <v>1149</v>
      </c>
      <c r="D1665" s="14" t="s">
        <v>1348</v>
      </c>
      <c r="E1665" s="14" t="s">
        <v>1349</v>
      </c>
      <c r="G1665" s="15" t="s">
        <v>1165</v>
      </c>
      <c r="H1665" s="14" t="s">
        <v>1165</v>
      </c>
      <c r="I1665" s="14" t="s">
        <v>1328</v>
      </c>
      <c r="J1665" s="14" t="s">
        <v>1337</v>
      </c>
      <c r="K1665" s="14" t="s">
        <v>1338</v>
      </c>
      <c r="L1665" s="14">
        <v>2000</v>
      </c>
      <c r="M1665" s="14" t="s">
        <v>1327</v>
      </c>
      <c r="O1665" s="14">
        <v>2005</v>
      </c>
      <c r="P1665" s="14">
        <v>2005</v>
      </c>
      <c r="Q1665" s="14" t="s">
        <v>1329</v>
      </c>
      <c r="R1665" s="14">
        <v>10</v>
      </c>
      <c r="T1665" s="14" t="s">
        <v>1330</v>
      </c>
      <c r="U1665" s="14" t="s">
        <v>1341</v>
      </c>
      <c r="V1665" s="12"/>
      <c r="W1665" s="14">
        <v>210</v>
      </c>
      <c r="X1665" s="12" t="s">
        <v>1334</v>
      </c>
      <c r="Y1665" s="14" t="s">
        <v>2999</v>
      </c>
      <c r="Z1665" s="14">
        <v>0</v>
      </c>
      <c r="AD1665" s="14" t="s">
        <v>1165</v>
      </c>
      <c r="AF1665" s="14" t="s">
        <v>1165</v>
      </c>
      <c r="AI1665" s="14" t="s">
        <v>1165</v>
      </c>
      <c r="AJ1665" s="15" t="s">
        <v>1148</v>
      </c>
      <c r="AK1665" s="15">
        <v>48.524000000000001</v>
      </c>
      <c r="AP1665" s="15">
        <v>28</v>
      </c>
      <c r="AQ1665" s="14" t="s">
        <v>1336</v>
      </c>
      <c r="AR1665" s="15" t="s">
        <v>1335</v>
      </c>
      <c r="AS1665" s="14" t="s">
        <v>3002</v>
      </c>
    </row>
    <row r="1666" spans="1:45" x14ac:dyDescent="0.2">
      <c r="A1666" t="s">
        <v>1326</v>
      </c>
      <c r="B1666" s="4" t="s">
        <v>1146</v>
      </c>
      <c r="C1666" s="4" t="s">
        <v>1149</v>
      </c>
      <c r="D1666" t="s">
        <v>1350</v>
      </c>
      <c r="E1666" t="s">
        <v>1351</v>
      </c>
      <c r="G1666" s="4" t="s">
        <v>1165</v>
      </c>
      <c r="H1666" t="s">
        <v>1165</v>
      </c>
      <c r="I1666" t="s">
        <v>1328</v>
      </c>
      <c r="J1666" t="s">
        <v>1337</v>
      </c>
      <c r="K1666" t="s">
        <v>1338</v>
      </c>
      <c r="L1666">
        <v>2000</v>
      </c>
      <c r="M1666" t="s">
        <v>1327</v>
      </c>
      <c r="O1666">
        <v>2005</v>
      </c>
      <c r="P1666">
        <v>2005</v>
      </c>
      <c r="Q1666" t="s">
        <v>1329</v>
      </c>
      <c r="R1666">
        <v>10</v>
      </c>
      <c r="T1666" t="s">
        <v>1330</v>
      </c>
      <c r="U1666" t="s">
        <v>1246</v>
      </c>
      <c r="V1666" s="9" t="s">
        <v>1332</v>
      </c>
      <c r="W1666">
        <v>0</v>
      </c>
      <c r="X1666" s="9" t="s">
        <v>1333</v>
      </c>
      <c r="Z1666">
        <v>12</v>
      </c>
      <c r="AD1666" t="s">
        <v>1165</v>
      </c>
      <c r="AF1666" t="s">
        <v>1165</v>
      </c>
      <c r="AI1666" t="s">
        <v>1165</v>
      </c>
      <c r="AJ1666" s="4" t="s">
        <v>1148</v>
      </c>
      <c r="AK1666" s="4">
        <v>32.776000000000003</v>
      </c>
      <c r="AP1666" s="4">
        <v>28</v>
      </c>
      <c r="AQ1666" t="s">
        <v>1336</v>
      </c>
      <c r="AR1666" s="4" t="s">
        <v>1335</v>
      </c>
      <c r="AS1666" t="s">
        <v>3000</v>
      </c>
    </row>
    <row r="1667" spans="1:45" x14ac:dyDescent="0.2">
      <c r="A1667" t="s">
        <v>1326</v>
      </c>
      <c r="B1667" s="4" t="s">
        <v>1146</v>
      </c>
      <c r="C1667" s="4" t="s">
        <v>1149</v>
      </c>
      <c r="D1667" t="s">
        <v>1350</v>
      </c>
      <c r="E1667" t="s">
        <v>1351</v>
      </c>
      <c r="G1667" s="4" t="s">
        <v>1165</v>
      </c>
      <c r="H1667" t="s">
        <v>1165</v>
      </c>
      <c r="I1667" t="s">
        <v>1328</v>
      </c>
      <c r="J1667" t="s">
        <v>1337</v>
      </c>
      <c r="K1667" t="s">
        <v>1338</v>
      </c>
      <c r="L1667">
        <v>2000</v>
      </c>
      <c r="M1667" t="s">
        <v>1327</v>
      </c>
      <c r="O1667">
        <v>2005</v>
      </c>
      <c r="P1667">
        <v>2005</v>
      </c>
      <c r="Q1667" t="s">
        <v>1329</v>
      </c>
      <c r="R1667">
        <v>10</v>
      </c>
      <c r="T1667" t="s">
        <v>1330</v>
      </c>
      <c r="U1667" t="s">
        <v>1246</v>
      </c>
      <c r="V1667" s="9" t="s">
        <v>1332</v>
      </c>
      <c r="W1667">
        <v>0</v>
      </c>
      <c r="X1667" s="9" t="s">
        <v>1264</v>
      </c>
      <c r="Z1667">
        <v>12</v>
      </c>
      <c r="AD1667" t="s">
        <v>1165</v>
      </c>
      <c r="AF1667" t="s">
        <v>1165</v>
      </c>
      <c r="AI1667" t="s">
        <v>1165</v>
      </c>
      <c r="AJ1667" s="4" t="s">
        <v>1148</v>
      </c>
      <c r="AK1667" s="4">
        <v>41.634</v>
      </c>
      <c r="AP1667" s="4">
        <v>28</v>
      </c>
      <c r="AQ1667" t="s">
        <v>1336</v>
      </c>
      <c r="AR1667" s="4" t="s">
        <v>1335</v>
      </c>
      <c r="AS1667" t="s">
        <v>3000</v>
      </c>
    </row>
    <row r="1668" spans="1:45" x14ac:dyDescent="0.2">
      <c r="A1668" t="s">
        <v>1326</v>
      </c>
      <c r="B1668" s="4" t="s">
        <v>1146</v>
      </c>
      <c r="C1668" s="4" t="s">
        <v>1149</v>
      </c>
      <c r="D1668" t="s">
        <v>1350</v>
      </c>
      <c r="E1668" t="s">
        <v>1351</v>
      </c>
      <c r="G1668" s="4" t="s">
        <v>1165</v>
      </c>
      <c r="H1668" t="s">
        <v>1165</v>
      </c>
      <c r="I1668" t="s">
        <v>1328</v>
      </c>
      <c r="J1668" t="s">
        <v>1337</v>
      </c>
      <c r="K1668" t="s">
        <v>1338</v>
      </c>
      <c r="L1668">
        <v>2000</v>
      </c>
      <c r="M1668" t="s">
        <v>1327</v>
      </c>
      <c r="O1668">
        <v>2005</v>
      </c>
      <c r="P1668">
        <v>2005</v>
      </c>
      <c r="Q1668" t="s">
        <v>1329</v>
      </c>
      <c r="R1668">
        <v>10</v>
      </c>
      <c r="T1668" t="s">
        <v>1330</v>
      </c>
      <c r="U1668" t="s">
        <v>1246</v>
      </c>
      <c r="V1668" s="9" t="s">
        <v>1332</v>
      </c>
      <c r="W1668">
        <v>0</v>
      </c>
      <c r="X1668" s="9" t="s">
        <v>1261</v>
      </c>
      <c r="Z1668">
        <v>12</v>
      </c>
      <c r="AD1668" t="s">
        <v>1165</v>
      </c>
      <c r="AF1668" t="s">
        <v>1165</v>
      </c>
      <c r="AI1668" t="s">
        <v>1165</v>
      </c>
      <c r="AJ1668" s="4" t="s">
        <v>1148</v>
      </c>
      <c r="AK1668" s="4">
        <v>32.776000000000003</v>
      </c>
      <c r="AP1668" s="4">
        <v>28</v>
      </c>
      <c r="AQ1668" t="s">
        <v>1336</v>
      </c>
      <c r="AR1668" s="4" t="s">
        <v>1335</v>
      </c>
      <c r="AS1668" t="s">
        <v>3000</v>
      </c>
    </row>
    <row r="1669" spans="1:45" x14ac:dyDescent="0.2">
      <c r="A1669" t="s">
        <v>1326</v>
      </c>
      <c r="B1669" s="4" t="s">
        <v>1146</v>
      </c>
      <c r="C1669" s="4" t="s">
        <v>1149</v>
      </c>
      <c r="D1669" t="s">
        <v>1350</v>
      </c>
      <c r="E1669" t="s">
        <v>1351</v>
      </c>
      <c r="G1669" s="4" t="s">
        <v>1165</v>
      </c>
      <c r="H1669" t="s">
        <v>1165</v>
      </c>
      <c r="I1669" t="s">
        <v>1328</v>
      </c>
      <c r="J1669" t="s">
        <v>1337</v>
      </c>
      <c r="K1669" t="s">
        <v>1338</v>
      </c>
      <c r="L1669">
        <v>2000</v>
      </c>
      <c r="M1669" t="s">
        <v>1327</v>
      </c>
      <c r="O1669">
        <v>2005</v>
      </c>
      <c r="P1669">
        <v>2005</v>
      </c>
      <c r="Q1669" t="s">
        <v>1329</v>
      </c>
      <c r="R1669">
        <v>10</v>
      </c>
      <c r="T1669" t="s">
        <v>1330</v>
      </c>
      <c r="U1669" t="s">
        <v>1246</v>
      </c>
      <c r="V1669" s="9" t="s">
        <v>1332</v>
      </c>
      <c r="W1669">
        <v>0</v>
      </c>
      <c r="X1669" s="9" t="s">
        <v>1334</v>
      </c>
      <c r="Z1669">
        <v>12</v>
      </c>
      <c r="AD1669" t="s">
        <v>1165</v>
      </c>
      <c r="AF1669" t="s">
        <v>1165</v>
      </c>
      <c r="AI1669" t="s">
        <v>1165</v>
      </c>
      <c r="AJ1669" s="4" t="s">
        <v>1148</v>
      </c>
      <c r="AK1669" s="4">
        <v>3.839</v>
      </c>
      <c r="AP1669" s="4">
        <v>28</v>
      </c>
      <c r="AQ1669" t="s">
        <v>1336</v>
      </c>
      <c r="AR1669" s="4" t="s">
        <v>1335</v>
      </c>
      <c r="AS1669" t="s">
        <v>3000</v>
      </c>
    </row>
    <row r="1670" spans="1:45" x14ac:dyDescent="0.2">
      <c r="A1670" t="s">
        <v>1326</v>
      </c>
      <c r="B1670" s="4" t="s">
        <v>1146</v>
      </c>
      <c r="C1670" s="4" t="s">
        <v>1149</v>
      </c>
      <c r="D1670" t="s">
        <v>1350</v>
      </c>
      <c r="E1670" t="s">
        <v>1351</v>
      </c>
      <c r="G1670" s="4" t="s">
        <v>1165</v>
      </c>
      <c r="H1670" t="s">
        <v>1165</v>
      </c>
      <c r="I1670" t="s">
        <v>1328</v>
      </c>
      <c r="J1670" t="s">
        <v>1337</v>
      </c>
      <c r="K1670" t="s">
        <v>1338</v>
      </c>
      <c r="L1670">
        <v>2000</v>
      </c>
      <c r="M1670" t="s">
        <v>1327</v>
      </c>
      <c r="O1670">
        <v>2005</v>
      </c>
      <c r="P1670">
        <v>2005</v>
      </c>
      <c r="Q1670" t="s">
        <v>1329</v>
      </c>
      <c r="R1670">
        <v>10</v>
      </c>
      <c r="T1670" t="s">
        <v>1330</v>
      </c>
      <c r="U1670" t="s">
        <v>1246</v>
      </c>
      <c r="V1670" s="9" t="s">
        <v>1332</v>
      </c>
      <c r="W1670">
        <v>0</v>
      </c>
      <c r="X1670" s="9" t="s">
        <v>1333</v>
      </c>
      <c r="Z1670">
        <v>0</v>
      </c>
      <c r="AD1670" t="s">
        <v>1165</v>
      </c>
      <c r="AF1670" t="s">
        <v>1165</v>
      </c>
      <c r="AI1670" t="s">
        <v>1165</v>
      </c>
      <c r="AJ1670" s="4" t="s">
        <v>1148</v>
      </c>
      <c r="AK1670" s="4">
        <v>23.030999999999999</v>
      </c>
      <c r="AP1670" s="4">
        <v>28</v>
      </c>
      <c r="AQ1670" t="s">
        <v>1336</v>
      </c>
      <c r="AR1670" s="4" t="s">
        <v>1335</v>
      </c>
      <c r="AS1670" t="s">
        <v>3000</v>
      </c>
    </row>
    <row r="1671" spans="1:45" x14ac:dyDescent="0.2">
      <c r="A1671" t="s">
        <v>1326</v>
      </c>
      <c r="B1671" s="4" t="s">
        <v>1146</v>
      </c>
      <c r="C1671" s="4" t="s">
        <v>1149</v>
      </c>
      <c r="D1671" t="s">
        <v>1350</v>
      </c>
      <c r="E1671" t="s">
        <v>1351</v>
      </c>
      <c r="G1671" s="4" t="s">
        <v>1165</v>
      </c>
      <c r="H1671" t="s">
        <v>1165</v>
      </c>
      <c r="I1671" t="s">
        <v>1328</v>
      </c>
      <c r="J1671" t="s">
        <v>1337</v>
      </c>
      <c r="K1671" t="s">
        <v>1338</v>
      </c>
      <c r="L1671">
        <v>2000</v>
      </c>
      <c r="M1671" t="s">
        <v>1327</v>
      </c>
      <c r="O1671">
        <v>2005</v>
      </c>
      <c r="P1671">
        <v>2005</v>
      </c>
      <c r="Q1671" t="s">
        <v>1329</v>
      </c>
      <c r="R1671">
        <v>10</v>
      </c>
      <c r="T1671" t="s">
        <v>1330</v>
      </c>
      <c r="U1671" t="s">
        <v>1246</v>
      </c>
      <c r="V1671" s="9" t="s">
        <v>1332</v>
      </c>
      <c r="W1671">
        <v>0</v>
      </c>
      <c r="X1671" s="9" t="s">
        <v>1264</v>
      </c>
      <c r="Z1671">
        <v>0</v>
      </c>
      <c r="AD1671" t="s">
        <v>1165</v>
      </c>
      <c r="AF1671" t="s">
        <v>1165</v>
      </c>
      <c r="AI1671" t="s">
        <v>1165</v>
      </c>
      <c r="AJ1671" s="4" t="s">
        <v>1148</v>
      </c>
      <c r="AK1671" s="4">
        <v>13.287000000000001</v>
      </c>
      <c r="AP1671" s="4">
        <v>28</v>
      </c>
      <c r="AQ1671" t="s">
        <v>1336</v>
      </c>
      <c r="AR1671" s="4" t="s">
        <v>1335</v>
      </c>
      <c r="AS1671" t="s">
        <v>3000</v>
      </c>
    </row>
    <row r="1672" spans="1:45" x14ac:dyDescent="0.2">
      <c r="A1672" t="s">
        <v>1326</v>
      </c>
      <c r="B1672" s="4" t="s">
        <v>1146</v>
      </c>
      <c r="C1672" s="4" t="s">
        <v>1149</v>
      </c>
      <c r="D1672" t="s">
        <v>1350</v>
      </c>
      <c r="E1672" t="s">
        <v>1351</v>
      </c>
      <c r="G1672" s="4" t="s">
        <v>1165</v>
      </c>
      <c r="H1672" t="s">
        <v>1165</v>
      </c>
      <c r="I1672" t="s">
        <v>1328</v>
      </c>
      <c r="J1672" t="s">
        <v>1337</v>
      </c>
      <c r="K1672" t="s">
        <v>1338</v>
      </c>
      <c r="L1672">
        <v>2000</v>
      </c>
      <c r="M1672" t="s">
        <v>1327</v>
      </c>
      <c r="O1672">
        <v>2005</v>
      </c>
      <c r="P1672">
        <v>2005</v>
      </c>
      <c r="Q1672" t="s">
        <v>1329</v>
      </c>
      <c r="R1672">
        <v>10</v>
      </c>
      <c r="T1672" t="s">
        <v>1330</v>
      </c>
      <c r="U1672" t="s">
        <v>1246</v>
      </c>
      <c r="V1672" s="9" t="s">
        <v>1332</v>
      </c>
      <c r="W1672">
        <v>0</v>
      </c>
      <c r="X1672" s="9" t="s">
        <v>1334</v>
      </c>
      <c r="Z1672">
        <v>0</v>
      </c>
      <c r="AD1672" t="s">
        <v>1165</v>
      </c>
      <c r="AF1672" t="s">
        <v>1165</v>
      </c>
      <c r="AI1672" t="s">
        <v>1165</v>
      </c>
      <c r="AJ1672" s="4" t="s">
        <v>1148</v>
      </c>
      <c r="AK1672" s="4">
        <v>1.181</v>
      </c>
      <c r="AP1672" s="4">
        <v>28</v>
      </c>
      <c r="AQ1672" t="s">
        <v>1336</v>
      </c>
      <c r="AR1672" s="4" t="s">
        <v>1335</v>
      </c>
      <c r="AS1672" t="s">
        <v>3000</v>
      </c>
    </row>
    <row r="1673" spans="1:45" x14ac:dyDescent="0.2">
      <c r="A1673" t="s">
        <v>1326</v>
      </c>
      <c r="B1673" s="4" t="s">
        <v>1146</v>
      </c>
      <c r="C1673" s="4" t="s">
        <v>1149</v>
      </c>
      <c r="D1673" t="s">
        <v>1350</v>
      </c>
      <c r="E1673" t="s">
        <v>1351</v>
      </c>
      <c r="G1673" s="4" t="s">
        <v>1165</v>
      </c>
      <c r="H1673" t="s">
        <v>1165</v>
      </c>
      <c r="I1673" t="s">
        <v>1328</v>
      </c>
      <c r="J1673" t="s">
        <v>1337</v>
      </c>
      <c r="K1673" t="s">
        <v>1338</v>
      </c>
      <c r="L1673">
        <v>2000</v>
      </c>
      <c r="M1673" t="s">
        <v>1327</v>
      </c>
      <c r="O1673">
        <v>2005</v>
      </c>
      <c r="P1673">
        <v>2005</v>
      </c>
      <c r="Q1673" t="s">
        <v>1329</v>
      </c>
      <c r="R1673">
        <v>10</v>
      </c>
      <c r="T1673" t="s">
        <v>1330</v>
      </c>
      <c r="U1673" t="s">
        <v>1246</v>
      </c>
      <c r="V1673" s="9" t="s">
        <v>1332</v>
      </c>
      <c r="W1673">
        <v>17.5</v>
      </c>
      <c r="X1673" s="9" t="s">
        <v>1333</v>
      </c>
      <c r="Z1673">
        <v>12</v>
      </c>
      <c r="AD1673" t="s">
        <v>1165</v>
      </c>
      <c r="AF1673" t="s">
        <v>1165</v>
      </c>
      <c r="AI1673" t="s">
        <v>1165</v>
      </c>
      <c r="AJ1673" s="4" t="s">
        <v>1148</v>
      </c>
      <c r="AK1673" s="4">
        <v>96.26</v>
      </c>
      <c r="AP1673" s="4">
        <v>28</v>
      </c>
      <c r="AQ1673" t="s">
        <v>1336</v>
      </c>
      <c r="AR1673" s="4" t="s">
        <v>1335</v>
      </c>
      <c r="AS1673" t="s">
        <v>3000</v>
      </c>
    </row>
    <row r="1674" spans="1:45" x14ac:dyDescent="0.2">
      <c r="A1674" t="s">
        <v>1326</v>
      </c>
      <c r="B1674" s="4" t="s">
        <v>1146</v>
      </c>
      <c r="C1674" s="4" t="s">
        <v>1149</v>
      </c>
      <c r="D1674" t="s">
        <v>1350</v>
      </c>
      <c r="E1674" t="s">
        <v>1351</v>
      </c>
      <c r="G1674" s="4" t="s">
        <v>1165</v>
      </c>
      <c r="H1674" t="s">
        <v>1165</v>
      </c>
      <c r="I1674" t="s">
        <v>1328</v>
      </c>
      <c r="J1674" t="s">
        <v>1337</v>
      </c>
      <c r="K1674" t="s">
        <v>1338</v>
      </c>
      <c r="L1674">
        <v>2000</v>
      </c>
      <c r="M1674" t="s">
        <v>1327</v>
      </c>
      <c r="O1674">
        <v>2005</v>
      </c>
      <c r="P1674">
        <v>2005</v>
      </c>
      <c r="Q1674" t="s">
        <v>1329</v>
      </c>
      <c r="R1674">
        <v>10</v>
      </c>
      <c r="T1674" t="s">
        <v>1330</v>
      </c>
      <c r="U1674" t="s">
        <v>1246</v>
      </c>
      <c r="V1674" s="9" t="s">
        <v>1332</v>
      </c>
      <c r="W1674">
        <v>17.5</v>
      </c>
      <c r="X1674" s="9" t="s">
        <v>1264</v>
      </c>
      <c r="Z1674">
        <v>12</v>
      </c>
      <c r="AD1674" t="s">
        <v>1165</v>
      </c>
      <c r="AF1674" t="s">
        <v>1165</v>
      </c>
      <c r="AI1674" t="s">
        <v>1165</v>
      </c>
      <c r="AJ1674" s="4" t="s">
        <v>1148</v>
      </c>
      <c r="AK1674" s="4">
        <v>100</v>
      </c>
      <c r="AP1674" s="4">
        <v>28</v>
      </c>
      <c r="AQ1674" t="s">
        <v>1336</v>
      </c>
      <c r="AR1674" s="4" t="s">
        <v>1335</v>
      </c>
      <c r="AS1674" t="s">
        <v>3000</v>
      </c>
    </row>
    <row r="1675" spans="1:45" x14ac:dyDescent="0.2">
      <c r="A1675" t="s">
        <v>1326</v>
      </c>
      <c r="B1675" s="4" t="s">
        <v>1146</v>
      </c>
      <c r="C1675" s="4" t="s">
        <v>1149</v>
      </c>
      <c r="D1675" t="s">
        <v>1350</v>
      </c>
      <c r="E1675" t="s">
        <v>1351</v>
      </c>
      <c r="G1675" s="4" t="s">
        <v>1165</v>
      </c>
      <c r="H1675" t="s">
        <v>1165</v>
      </c>
      <c r="I1675" t="s">
        <v>1328</v>
      </c>
      <c r="J1675" t="s">
        <v>1337</v>
      </c>
      <c r="K1675" t="s">
        <v>1338</v>
      </c>
      <c r="L1675">
        <v>2000</v>
      </c>
      <c r="M1675" t="s">
        <v>1327</v>
      </c>
      <c r="O1675">
        <v>2005</v>
      </c>
      <c r="P1675">
        <v>2005</v>
      </c>
      <c r="Q1675" t="s">
        <v>1329</v>
      </c>
      <c r="R1675">
        <v>10</v>
      </c>
      <c r="T1675" t="s">
        <v>1330</v>
      </c>
      <c r="U1675" t="s">
        <v>1246</v>
      </c>
      <c r="V1675" s="9" t="s">
        <v>1332</v>
      </c>
      <c r="W1675">
        <v>17.5</v>
      </c>
      <c r="X1675" s="9" t="s">
        <v>1261</v>
      </c>
      <c r="Z1675">
        <v>12</v>
      </c>
      <c r="AD1675" t="s">
        <v>1165</v>
      </c>
      <c r="AF1675" t="s">
        <v>1165</v>
      </c>
      <c r="AI1675" t="s">
        <v>1165</v>
      </c>
      <c r="AJ1675" s="4" t="s">
        <v>1148</v>
      </c>
      <c r="AK1675" s="4">
        <v>76.28</v>
      </c>
      <c r="AP1675" s="4">
        <v>28</v>
      </c>
      <c r="AQ1675" t="s">
        <v>1336</v>
      </c>
      <c r="AR1675" s="4" t="s">
        <v>1335</v>
      </c>
      <c r="AS1675" t="s">
        <v>3000</v>
      </c>
    </row>
    <row r="1676" spans="1:45" x14ac:dyDescent="0.2">
      <c r="A1676" t="s">
        <v>1326</v>
      </c>
      <c r="B1676" s="4" t="s">
        <v>1146</v>
      </c>
      <c r="C1676" s="4" t="s">
        <v>1149</v>
      </c>
      <c r="D1676" t="s">
        <v>1350</v>
      </c>
      <c r="E1676" t="s">
        <v>1351</v>
      </c>
      <c r="G1676" s="4" t="s">
        <v>1165</v>
      </c>
      <c r="H1676" t="s">
        <v>1165</v>
      </c>
      <c r="I1676" t="s">
        <v>1328</v>
      </c>
      <c r="J1676" t="s">
        <v>1337</v>
      </c>
      <c r="K1676" t="s">
        <v>1338</v>
      </c>
      <c r="L1676">
        <v>2000</v>
      </c>
      <c r="M1676" t="s">
        <v>1327</v>
      </c>
      <c r="O1676">
        <v>2005</v>
      </c>
      <c r="P1676">
        <v>2005</v>
      </c>
      <c r="Q1676" t="s">
        <v>1329</v>
      </c>
      <c r="R1676">
        <v>10</v>
      </c>
      <c r="T1676" t="s">
        <v>1330</v>
      </c>
      <c r="U1676" t="s">
        <v>1246</v>
      </c>
      <c r="V1676" s="9" t="s">
        <v>1332</v>
      </c>
      <c r="W1676">
        <v>17.5</v>
      </c>
      <c r="X1676" s="9" t="s">
        <v>1334</v>
      </c>
      <c r="Z1676">
        <v>12</v>
      </c>
      <c r="AD1676" t="s">
        <v>1165</v>
      </c>
      <c r="AF1676" t="s">
        <v>1165</v>
      </c>
      <c r="AI1676" t="s">
        <v>1165</v>
      </c>
      <c r="AJ1676" s="4" t="s">
        <v>1148</v>
      </c>
      <c r="AK1676" s="4">
        <v>53.838999999999999</v>
      </c>
      <c r="AP1676" s="4">
        <v>28</v>
      </c>
      <c r="AQ1676" t="s">
        <v>1336</v>
      </c>
      <c r="AR1676" s="4" t="s">
        <v>1335</v>
      </c>
      <c r="AS1676" t="s">
        <v>3000</v>
      </c>
    </row>
    <row r="1677" spans="1:45" x14ac:dyDescent="0.2">
      <c r="A1677" t="s">
        <v>1326</v>
      </c>
      <c r="B1677" s="4" t="s">
        <v>1146</v>
      </c>
      <c r="C1677" s="4" t="s">
        <v>1149</v>
      </c>
      <c r="D1677" t="s">
        <v>1350</v>
      </c>
      <c r="E1677" t="s">
        <v>1351</v>
      </c>
      <c r="G1677" s="4" t="s">
        <v>1165</v>
      </c>
      <c r="H1677" t="s">
        <v>1165</v>
      </c>
      <c r="I1677" t="s">
        <v>1328</v>
      </c>
      <c r="J1677" t="s">
        <v>1337</v>
      </c>
      <c r="K1677" t="s">
        <v>1338</v>
      </c>
      <c r="L1677">
        <v>2000</v>
      </c>
      <c r="M1677" t="s">
        <v>1327</v>
      </c>
      <c r="O1677">
        <v>2005</v>
      </c>
      <c r="P1677">
        <v>2005</v>
      </c>
      <c r="Q1677" t="s">
        <v>1329</v>
      </c>
      <c r="R1677">
        <v>10</v>
      </c>
      <c r="T1677" t="s">
        <v>1330</v>
      </c>
      <c r="U1677" t="s">
        <v>1246</v>
      </c>
      <c r="V1677" s="9" t="s">
        <v>1332</v>
      </c>
      <c r="W1677">
        <v>17.5</v>
      </c>
      <c r="X1677" s="9" t="s">
        <v>1333</v>
      </c>
      <c r="Z1677">
        <v>0</v>
      </c>
      <c r="AD1677" t="s">
        <v>1165</v>
      </c>
      <c r="AF1677" t="s">
        <v>1165</v>
      </c>
      <c r="AI1677" t="s">
        <v>1165</v>
      </c>
      <c r="AJ1677" s="4" t="s">
        <v>1148</v>
      </c>
      <c r="AK1677" s="4">
        <v>85.92</v>
      </c>
      <c r="AP1677" s="4">
        <v>28</v>
      </c>
      <c r="AQ1677" t="s">
        <v>1336</v>
      </c>
      <c r="AR1677" s="4" t="s">
        <v>1335</v>
      </c>
      <c r="AS1677" t="s">
        <v>3000</v>
      </c>
    </row>
    <row r="1678" spans="1:45" x14ac:dyDescent="0.2">
      <c r="A1678" t="s">
        <v>1326</v>
      </c>
      <c r="B1678" s="4" t="s">
        <v>1146</v>
      </c>
      <c r="C1678" s="4" t="s">
        <v>1149</v>
      </c>
      <c r="D1678" t="s">
        <v>1350</v>
      </c>
      <c r="E1678" t="s">
        <v>1351</v>
      </c>
      <c r="G1678" s="4" t="s">
        <v>1165</v>
      </c>
      <c r="H1678" t="s">
        <v>1165</v>
      </c>
      <c r="I1678" t="s">
        <v>1328</v>
      </c>
      <c r="J1678" t="s">
        <v>1337</v>
      </c>
      <c r="K1678" t="s">
        <v>1338</v>
      </c>
      <c r="L1678">
        <v>2000</v>
      </c>
      <c r="M1678" t="s">
        <v>1327</v>
      </c>
      <c r="O1678">
        <v>2005</v>
      </c>
      <c r="P1678">
        <v>2005</v>
      </c>
      <c r="Q1678" t="s">
        <v>1329</v>
      </c>
      <c r="R1678">
        <v>10</v>
      </c>
      <c r="T1678" t="s">
        <v>1330</v>
      </c>
      <c r="U1678" t="s">
        <v>1246</v>
      </c>
      <c r="V1678" s="9" t="s">
        <v>1332</v>
      </c>
      <c r="W1678">
        <v>17.5</v>
      </c>
      <c r="X1678" s="9" t="s">
        <v>1264</v>
      </c>
      <c r="Z1678">
        <v>0</v>
      </c>
      <c r="AD1678" t="s">
        <v>1165</v>
      </c>
      <c r="AF1678" t="s">
        <v>1165</v>
      </c>
      <c r="AI1678" t="s">
        <v>1165</v>
      </c>
      <c r="AJ1678" s="4" t="s">
        <v>1148</v>
      </c>
      <c r="AK1678" s="4">
        <v>65.84</v>
      </c>
      <c r="AP1678" s="4">
        <v>28</v>
      </c>
      <c r="AQ1678" t="s">
        <v>1336</v>
      </c>
      <c r="AR1678" s="4" t="s">
        <v>1335</v>
      </c>
      <c r="AS1678" t="s">
        <v>3000</v>
      </c>
    </row>
    <row r="1679" spans="1:45" x14ac:dyDescent="0.2">
      <c r="A1679" t="s">
        <v>1326</v>
      </c>
      <c r="B1679" s="4" t="s">
        <v>1146</v>
      </c>
      <c r="C1679" s="4" t="s">
        <v>1149</v>
      </c>
      <c r="D1679" t="s">
        <v>1350</v>
      </c>
      <c r="E1679" t="s">
        <v>1351</v>
      </c>
      <c r="G1679" s="4" t="s">
        <v>1165</v>
      </c>
      <c r="H1679" t="s">
        <v>1165</v>
      </c>
      <c r="I1679" t="s">
        <v>1328</v>
      </c>
      <c r="J1679" t="s">
        <v>1337</v>
      </c>
      <c r="K1679" t="s">
        <v>1338</v>
      </c>
      <c r="L1679">
        <v>2000</v>
      </c>
      <c r="M1679" t="s">
        <v>1327</v>
      </c>
      <c r="O1679">
        <v>2005</v>
      </c>
      <c r="P1679">
        <v>2005</v>
      </c>
      <c r="Q1679" t="s">
        <v>1329</v>
      </c>
      <c r="R1679">
        <v>10</v>
      </c>
      <c r="T1679" t="s">
        <v>1330</v>
      </c>
      <c r="U1679" t="s">
        <v>1246</v>
      </c>
      <c r="V1679" s="9" t="s">
        <v>1332</v>
      </c>
      <c r="W1679">
        <v>17.5</v>
      </c>
      <c r="X1679" s="9" t="s">
        <v>1261</v>
      </c>
      <c r="Z1679">
        <v>0</v>
      </c>
      <c r="AD1679" t="s">
        <v>1165</v>
      </c>
      <c r="AF1679" t="s">
        <v>1165</v>
      </c>
      <c r="AI1679" t="s">
        <v>1165</v>
      </c>
      <c r="AJ1679" s="4" t="s">
        <v>1148</v>
      </c>
      <c r="AK1679" s="4">
        <v>62.3</v>
      </c>
      <c r="AP1679" s="4">
        <v>28</v>
      </c>
      <c r="AQ1679" t="s">
        <v>1336</v>
      </c>
      <c r="AR1679" s="4" t="s">
        <v>1335</v>
      </c>
      <c r="AS1679" t="s">
        <v>3000</v>
      </c>
    </row>
    <row r="1680" spans="1:45" x14ac:dyDescent="0.2">
      <c r="A1680" t="s">
        <v>1326</v>
      </c>
      <c r="B1680" s="4" t="s">
        <v>1146</v>
      </c>
      <c r="C1680" s="4" t="s">
        <v>1149</v>
      </c>
      <c r="D1680" t="s">
        <v>1350</v>
      </c>
      <c r="E1680" t="s">
        <v>1351</v>
      </c>
      <c r="G1680" s="4" t="s">
        <v>1165</v>
      </c>
      <c r="H1680" t="s">
        <v>1165</v>
      </c>
      <c r="I1680" t="s">
        <v>1328</v>
      </c>
      <c r="J1680" t="s">
        <v>1337</v>
      </c>
      <c r="K1680" t="s">
        <v>1338</v>
      </c>
      <c r="L1680">
        <v>2000</v>
      </c>
      <c r="M1680" t="s">
        <v>1327</v>
      </c>
      <c r="O1680">
        <v>2005</v>
      </c>
      <c r="P1680">
        <v>2005</v>
      </c>
      <c r="Q1680" t="s">
        <v>1329</v>
      </c>
      <c r="R1680">
        <v>10</v>
      </c>
      <c r="T1680" t="s">
        <v>1330</v>
      </c>
      <c r="U1680" t="s">
        <v>1246</v>
      </c>
      <c r="V1680" s="9" t="s">
        <v>1332</v>
      </c>
      <c r="W1680">
        <v>17.5</v>
      </c>
      <c r="X1680" s="9" t="s">
        <v>1334</v>
      </c>
      <c r="Z1680">
        <v>0</v>
      </c>
      <c r="AD1680" t="s">
        <v>1165</v>
      </c>
      <c r="AF1680" t="s">
        <v>1165</v>
      </c>
      <c r="AI1680" t="s">
        <v>1165</v>
      </c>
      <c r="AJ1680" s="4" t="s">
        <v>1148</v>
      </c>
      <c r="AK1680" s="4">
        <v>47.53</v>
      </c>
      <c r="AP1680" s="4">
        <v>28</v>
      </c>
      <c r="AQ1680" t="s">
        <v>1336</v>
      </c>
      <c r="AR1680" s="4" t="s">
        <v>1335</v>
      </c>
      <c r="AS1680" t="s">
        <v>3000</v>
      </c>
    </row>
    <row r="1681" spans="1:45" x14ac:dyDescent="0.2">
      <c r="A1681" t="s">
        <v>1326</v>
      </c>
      <c r="B1681" s="4" t="s">
        <v>1146</v>
      </c>
      <c r="C1681" s="4" t="s">
        <v>1149</v>
      </c>
      <c r="D1681" t="s">
        <v>1350</v>
      </c>
      <c r="E1681" t="s">
        <v>1351</v>
      </c>
      <c r="G1681" s="4" t="s">
        <v>1165</v>
      </c>
      <c r="H1681" t="s">
        <v>1165</v>
      </c>
      <c r="I1681" t="s">
        <v>1328</v>
      </c>
      <c r="J1681" t="s">
        <v>1337</v>
      </c>
      <c r="K1681" t="s">
        <v>1338</v>
      </c>
      <c r="L1681">
        <v>2000</v>
      </c>
      <c r="M1681" t="s">
        <v>1327</v>
      </c>
      <c r="O1681">
        <v>2005</v>
      </c>
      <c r="P1681">
        <v>2005</v>
      </c>
      <c r="Q1681" t="s">
        <v>1329</v>
      </c>
      <c r="R1681">
        <v>10</v>
      </c>
      <c r="T1681" t="s">
        <v>1330</v>
      </c>
      <c r="U1681" t="s">
        <v>1246</v>
      </c>
      <c r="V1681" s="9" t="s">
        <v>1332</v>
      </c>
      <c r="W1681">
        <v>35</v>
      </c>
      <c r="X1681" s="9" t="s">
        <v>1333</v>
      </c>
      <c r="Z1681">
        <v>12</v>
      </c>
      <c r="AD1681" t="s">
        <v>1165</v>
      </c>
      <c r="AF1681" t="s">
        <v>1165</v>
      </c>
      <c r="AI1681" t="s">
        <v>1165</v>
      </c>
      <c r="AJ1681" s="4" t="s">
        <v>1148</v>
      </c>
      <c r="AK1681" s="4">
        <v>100</v>
      </c>
      <c r="AP1681" s="4">
        <v>28</v>
      </c>
      <c r="AQ1681" t="s">
        <v>1336</v>
      </c>
      <c r="AR1681" s="4" t="s">
        <v>1335</v>
      </c>
      <c r="AS1681" t="s">
        <v>3000</v>
      </c>
    </row>
    <row r="1682" spans="1:45" x14ac:dyDescent="0.2">
      <c r="A1682" t="s">
        <v>1326</v>
      </c>
      <c r="B1682" s="4" t="s">
        <v>1146</v>
      </c>
      <c r="C1682" s="4" t="s">
        <v>1149</v>
      </c>
      <c r="D1682" t="s">
        <v>1350</v>
      </c>
      <c r="E1682" t="s">
        <v>1351</v>
      </c>
      <c r="G1682" s="4" t="s">
        <v>1165</v>
      </c>
      <c r="H1682" t="s">
        <v>1165</v>
      </c>
      <c r="I1682" t="s">
        <v>1328</v>
      </c>
      <c r="J1682" t="s">
        <v>1337</v>
      </c>
      <c r="K1682" t="s">
        <v>1338</v>
      </c>
      <c r="L1682">
        <v>2000</v>
      </c>
      <c r="M1682" t="s">
        <v>1327</v>
      </c>
      <c r="O1682">
        <v>2005</v>
      </c>
      <c r="P1682">
        <v>2005</v>
      </c>
      <c r="Q1682" t="s">
        <v>1329</v>
      </c>
      <c r="R1682">
        <v>10</v>
      </c>
      <c r="T1682" t="s">
        <v>1330</v>
      </c>
      <c r="U1682" t="s">
        <v>1246</v>
      </c>
      <c r="V1682" s="9" t="s">
        <v>1332</v>
      </c>
      <c r="W1682">
        <v>35</v>
      </c>
      <c r="X1682" s="9" t="s">
        <v>1264</v>
      </c>
      <c r="Z1682">
        <v>12</v>
      </c>
      <c r="AD1682" t="s">
        <v>1165</v>
      </c>
      <c r="AF1682" t="s">
        <v>1165</v>
      </c>
      <c r="AI1682" t="s">
        <v>1165</v>
      </c>
      <c r="AJ1682" s="4" t="s">
        <v>1148</v>
      </c>
      <c r="AK1682" s="4">
        <v>100</v>
      </c>
      <c r="AP1682" s="4">
        <v>28</v>
      </c>
      <c r="AQ1682" t="s">
        <v>1336</v>
      </c>
      <c r="AR1682" s="4" t="s">
        <v>1335</v>
      </c>
      <c r="AS1682" t="s">
        <v>3000</v>
      </c>
    </row>
    <row r="1683" spans="1:45" x14ac:dyDescent="0.2">
      <c r="A1683" t="s">
        <v>1326</v>
      </c>
      <c r="B1683" s="4" t="s">
        <v>1146</v>
      </c>
      <c r="C1683" s="4" t="s">
        <v>1149</v>
      </c>
      <c r="D1683" t="s">
        <v>1350</v>
      </c>
      <c r="E1683" t="s">
        <v>1351</v>
      </c>
      <c r="G1683" s="4" t="s">
        <v>1165</v>
      </c>
      <c r="H1683" t="s">
        <v>1165</v>
      </c>
      <c r="I1683" t="s">
        <v>1328</v>
      </c>
      <c r="J1683" t="s">
        <v>1337</v>
      </c>
      <c r="K1683" t="s">
        <v>1338</v>
      </c>
      <c r="L1683">
        <v>2000</v>
      </c>
      <c r="M1683" t="s">
        <v>1327</v>
      </c>
      <c r="O1683">
        <v>2005</v>
      </c>
      <c r="P1683">
        <v>2005</v>
      </c>
      <c r="Q1683" t="s">
        <v>1329</v>
      </c>
      <c r="R1683">
        <v>10</v>
      </c>
      <c r="T1683" t="s">
        <v>1330</v>
      </c>
      <c r="U1683" t="s">
        <v>1246</v>
      </c>
      <c r="V1683" s="9" t="s">
        <v>1332</v>
      </c>
      <c r="W1683">
        <v>35</v>
      </c>
      <c r="X1683" s="9" t="s">
        <v>1261</v>
      </c>
      <c r="Z1683">
        <v>12</v>
      </c>
      <c r="AD1683" t="s">
        <v>1165</v>
      </c>
      <c r="AF1683" t="s">
        <v>1165</v>
      </c>
      <c r="AI1683" t="s">
        <v>1165</v>
      </c>
      <c r="AJ1683" s="4" t="s">
        <v>1148</v>
      </c>
      <c r="AK1683" s="4">
        <v>93.602000000000004</v>
      </c>
      <c r="AP1683" s="4">
        <v>28</v>
      </c>
      <c r="AQ1683" t="s">
        <v>1336</v>
      </c>
      <c r="AR1683" s="4" t="s">
        <v>1335</v>
      </c>
      <c r="AS1683" t="s">
        <v>3000</v>
      </c>
    </row>
    <row r="1684" spans="1:45" x14ac:dyDescent="0.2">
      <c r="A1684" t="s">
        <v>1326</v>
      </c>
      <c r="B1684" s="4" t="s">
        <v>1146</v>
      </c>
      <c r="C1684" s="4" t="s">
        <v>1149</v>
      </c>
      <c r="D1684" t="s">
        <v>1350</v>
      </c>
      <c r="E1684" t="s">
        <v>1351</v>
      </c>
      <c r="G1684" s="4" t="s">
        <v>1165</v>
      </c>
      <c r="H1684" t="s">
        <v>1165</v>
      </c>
      <c r="I1684" t="s">
        <v>1328</v>
      </c>
      <c r="J1684" t="s">
        <v>1337</v>
      </c>
      <c r="K1684" t="s">
        <v>1338</v>
      </c>
      <c r="L1684">
        <v>2000</v>
      </c>
      <c r="M1684" t="s">
        <v>1327</v>
      </c>
      <c r="O1684">
        <v>2005</v>
      </c>
      <c r="P1684">
        <v>2005</v>
      </c>
      <c r="Q1684" t="s">
        <v>1329</v>
      </c>
      <c r="R1684">
        <v>10</v>
      </c>
      <c r="T1684" t="s">
        <v>1330</v>
      </c>
      <c r="U1684" t="s">
        <v>1246</v>
      </c>
      <c r="V1684" s="9" t="s">
        <v>1332</v>
      </c>
      <c r="W1684">
        <v>35</v>
      </c>
      <c r="X1684" s="9" t="s">
        <v>1334</v>
      </c>
      <c r="Z1684">
        <v>12</v>
      </c>
      <c r="AD1684" t="s">
        <v>1165</v>
      </c>
      <c r="AF1684" t="s">
        <v>1165</v>
      </c>
      <c r="AI1684" t="s">
        <v>1165</v>
      </c>
      <c r="AJ1684" s="4" t="s">
        <v>1148</v>
      </c>
      <c r="AK1684" s="4">
        <v>90.058999999999997</v>
      </c>
      <c r="AP1684" s="4">
        <v>28</v>
      </c>
      <c r="AQ1684" t="s">
        <v>1336</v>
      </c>
      <c r="AR1684" s="4" t="s">
        <v>1335</v>
      </c>
      <c r="AS1684" t="s">
        <v>3000</v>
      </c>
    </row>
    <row r="1685" spans="1:45" x14ac:dyDescent="0.2">
      <c r="A1685" t="s">
        <v>1326</v>
      </c>
      <c r="B1685" s="4" t="s">
        <v>1146</v>
      </c>
      <c r="C1685" s="4" t="s">
        <v>1149</v>
      </c>
      <c r="D1685" t="s">
        <v>1350</v>
      </c>
      <c r="E1685" t="s">
        <v>1351</v>
      </c>
      <c r="G1685" s="4" t="s">
        <v>1165</v>
      </c>
      <c r="H1685" t="s">
        <v>1165</v>
      </c>
      <c r="I1685" t="s">
        <v>1328</v>
      </c>
      <c r="J1685" t="s">
        <v>1337</v>
      </c>
      <c r="K1685" t="s">
        <v>1338</v>
      </c>
      <c r="L1685">
        <v>2000</v>
      </c>
      <c r="M1685" t="s">
        <v>1327</v>
      </c>
      <c r="O1685">
        <v>2005</v>
      </c>
      <c r="P1685">
        <v>2005</v>
      </c>
      <c r="Q1685" t="s">
        <v>1329</v>
      </c>
      <c r="R1685">
        <v>10</v>
      </c>
      <c r="T1685" t="s">
        <v>1330</v>
      </c>
      <c r="U1685" t="s">
        <v>1246</v>
      </c>
      <c r="V1685" s="9" t="s">
        <v>1332</v>
      </c>
      <c r="W1685">
        <v>35</v>
      </c>
      <c r="X1685" s="9" t="s">
        <v>1333</v>
      </c>
      <c r="Z1685">
        <v>0</v>
      </c>
      <c r="AD1685" t="s">
        <v>1165</v>
      </c>
      <c r="AF1685" t="s">
        <v>1165</v>
      </c>
      <c r="AI1685" t="s">
        <v>1165</v>
      </c>
      <c r="AJ1685" s="4" t="s">
        <v>1148</v>
      </c>
      <c r="AK1685" s="4">
        <v>72.046999999999997</v>
      </c>
      <c r="AP1685" s="4">
        <v>28</v>
      </c>
      <c r="AQ1685" t="s">
        <v>1336</v>
      </c>
      <c r="AR1685" s="4" t="s">
        <v>1335</v>
      </c>
      <c r="AS1685" t="s">
        <v>3000</v>
      </c>
    </row>
    <row r="1686" spans="1:45" x14ac:dyDescent="0.2">
      <c r="A1686" t="s">
        <v>1326</v>
      </c>
      <c r="B1686" s="4" t="s">
        <v>1146</v>
      </c>
      <c r="C1686" s="4" t="s">
        <v>1149</v>
      </c>
      <c r="D1686" t="s">
        <v>1350</v>
      </c>
      <c r="E1686" t="s">
        <v>1351</v>
      </c>
      <c r="G1686" s="4" t="s">
        <v>1165</v>
      </c>
      <c r="H1686" t="s">
        <v>1165</v>
      </c>
      <c r="I1686" t="s">
        <v>1328</v>
      </c>
      <c r="J1686" t="s">
        <v>1337</v>
      </c>
      <c r="K1686" t="s">
        <v>1338</v>
      </c>
      <c r="L1686">
        <v>2000</v>
      </c>
      <c r="M1686" t="s">
        <v>1327</v>
      </c>
      <c r="O1686">
        <v>2005</v>
      </c>
      <c r="P1686">
        <v>2005</v>
      </c>
      <c r="Q1686" t="s">
        <v>1329</v>
      </c>
      <c r="R1686">
        <v>10</v>
      </c>
      <c r="T1686" t="s">
        <v>1330</v>
      </c>
      <c r="U1686" t="s">
        <v>1246</v>
      </c>
      <c r="V1686" s="9" t="s">
        <v>1332</v>
      </c>
      <c r="W1686">
        <v>35</v>
      </c>
      <c r="X1686" s="9" t="s">
        <v>1264</v>
      </c>
      <c r="Z1686">
        <v>0</v>
      </c>
      <c r="AD1686" t="s">
        <v>1165</v>
      </c>
      <c r="AF1686" t="s">
        <v>1165</v>
      </c>
      <c r="AI1686" t="s">
        <v>1165</v>
      </c>
      <c r="AJ1686" s="4" t="s">
        <v>1148</v>
      </c>
      <c r="AK1686" s="4">
        <v>68.799000000000007</v>
      </c>
      <c r="AP1686" s="4">
        <v>28</v>
      </c>
      <c r="AQ1686" t="s">
        <v>1336</v>
      </c>
      <c r="AR1686" s="4" t="s">
        <v>1335</v>
      </c>
      <c r="AS1686" t="s">
        <v>3000</v>
      </c>
    </row>
    <row r="1687" spans="1:45" x14ac:dyDescent="0.2">
      <c r="A1687" t="s">
        <v>1326</v>
      </c>
      <c r="B1687" s="4" t="s">
        <v>1146</v>
      </c>
      <c r="C1687" s="4" t="s">
        <v>1149</v>
      </c>
      <c r="D1687" t="s">
        <v>1350</v>
      </c>
      <c r="E1687" t="s">
        <v>1351</v>
      </c>
      <c r="G1687" s="4" t="s">
        <v>1165</v>
      </c>
      <c r="H1687" t="s">
        <v>1165</v>
      </c>
      <c r="I1687" t="s">
        <v>1328</v>
      </c>
      <c r="J1687" t="s">
        <v>1337</v>
      </c>
      <c r="K1687" t="s">
        <v>1338</v>
      </c>
      <c r="L1687">
        <v>2000</v>
      </c>
      <c r="M1687" t="s">
        <v>1327</v>
      </c>
      <c r="O1687">
        <v>2005</v>
      </c>
      <c r="P1687">
        <v>2005</v>
      </c>
      <c r="Q1687" t="s">
        <v>1329</v>
      </c>
      <c r="R1687">
        <v>10</v>
      </c>
      <c r="T1687" t="s">
        <v>1330</v>
      </c>
      <c r="U1687" t="s">
        <v>1246</v>
      </c>
      <c r="V1687" s="9" t="s">
        <v>1332</v>
      </c>
      <c r="W1687">
        <v>35</v>
      </c>
      <c r="X1687" s="9" t="s">
        <v>1261</v>
      </c>
      <c r="Z1687">
        <v>0</v>
      </c>
      <c r="AD1687" t="s">
        <v>1165</v>
      </c>
      <c r="AF1687" t="s">
        <v>1165</v>
      </c>
      <c r="AI1687" t="s">
        <v>1165</v>
      </c>
      <c r="AJ1687" s="4" t="s">
        <v>1148</v>
      </c>
      <c r="AK1687" s="4">
        <v>69.685000000000002</v>
      </c>
      <c r="AP1687" s="4">
        <v>28</v>
      </c>
      <c r="AQ1687" t="s">
        <v>1336</v>
      </c>
      <c r="AR1687" s="4" t="s">
        <v>1335</v>
      </c>
      <c r="AS1687" t="s">
        <v>3000</v>
      </c>
    </row>
    <row r="1688" spans="1:45" x14ac:dyDescent="0.2">
      <c r="A1688" t="s">
        <v>1326</v>
      </c>
      <c r="B1688" s="4" t="s">
        <v>1146</v>
      </c>
      <c r="C1688" s="4" t="s">
        <v>1149</v>
      </c>
      <c r="D1688" t="s">
        <v>1350</v>
      </c>
      <c r="E1688" t="s">
        <v>1351</v>
      </c>
      <c r="G1688" s="4" t="s">
        <v>1165</v>
      </c>
      <c r="H1688" t="s">
        <v>1165</v>
      </c>
      <c r="I1688" t="s">
        <v>1328</v>
      </c>
      <c r="J1688" t="s">
        <v>1337</v>
      </c>
      <c r="K1688" t="s">
        <v>1338</v>
      </c>
      <c r="L1688">
        <v>2000</v>
      </c>
      <c r="M1688" t="s">
        <v>1327</v>
      </c>
      <c r="O1688">
        <v>2005</v>
      </c>
      <c r="P1688">
        <v>2005</v>
      </c>
      <c r="Q1688" t="s">
        <v>1329</v>
      </c>
      <c r="R1688">
        <v>10</v>
      </c>
      <c r="T1688" t="s">
        <v>1330</v>
      </c>
      <c r="U1688" t="s">
        <v>1246</v>
      </c>
      <c r="V1688" s="9" t="s">
        <v>1332</v>
      </c>
      <c r="W1688">
        <v>35</v>
      </c>
      <c r="X1688" s="9" t="s">
        <v>1334</v>
      </c>
      <c r="Z1688">
        <v>0</v>
      </c>
      <c r="AD1688" t="s">
        <v>1165</v>
      </c>
      <c r="AF1688" t="s">
        <v>1165</v>
      </c>
      <c r="AI1688" t="s">
        <v>1165</v>
      </c>
      <c r="AJ1688" s="4" t="s">
        <v>1148</v>
      </c>
      <c r="AK1688" s="4">
        <v>75.590999999999994</v>
      </c>
      <c r="AP1688" s="4">
        <v>28</v>
      </c>
      <c r="AQ1688" t="s">
        <v>1336</v>
      </c>
      <c r="AR1688" s="4" t="s">
        <v>1335</v>
      </c>
      <c r="AS1688" t="s">
        <v>3000</v>
      </c>
    </row>
    <row r="1689" spans="1:45" x14ac:dyDescent="0.2">
      <c r="A1689" t="s">
        <v>1326</v>
      </c>
      <c r="B1689" s="4" t="s">
        <v>1146</v>
      </c>
      <c r="C1689" s="4" t="s">
        <v>1149</v>
      </c>
      <c r="D1689" t="s">
        <v>1350</v>
      </c>
      <c r="E1689" t="s">
        <v>1351</v>
      </c>
      <c r="G1689" s="4" t="s">
        <v>1165</v>
      </c>
      <c r="H1689" t="s">
        <v>1165</v>
      </c>
      <c r="I1689" t="s">
        <v>1328</v>
      </c>
      <c r="J1689" t="s">
        <v>1337</v>
      </c>
      <c r="K1689" t="s">
        <v>1338</v>
      </c>
      <c r="L1689">
        <v>2000</v>
      </c>
      <c r="M1689" t="s">
        <v>1327</v>
      </c>
      <c r="O1689">
        <v>2005</v>
      </c>
      <c r="P1689">
        <v>2005</v>
      </c>
      <c r="Q1689" t="s">
        <v>1329</v>
      </c>
      <c r="R1689">
        <v>10</v>
      </c>
      <c r="T1689" t="s">
        <v>1330</v>
      </c>
      <c r="U1689" t="s">
        <v>1246</v>
      </c>
      <c r="V1689" s="9" t="s">
        <v>1332</v>
      </c>
      <c r="W1689">
        <v>70</v>
      </c>
      <c r="X1689" s="9" t="s">
        <v>1333</v>
      </c>
      <c r="Z1689">
        <v>12</v>
      </c>
      <c r="AD1689" t="s">
        <v>1165</v>
      </c>
      <c r="AF1689" t="s">
        <v>1165</v>
      </c>
      <c r="AI1689" t="s">
        <v>1165</v>
      </c>
      <c r="AJ1689" s="4" t="s">
        <v>1148</v>
      </c>
      <c r="AK1689" s="4">
        <v>100</v>
      </c>
      <c r="AP1689" s="4">
        <v>28</v>
      </c>
      <c r="AQ1689" t="s">
        <v>1336</v>
      </c>
      <c r="AR1689" s="4" t="s">
        <v>1335</v>
      </c>
      <c r="AS1689" t="s">
        <v>3000</v>
      </c>
    </row>
    <row r="1690" spans="1:45" x14ac:dyDescent="0.2">
      <c r="A1690" t="s">
        <v>1326</v>
      </c>
      <c r="B1690" s="4" t="s">
        <v>1146</v>
      </c>
      <c r="C1690" s="4" t="s">
        <v>1149</v>
      </c>
      <c r="D1690" t="s">
        <v>1350</v>
      </c>
      <c r="E1690" t="s">
        <v>1351</v>
      </c>
      <c r="G1690" s="4" t="s">
        <v>1165</v>
      </c>
      <c r="H1690" t="s">
        <v>1165</v>
      </c>
      <c r="I1690" t="s">
        <v>1328</v>
      </c>
      <c r="J1690" t="s">
        <v>1337</v>
      </c>
      <c r="K1690" t="s">
        <v>1338</v>
      </c>
      <c r="L1690">
        <v>2000</v>
      </c>
      <c r="M1690" t="s">
        <v>1327</v>
      </c>
      <c r="O1690">
        <v>2005</v>
      </c>
      <c r="P1690">
        <v>2005</v>
      </c>
      <c r="Q1690" t="s">
        <v>1329</v>
      </c>
      <c r="R1690">
        <v>10</v>
      </c>
      <c r="T1690" t="s">
        <v>1330</v>
      </c>
      <c r="U1690" t="s">
        <v>1246</v>
      </c>
      <c r="V1690" s="9" t="s">
        <v>1332</v>
      </c>
      <c r="W1690">
        <v>70</v>
      </c>
      <c r="X1690" s="9" t="s">
        <v>1264</v>
      </c>
      <c r="Z1690">
        <v>12</v>
      </c>
      <c r="AD1690" t="s">
        <v>1165</v>
      </c>
      <c r="AF1690" t="s">
        <v>1165</v>
      </c>
      <c r="AI1690" t="s">
        <v>1165</v>
      </c>
      <c r="AJ1690" s="4" t="s">
        <v>1148</v>
      </c>
      <c r="AK1690" s="4">
        <v>100</v>
      </c>
      <c r="AP1690" s="4">
        <v>28</v>
      </c>
      <c r="AQ1690" t="s">
        <v>1336</v>
      </c>
      <c r="AR1690" s="4" t="s">
        <v>1335</v>
      </c>
      <c r="AS1690" t="s">
        <v>3000</v>
      </c>
    </row>
    <row r="1691" spans="1:45" x14ac:dyDescent="0.2">
      <c r="A1691" t="s">
        <v>1326</v>
      </c>
      <c r="B1691" s="4" t="s">
        <v>1146</v>
      </c>
      <c r="C1691" s="4" t="s">
        <v>1149</v>
      </c>
      <c r="D1691" t="s">
        <v>1350</v>
      </c>
      <c r="E1691" t="s">
        <v>1351</v>
      </c>
      <c r="G1691" s="4" t="s">
        <v>1165</v>
      </c>
      <c r="H1691" t="s">
        <v>1165</v>
      </c>
      <c r="I1691" t="s">
        <v>1328</v>
      </c>
      <c r="J1691" t="s">
        <v>1337</v>
      </c>
      <c r="K1691" t="s">
        <v>1338</v>
      </c>
      <c r="L1691">
        <v>2000</v>
      </c>
      <c r="M1691" t="s">
        <v>1327</v>
      </c>
      <c r="O1691">
        <v>2005</v>
      </c>
      <c r="P1691">
        <v>2005</v>
      </c>
      <c r="Q1691" t="s">
        <v>1329</v>
      </c>
      <c r="R1691">
        <v>10</v>
      </c>
      <c r="T1691" t="s">
        <v>1330</v>
      </c>
      <c r="U1691" t="s">
        <v>1246</v>
      </c>
      <c r="V1691" s="9" t="s">
        <v>1332</v>
      </c>
      <c r="W1691">
        <v>70</v>
      </c>
      <c r="X1691" s="9" t="s">
        <v>1261</v>
      </c>
      <c r="Z1691">
        <v>12</v>
      </c>
      <c r="AD1691" t="s">
        <v>1165</v>
      </c>
      <c r="AF1691" t="s">
        <v>1165</v>
      </c>
      <c r="AI1691" t="s">
        <v>1165</v>
      </c>
      <c r="AJ1691" s="4" t="s">
        <v>1148</v>
      </c>
      <c r="AK1691" s="4">
        <v>93.307000000000002</v>
      </c>
      <c r="AP1691" s="4">
        <v>28</v>
      </c>
      <c r="AQ1691" t="s">
        <v>1336</v>
      </c>
      <c r="AR1691" s="4" t="s">
        <v>1335</v>
      </c>
      <c r="AS1691" t="s">
        <v>3000</v>
      </c>
    </row>
    <row r="1692" spans="1:45" x14ac:dyDescent="0.2">
      <c r="A1692" t="s">
        <v>1326</v>
      </c>
      <c r="B1692" s="4" t="s">
        <v>1146</v>
      </c>
      <c r="C1692" s="4" t="s">
        <v>1149</v>
      </c>
      <c r="D1692" t="s">
        <v>1350</v>
      </c>
      <c r="E1692" t="s">
        <v>1351</v>
      </c>
      <c r="G1692" s="4" t="s">
        <v>1165</v>
      </c>
      <c r="H1692" t="s">
        <v>1165</v>
      </c>
      <c r="I1692" t="s">
        <v>1328</v>
      </c>
      <c r="J1692" t="s">
        <v>1337</v>
      </c>
      <c r="K1692" t="s">
        <v>1338</v>
      </c>
      <c r="L1692">
        <v>2000</v>
      </c>
      <c r="M1692" t="s">
        <v>1327</v>
      </c>
      <c r="O1692">
        <v>2005</v>
      </c>
      <c r="P1692">
        <v>2005</v>
      </c>
      <c r="Q1692" t="s">
        <v>1329</v>
      </c>
      <c r="R1692">
        <v>10</v>
      </c>
      <c r="T1692" t="s">
        <v>1330</v>
      </c>
      <c r="U1692" t="s">
        <v>1246</v>
      </c>
      <c r="V1692" s="9" t="s">
        <v>1332</v>
      </c>
      <c r="W1692">
        <v>70</v>
      </c>
      <c r="X1692" s="9" t="s">
        <v>1334</v>
      </c>
      <c r="Z1692">
        <v>12</v>
      </c>
      <c r="AD1692" t="s">
        <v>1165</v>
      </c>
      <c r="AF1692" t="s">
        <v>1165</v>
      </c>
      <c r="AI1692" t="s">
        <v>1165</v>
      </c>
      <c r="AJ1692" s="4" t="s">
        <v>1148</v>
      </c>
      <c r="AK1692" s="4">
        <v>89.468999999999994</v>
      </c>
      <c r="AP1692" s="4">
        <v>28</v>
      </c>
      <c r="AQ1692" t="s">
        <v>1336</v>
      </c>
      <c r="AR1692" s="4" t="s">
        <v>1335</v>
      </c>
      <c r="AS1692" t="s">
        <v>3000</v>
      </c>
    </row>
    <row r="1693" spans="1:45" x14ac:dyDescent="0.2">
      <c r="A1693" t="s">
        <v>1326</v>
      </c>
      <c r="B1693" s="4" t="s">
        <v>1146</v>
      </c>
      <c r="C1693" s="4" t="s">
        <v>1149</v>
      </c>
      <c r="D1693" t="s">
        <v>1350</v>
      </c>
      <c r="E1693" t="s">
        <v>1351</v>
      </c>
      <c r="G1693" s="4" t="s">
        <v>1165</v>
      </c>
      <c r="H1693" t="s">
        <v>1165</v>
      </c>
      <c r="I1693" t="s">
        <v>1328</v>
      </c>
      <c r="J1693" t="s">
        <v>1337</v>
      </c>
      <c r="K1693" t="s">
        <v>1338</v>
      </c>
      <c r="L1693">
        <v>2000</v>
      </c>
      <c r="M1693" t="s">
        <v>1327</v>
      </c>
      <c r="O1693">
        <v>2005</v>
      </c>
      <c r="P1693">
        <v>2005</v>
      </c>
      <c r="Q1693" t="s">
        <v>1329</v>
      </c>
      <c r="R1693">
        <v>10</v>
      </c>
      <c r="T1693" t="s">
        <v>1330</v>
      </c>
      <c r="U1693" t="s">
        <v>1246</v>
      </c>
      <c r="V1693" s="9" t="s">
        <v>1332</v>
      </c>
      <c r="W1693">
        <v>70</v>
      </c>
      <c r="X1693" s="9" t="s">
        <v>1333</v>
      </c>
      <c r="Z1693">
        <v>0</v>
      </c>
      <c r="AD1693" t="s">
        <v>1165</v>
      </c>
      <c r="AF1693" t="s">
        <v>1165</v>
      </c>
      <c r="AI1693" t="s">
        <v>1165</v>
      </c>
      <c r="AJ1693" s="4" t="s">
        <v>1148</v>
      </c>
      <c r="AK1693" s="4">
        <v>72.933000000000007</v>
      </c>
      <c r="AP1693" s="4">
        <v>28</v>
      </c>
      <c r="AQ1693" t="s">
        <v>1336</v>
      </c>
      <c r="AR1693" s="4" t="s">
        <v>1335</v>
      </c>
      <c r="AS1693" t="s">
        <v>3000</v>
      </c>
    </row>
    <row r="1694" spans="1:45" x14ac:dyDescent="0.2">
      <c r="A1694" t="s">
        <v>1326</v>
      </c>
      <c r="B1694" s="4" t="s">
        <v>1146</v>
      </c>
      <c r="C1694" s="4" t="s">
        <v>1149</v>
      </c>
      <c r="D1694" t="s">
        <v>1350</v>
      </c>
      <c r="E1694" t="s">
        <v>1351</v>
      </c>
      <c r="G1694" s="4" t="s">
        <v>1165</v>
      </c>
      <c r="H1694" t="s">
        <v>1165</v>
      </c>
      <c r="I1694" t="s">
        <v>1328</v>
      </c>
      <c r="J1694" t="s">
        <v>1337</v>
      </c>
      <c r="K1694" t="s">
        <v>1338</v>
      </c>
      <c r="L1694">
        <v>2000</v>
      </c>
      <c r="M1694" t="s">
        <v>1327</v>
      </c>
      <c r="O1694">
        <v>2005</v>
      </c>
      <c r="P1694">
        <v>2005</v>
      </c>
      <c r="Q1694" t="s">
        <v>1329</v>
      </c>
      <c r="R1694">
        <v>10</v>
      </c>
      <c r="T1694" t="s">
        <v>1330</v>
      </c>
      <c r="U1694" t="s">
        <v>1246</v>
      </c>
      <c r="V1694" s="9" t="s">
        <v>1332</v>
      </c>
      <c r="W1694">
        <v>70</v>
      </c>
      <c r="X1694" s="9" t="s">
        <v>1264</v>
      </c>
      <c r="Z1694">
        <v>0</v>
      </c>
      <c r="AD1694" t="s">
        <v>1165</v>
      </c>
      <c r="AF1694" t="s">
        <v>1165</v>
      </c>
      <c r="AI1694" t="s">
        <v>1165</v>
      </c>
      <c r="AJ1694" s="4" t="s">
        <v>1148</v>
      </c>
      <c r="AK1694" s="4">
        <v>68.209000000000003</v>
      </c>
      <c r="AP1694" s="4">
        <v>28</v>
      </c>
      <c r="AQ1694" t="s">
        <v>1336</v>
      </c>
      <c r="AR1694" s="4" t="s">
        <v>1335</v>
      </c>
      <c r="AS1694" t="s">
        <v>3000</v>
      </c>
    </row>
    <row r="1695" spans="1:45" x14ac:dyDescent="0.2">
      <c r="A1695" t="s">
        <v>1326</v>
      </c>
      <c r="B1695" s="4" t="s">
        <v>1146</v>
      </c>
      <c r="C1695" s="4" t="s">
        <v>1149</v>
      </c>
      <c r="D1695" t="s">
        <v>1350</v>
      </c>
      <c r="E1695" t="s">
        <v>1351</v>
      </c>
      <c r="G1695" s="4" t="s">
        <v>1165</v>
      </c>
      <c r="H1695" t="s">
        <v>1165</v>
      </c>
      <c r="I1695" t="s">
        <v>1328</v>
      </c>
      <c r="J1695" t="s">
        <v>1337</v>
      </c>
      <c r="K1695" t="s">
        <v>1338</v>
      </c>
      <c r="L1695">
        <v>2000</v>
      </c>
      <c r="M1695" t="s">
        <v>1327</v>
      </c>
      <c r="O1695">
        <v>2005</v>
      </c>
      <c r="P1695">
        <v>2005</v>
      </c>
      <c r="Q1695" t="s">
        <v>1329</v>
      </c>
      <c r="R1695">
        <v>10</v>
      </c>
      <c r="T1695" t="s">
        <v>1330</v>
      </c>
      <c r="U1695" t="s">
        <v>1246</v>
      </c>
      <c r="V1695" s="9" t="s">
        <v>1332</v>
      </c>
      <c r="W1695">
        <v>70</v>
      </c>
      <c r="X1695" s="9" t="s">
        <v>1261</v>
      </c>
      <c r="Z1695">
        <v>0</v>
      </c>
      <c r="AD1695" t="s">
        <v>1165</v>
      </c>
      <c r="AF1695" t="s">
        <v>1165</v>
      </c>
      <c r="AI1695" t="s">
        <v>1165</v>
      </c>
      <c r="AJ1695" s="4" t="s">
        <v>1148</v>
      </c>
      <c r="AK1695" s="4">
        <v>69.98</v>
      </c>
      <c r="AP1695" s="4">
        <v>28</v>
      </c>
      <c r="AQ1695" t="s">
        <v>1336</v>
      </c>
      <c r="AR1695" s="4" t="s">
        <v>1335</v>
      </c>
      <c r="AS1695" t="s">
        <v>3000</v>
      </c>
    </row>
    <row r="1696" spans="1:45" x14ac:dyDescent="0.2">
      <c r="A1696" t="s">
        <v>1326</v>
      </c>
      <c r="B1696" s="4" t="s">
        <v>1146</v>
      </c>
      <c r="C1696" s="4" t="s">
        <v>1149</v>
      </c>
      <c r="D1696" t="s">
        <v>1350</v>
      </c>
      <c r="E1696" t="s">
        <v>1351</v>
      </c>
      <c r="G1696" s="4" t="s">
        <v>1165</v>
      </c>
      <c r="H1696" t="s">
        <v>1165</v>
      </c>
      <c r="I1696" t="s">
        <v>1328</v>
      </c>
      <c r="J1696" t="s">
        <v>1337</v>
      </c>
      <c r="K1696" t="s">
        <v>1338</v>
      </c>
      <c r="L1696">
        <v>2000</v>
      </c>
      <c r="M1696" t="s">
        <v>1327</v>
      </c>
      <c r="O1696">
        <v>2005</v>
      </c>
      <c r="P1696">
        <v>2005</v>
      </c>
      <c r="Q1696" t="s">
        <v>1329</v>
      </c>
      <c r="R1696">
        <v>10</v>
      </c>
      <c r="T1696" t="s">
        <v>1330</v>
      </c>
      <c r="U1696" t="s">
        <v>1246</v>
      </c>
      <c r="V1696" s="9" t="s">
        <v>1332</v>
      </c>
      <c r="W1696">
        <v>70</v>
      </c>
      <c r="X1696" s="9" t="s">
        <v>1334</v>
      </c>
      <c r="Z1696">
        <v>0</v>
      </c>
      <c r="AD1696" t="s">
        <v>1165</v>
      </c>
      <c r="AF1696" t="s">
        <v>1165</v>
      </c>
      <c r="AI1696" t="s">
        <v>1165</v>
      </c>
      <c r="AJ1696" s="4" t="s">
        <v>1148</v>
      </c>
      <c r="AK1696" s="4">
        <v>75.885999999999996</v>
      </c>
      <c r="AP1696" s="4">
        <v>28</v>
      </c>
      <c r="AQ1696" t="s">
        <v>1336</v>
      </c>
      <c r="AR1696" s="4" t="s">
        <v>1335</v>
      </c>
      <c r="AS1696" t="s">
        <v>3000</v>
      </c>
    </row>
    <row r="1697" spans="1:45" x14ac:dyDescent="0.2">
      <c r="A1697" t="s">
        <v>1326</v>
      </c>
      <c r="B1697" s="4" t="s">
        <v>1146</v>
      </c>
      <c r="C1697" s="4" t="s">
        <v>1149</v>
      </c>
      <c r="D1697" t="s">
        <v>1350</v>
      </c>
      <c r="E1697" t="s">
        <v>1351</v>
      </c>
      <c r="G1697" s="4" t="s">
        <v>1165</v>
      </c>
      <c r="H1697" t="s">
        <v>1165</v>
      </c>
      <c r="I1697" t="s">
        <v>1328</v>
      </c>
      <c r="J1697" t="s">
        <v>1337</v>
      </c>
      <c r="K1697" t="s">
        <v>1338</v>
      </c>
      <c r="L1697">
        <v>2000</v>
      </c>
      <c r="M1697" t="s">
        <v>1327</v>
      </c>
      <c r="O1697">
        <v>2005</v>
      </c>
      <c r="P1697">
        <v>2005</v>
      </c>
      <c r="Q1697" t="s">
        <v>1329</v>
      </c>
      <c r="R1697">
        <v>10</v>
      </c>
      <c r="T1697" t="s">
        <v>1330</v>
      </c>
      <c r="U1697" t="s">
        <v>1246</v>
      </c>
      <c r="V1697" s="9" t="s">
        <v>1332</v>
      </c>
      <c r="W1697">
        <v>140</v>
      </c>
      <c r="X1697" s="9" t="s">
        <v>1333</v>
      </c>
      <c r="Z1697">
        <v>12</v>
      </c>
      <c r="AD1697" t="s">
        <v>1165</v>
      </c>
      <c r="AF1697" t="s">
        <v>1165</v>
      </c>
      <c r="AI1697" t="s">
        <v>1165</v>
      </c>
      <c r="AJ1697" s="4" t="s">
        <v>1148</v>
      </c>
      <c r="AK1697" s="4">
        <v>94.783000000000001</v>
      </c>
      <c r="AP1697" s="4">
        <v>28</v>
      </c>
      <c r="AQ1697" t="s">
        <v>1336</v>
      </c>
      <c r="AR1697" s="4" t="s">
        <v>1335</v>
      </c>
      <c r="AS1697" t="s">
        <v>3000</v>
      </c>
    </row>
    <row r="1698" spans="1:45" x14ac:dyDescent="0.2">
      <c r="A1698" t="s">
        <v>1326</v>
      </c>
      <c r="B1698" s="4" t="s">
        <v>1146</v>
      </c>
      <c r="C1698" s="4" t="s">
        <v>1149</v>
      </c>
      <c r="D1698" t="s">
        <v>1350</v>
      </c>
      <c r="E1698" t="s">
        <v>1351</v>
      </c>
      <c r="G1698" s="4" t="s">
        <v>1165</v>
      </c>
      <c r="H1698" t="s">
        <v>1165</v>
      </c>
      <c r="I1698" t="s">
        <v>1328</v>
      </c>
      <c r="J1698" t="s">
        <v>1337</v>
      </c>
      <c r="K1698" t="s">
        <v>1338</v>
      </c>
      <c r="L1698">
        <v>2000</v>
      </c>
      <c r="M1698" t="s">
        <v>1327</v>
      </c>
      <c r="O1698">
        <v>2005</v>
      </c>
      <c r="P1698">
        <v>2005</v>
      </c>
      <c r="Q1698" t="s">
        <v>1329</v>
      </c>
      <c r="R1698">
        <v>10</v>
      </c>
      <c r="T1698" t="s">
        <v>1330</v>
      </c>
      <c r="U1698" t="s">
        <v>1246</v>
      </c>
      <c r="V1698" s="9" t="s">
        <v>1332</v>
      </c>
      <c r="W1698">
        <v>140</v>
      </c>
      <c r="X1698" s="9" t="s">
        <v>1264</v>
      </c>
      <c r="Z1698">
        <v>12</v>
      </c>
      <c r="AD1698" t="s">
        <v>1165</v>
      </c>
      <c r="AF1698" t="s">
        <v>1165</v>
      </c>
      <c r="AI1698" t="s">
        <v>1165</v>
      </c>
      <c r="AJ1698" s="4" t="s">
        <v>1148</v>
      </c>
      <c r="AK1698" s="4">
        <v>95.965000000000003</v>
      </c>
      <c r="AP1698" s="4">
        <v>28</v>
      </c>
      <c r="AQ1698" t="s">
        <v>1336</v>
      </c>
      <c r="AR1698" s="4" t="s">
        <v>1335</v>
      </c>
      <c r="AS1698" t="s">
        <v>3000</v>
      </c>
    </row>
    <row r="1699" spans="1:45" x14ac:dyDescent="0.2">
      <c r="A1699" t="s">
        <v>1326</v>
      </c>
      <c r="B1699" s="4" t="s">
        <v>1146</v>
      </c>
      <c r="C1699" s="4" t="s">
        <v>1149</v>
      </c>
      <c r="D1699" t="s">
        <v>1350</v>
      </c>
      <c r="E1699" t="s">
        <v>1351</v>
      </c>
      <c r="G1699" s="4" t="s">
        <v>1165</v>
      </c>
      <c r="H1699" t="s">
        <v>1165</v>
      </c>
      <c r="I1699" t="s">
        <v>1328</v>
      </c>
      <c r="J1699" t="s">
        <v>1337</v>
      </c>
      <c r="K1699" t="s">
        <v>1338</v>
      </c>
      <c r="L1699">
        <v>2000</v>
      </c>
      <c r="M1699" t="s">
        <v>1327</v>
      </c>
      <c r="O1699">
        <v>2005</v>
      </c>
      <c r="P1699">
        <v>2005</v>
      </c>
      <c r="Q1699" t="s">
        <v>1329</v>
      </c>
      <c r="R1699">
        <v>10</v>
      </c>
      <c r="T1699" t="s">
        <v>1330</v>
      </c>
      <c r="U1699" t="s">
        <v>1246</v>
      </c>
      <c r="V1699" s="9" t="s">
        <v>1332</v>
      </c>
      <c r="W1699">
        <v>140</v>
      </c>
      <c r="X1699" s="9" t="s">
        <v>1261</v>
      </c>
      <c r="Z1699">
        <v>12</v>
      </c>
      <c r="AD1699" t="s">
        <v>1165</v>
      </c>
      <c r="AF1699" t="s">
        <v>1165</v>
      </c>
      <c r="AI1699" t="s">
        <v>1165</v>
      </c>
      <c r="AJ1699" s="4" t="s">
        <v>1148</v>
      </c>
      <c r="AK1699" s="4">
        <v>88.287000000000006</v>
      </c>
      <c r="AP1699" s="4">
        <v>28</v>
      </c>
      <c r="AQ1699" t="s">
        <v>1336</v>
      </c>
      <c r="AR1699" s="4" t="s">
        <v>1335</v>
      </c>
      <c r="AS1699" t="s">
        <v>3000</v>
      </c>
    </row>
    <row r="1700" spans="1:45" x14ac:dyDescent="0.2">
      <c r="A1700" t="s">
        <v>1326</v>
      </c>
      <c r="B1700" s="4" t="s">
        <v>1146</v>
      </c>
      <c r="C1700" s="4" t="s">
        <v>1149</v>
      </c>
      <c r="D1700" t="s">
        <v>1350</v>
      </c>
      <c r="E1700" t="s">
        <v>1351</v>
      </c>
      <c r="G1700" s="4" t="s">
        <v>1165</v>
      </c>
      <c r="H1700" t="s">
        <v>1165</v>
      </c>
      <c r="I1700" t="s">
        <v>1328</v>
      </c>
      <c r="J1700" t="s">
        <v>1337</v>
      </c>
      <c r="K1700" t="s">
        <v>1338</v>
      </c>
      <c r="L1700">
        <v>2000</v>
      </c>
      <c r="M1700" t="s">
        <v>1327</v>
      </c>
      <c r="O1700">
        <v>2005</v>
      </c>
      <c r="P1700">
        <v>2005</v>
      </c>
      <c r="Q1700" t="s">
        <v>1329</v>
      </c>
      <c r="R1700">
        <v>10</v>
      </c>
      <c r="T1700" t="s">
        <v>1330</v>
      </c>
      <c r="U1700" t="s">
        <v>1246</v>
      </c>
      <c r="V1700" s="9" t="s">
        <v>1332</v>
      </c>
      <c r="W1700">
        <v>140</v>
      </c>
      <c r="X1700" s="9" t="s">
        <v>1334</v>
      </c>
      <c r="Z1700">
        <v>12</v>
      </c>
      <c r="AD1700" t="s">
        <v>1165</v>
      </c>
      <c r="AF1700" t="s">
        <v>1165</v>
      </c>
      <c r="AI1700" t="s">
        <v>1165</v>
      </c>
      <c r="AJ1700" s="4" t="s">
        <v>1148</v>
      </c>
      <c r="AK1700" s="4">
        <v>87.697000000000003</v>
      </c>
      <c r="AP1700" s="4">
        <v>28</v>
      </c>
      <c r="AQ1700" t="s">
        <v>1336</v>
      </c>
      <c r="AR1700" s="4" t="s">
        <v>1335</v>
      </c>
      <c r="AS1700" t="s">
        <v>3000</v>
      </c>
    </row>
    <row r="1701" spans="1:45" x14ac:dyDescent="0.2">
      <c r="A1701" t="s">
        <v>1326</v>
      </c>
      <c r="B1701" s="4" t="s">
        <v>1146</v>
      </c>
      <c r="C1701" s="4" t="s">
        <v>1149</v>
      </c>
      <c r="D1701" t="s">
        <v>1350</v>
      </c>
      <c r="E1701" t="s">
        <v>1351</v>
      </c>
      <c r="G1701" s="4" t="s">
        <v>1165</v>
      </c>
      <c r="H1701" t="s">
        <v>1165</v>
      </c>
      <c r="I1701" t="s">
        <v>1328</v>
      </c>
      <c r="J1701" t="s">
        <v>1337</v>
      </c>
      <c r="K1701" t="s">
        <v>1338</v>
      </c>
      <c r="L1701">
        <v>2000</v>
      </c>
      <c r="M1701" t="s">
        <v>1327</v>
      </c>
      <c r="O1701">
        <v>2005</v>
      </c>
      <c r="P1701">
        <v>2005</v>
      </c>
      <c r="Q1701" t="s">
        <v>1329</v>
      </c>
      <c r="R1701">
        <v>10</v>
      </c>
      <c r="T1701" t="s">
        <v>1330</v>
      </c>
      <c r="U1701" t="s">
        <v>1246</v>
      </c>
      <c r="V1701" s="9" t="s">
        <v>1332</v>
      </c>
      <c r="W1701">
        <v>140</v>
      </c>
      <c r="X1701" s="9" t="s">
        <v>1333</v>
      </c>
      <c r="Z1701">
        <v>0</v>
      </c>
      <c r="AD1701" t="s">
        <v>1165</v>
      </c>
      <c r="AF1701" t="s">
        <v>1165</v>
      </c>
      <c r="AI1701" t="s">
        <v>1165</v>
      </c>
      <c r="AJ1701" s="4" t="s">
        <v>1148</v>
      </c>
      <c r="AK1701" s="4">
        <v>41.338999999999999</v>
      </c>
      <c r="AP1701" s="4">
        <v>28</v>
      </c>
      <c r="AQ1701" t="s">
        <v>1336</v>
      </c>
      <c r="AR1701" s="4" t="s">
        <v>1335</v>
      </c>
      <c r="AS1701" t="s">
        <v>3000</v>
      </c>
    </row>
    <row r="1702" spans="1:45" x14ac:dyDescent="0.2">
      <c r="A1702" t="s">
        <v>1326</v>
      </c>
      <c r="B1702" s="4" t="s">
        <v>1146</v>
      </c>
      <c r="C1702" s="4" t="s">
        <v>1149</v>
      </c>
      <c r="D1702" t="s">
        <v>1350</v>
      </c>
      <c r="E1702" t="s">
        <v>1351</v>
      </c>
      <c r="G1702" s="4" t="s">
        <v>1165</v>
      </c>
      <c r="H1702" t="s">
        <v>1165</v>
      </c>
      <c r="I1702" t="s">
        <v>1328</v>
      </c>
      <c r="J1702" t="s">
        <v>1337</v>
      </c>
      <c r="K1702" t="s">
        <v>1338</v>
      </c>
      <c r="L1702">
        <v>2000</v>
      </c>
      <c r="M1702" t="s">
        <v>1327</v>
      </c>
      <c r="O1702">
        <v>2005</v>
      </c>
      <c r="P1702">
        <v>2005</v>
      </c>
      <c r="Q1702" t="s">
        <v>1329</v>
      </c>
      <c r="R1702">
        <v>10</v>
      </c>
      <c r="T1702" t="s">
        <v>1330</v>
      </c>
      <c r="U1702" t="s">
        <v>1246</v>
      </c>
      <c r="V1702" s="9" t="s">
        <v>1332</v>
      </c>
      <c r="W1702">
        <v>140</v>
      </c>
      <c r="X1702" s="9" t="s">
        <v>1264</v>
      </c>
      <c r="Z1702">
        <v>0</v>
      </c>
      <c r="AD1702" t="s">
        <v>1165</v>
      </c>
      <c r="AF1702" t="s">
        <v>1165</v>
      </c>
      <c r="AI1702" t="s">
        <v>1165</v>
      </c>
      <c r="AJ1702" s="4" t="s">
        <v>1148</v>
      </c>
      <c r="AK1702" s="4">
        <v>72.343000000000004</v>
      </c>
      <c r="AP1702" s="4">
        <v>28</v>
      </c>
      <c r="AQ1702" t="s">
        <v>1336</v>
      </c>
      <c r="AR1702" s="4" t="s">
        <v>1335</v>
      </c>
      <c r="AS1702" t="s">
        <v>3000</v>
      </c>
    </row>
    <row r="1703" spans="1:45" x14ac:dyDescent="0.2">
      <c r="A1703" t="s">
        <v>1326</v>
      </c>
      <c r="B1703" s="4" t="s">
        <v>1146</v>
      </c>
      <c r="C1703" s="4" t="s">
        <v>1149</v>
      </c>
      <c r="D1703" t="s">
        <v>1350</v>
      </c>
      <c r="E1703" t="s">
        <v>1351</v>
      </c>
      <c r="G1703" s="4" t="s">
        <v>1165</v>
      </c>
      <c r="H1703" t="s">
        <v>1165</v>
      </c>
      <c r="I1703" t="s">
        <v>1328</v>
      </c>
      <c r="J1703" t="s">
        <v>1337</v>
      </c>
      <c r="K1703" t="s">
        <v>1338</v>
      </c>
      <c r="L1703">
        <v>2000</v>
      </c>
      <c r="M1703" t="s">
        <v>1327</v>
      </c>
      <c r="O1703">
        <v>2005</v>
      </c>
      <c r="P1703">
        <v>2005</v>
      </c>
      <c r="Q1703" t="s">
        <v>1329</v>
      </c>
      <c r="R1703">
        <v>10</v>
      </c>
      <c r="T1703" t="s">
        <v>1330</v>
      </c>
      <c r="U1703" t="s">
        <v>1246</v>
      </c>
      <c r="V1703" s="9" t="s">
        <v>1332</v>
      </c>
      <c r="W1703">
        <v>140</v>
      </c>
      <c r="X1703" s="9" t="s">
        <v>1261</v>
      </c>
      <c r="Z1703">
        <v>0</v>
      </c>
      <c r="AD1703" t="s">
        <v>1165</v>
      </c>
      <c r="AF1703" t="s">
        <v>1165</v>
      </c>
      <c r="AI1703" t="s">
        <v>1165</v>
      </c>
      <c r="AJ1703" s="4" t="s">
        <v>1148</v>
      </c>
      <c r="AK1703" s="4">
        <v>74.704999999999998</v>
      </c>
      <c r="AP1703" s="4">
        <v>28</v>
      </c>
      <c r="AQ1703" t="s">
        <v>1336</v>
      </c>
      <c r="AR1703" s="4" t="s">
        <v>1335</v>
      </c>
      <c r="AS1703" t="s">
        <v>3000</v>
      </c>
    </row>
    <row r="1704" spans="1:45" x14ac:dyDescent="0.2">
      <c r="A1704" t="s">
        <v>1326</v>
      </c>
      <c r="B1704" s="4" t="s">
        <v>1146</v>
      </c>
      <c r="C1704" s="4" t="s">
        <v>1149</v>
      </c>
      <c r="D1704" t="s">
        <v>1350</v>
      </c>
      <c r="E1704" t="s">
        <v>1351</v>
      </c>
      <c r="G1704" s="4" t="s">
        <v>1165</v>
      </c>
      <c r="H1704" t="s">
        <v>1165</v>
      </c>
      <c r="I1704" t="s">
        <v>1328</v>
      </c>
      <c r="J1704" t="s">
        <v>1337</v>
      </c>
      <c r="K1704" t="s">
        <v>1338</v>
      </c>
      <c r="L1704">
        <v>2000</v>
      </c>
      <c r="M1704" t="s">
        <v>1327</v>
      </c>
      <c r="O1704">
        <v>2005</v>
      </c>
      <c r="P1704">
        <v>2005</v>
      </c>
      <c r="Q1704" t="s">
        <v>1329</v>
      </c>
      <c r="R1704">
        <v>10</v>
      </c>
      <c r="T1704" t="s">
        <v>1330</v>
      </c>
      <c r="U1704" t="s">
        <v>1246</v>
      </c>
      <c r="V1704" s="9" t="s">
        <v>1332</v>
      </c>
      <c r="W1704">
        <v>140</v>
      </c>
      <c r="X1704" s="9" t="s">
        <v>1334</v>
      </c>
      <c r="Z1704">
        <v>0</v>
      </c>
      <c r="AD1704" t="s">
        <v>1165</v>
      </c>
      <c r="AF1704" t="s">
        <v>1165</v>
      </c>
      <c r="AI1704" t="s">
        <v>1165</v>
      </c>
      <c r="AJ1704" s="4" t="s">
        <v>1148</v>
      </c>
      <c r="AK1704" s="4">
        <v>85.334999999999994</v>
      </c>
      <c r="AP1704" s="4">
        <v>28</v>
      </c>
      <c r="AQ1704" t="s">
        <v>1336</v>
      </c>
      <c r="AR1704" s="4" t="s">
        <v>1335</v>
      </c>
      <c r="AS1704" t="s">
        <v>3000</v>
      </c>
    </row>
    <row r="1705" spans="1:45" x14ac:dyDescent="0.2">
      <c r="A1705" t="s">
        <v>1326</v>
      </c>
      <c r="B1705" s="4" t="s">
        <v>1146</v>
      </c>
      <c r="C1705" s="4" t="s">
        <v>1149</v>
      </c>
      <c r="D1705" t="s">
        <v>1350</v>
      </c>
      <c r="E1705" t="s">
        <v>1351</v>
      </c>
      <c r="G1705" s="4" t="s">
        <v>1165</v>
      </c>
      <c r="H1705" t="s">
        <v>1165</v>
      </c>
      <c r="I1705" t="s">
        <v>1328</v>
      </c>
      <c r="J1705" t="s">
        <v>1337</v>
      </c>
      <c r="K1705" t="s">
        <v>1338</v>
      </c>
      <c r="L1705">
        <v>2000</v>
      </c>
      <c r="M1705" t="s">
        <v>1327</v>
      </c>
      <c r="O1705">
        <v>2005</v>
      </c>
      <c r="P1705">
        <v>2005</v>
      </c>
      <c r="Q1705" t="s">
        <v>1329</v>
      </c>
      <c r="R1705">
        <v>10</v>
      </c>
      <c r="T1705" t="s">
        <v>1330</v>
      </c>
      <c r="U1705" t="s">
        <v>1246</v>
      </c>
      <c r="V1705" s="9" t="s">
        <v>1332</v>
      </c>
      <c r="W1705">
        <v>210</v>
      </c>
      <c r="X1705" s="9" t="s">
        <v>1333</v>
      </c>
      <c r="Z1705">
        <v>12</v>
      </c>
      <c r="AD1705" t="s">
        <v>1165</v>
      </c>
      <c r="AF1705" t="s">
        <v>1165</v>
      </c>
      <c r="AI1705" t="s">
        <v>1165</v>
      </c>
      <c r="AJ1705" s="4" t="s">
        <v>1148</v>
      </c>
      <c r="AK1705" s="4">
        <v>91.831000000000003</v>
      </c>
      <c r="AP1705" s="4">
        <v>28</v>
      </c>
      <c r="AQ1705" t="s">
        <v>1336</v>
      </c>
      <c r="AR1705" s="4" t="s">
        <v>1335</v>
      </c>
      <c r="AS1705" t="s">
        <v>3000</v>
      </c>
    </row>
    <row r="1706" spans="1:45" x14ac:dyDescent="0.2">
      <c r="A1706" t="s">
        <v>1326</v>
      </c>
      <c r="B1706" s="4" t="s">
        <v>1146</v>
      </c>
      <c r="C1706" s="4" t="s">
        <v>1149</v>
      </c>
      <c r="D1706" t="s">
        <v>1350</v>
      </c>
      <c r="E1706" t="s">
        <v>1351</v>
      </c>
      <c r="G1706" s="4" t="s">
        <v>1165</v>
      </c>
      <c r="H1706" t="s">
        <v>1165</v>
      </c>
      <c r="I1706" t="s">
        <v>1328</v>
      </c>
      <c r="J1706" t="s">
        <v>1337</v>
      </c>
      <c r="K1706" t="s">
        <v>1338</v>
      </c>
      <c r="L1706">
        <v>2000</v>
      </c>
      <c r="M1706" t="s">
        <v>1327</v>
      </c>
      <c r="O1706">
        <v>2005</v>
      </c>
      <c r="P1706">
        <v>2005</v>
      </c>
      <c r="Q1706" t="s">
        <v>1329</v>
      </c>
      <c r="R1706">
        <v>10</v>
      </c>
      <c r="T1706" t="s">
        <v>1330</v>
      </c>
      <c r="U1706" t="s">
        <v>1246</v>
      </c>
      <c r="V1706" s="9" t="s">
        <v>1332</v>
      </c>
      <c r="W1706">
        <v>210</v>
      </c>
      <c r="X1706" s="9" t="s">
        <v>1264</v>
      </c>
      <c r="Z1706">
        <v>12</v>
      </c>
      <c r="AD1706" t="s">
        <v>1165</v>
      </c>
      <c r="AF1706" t="s">
        <v>1165</v>
      </c>
      <c r="AI1706" t="s">
        <v>1165</v>
      </c>
      <c r="AJ1706" s="4" t="s">
        <v>1148</v>
      </c>
      <c r="AK1706" s="4">
        <v>97.146000000000001</v>
      </c>
      <c r="AP1706" s="4">
        <v>28</v>
      </c>
      <c r="AQ1706" t="s">
        <v>1336</v>
      </c>
      <c r="AR1706" s="4" t="s">
        <v>1335</v>
      </c>
      <c r="AS1706" t="s">
        <v>3000</v>
      </c>
    </row>
    <row r="1707" spans="1:45" x14ac:dyDescent="0.2">
      <c r="A1707" t="s">
        <v>1326</v>
      </c>
      <c r="B1707" s="4" t="s">
        <v>1146</v>
      </c>
      <c r="C1707" s="4" t="s">
        <v>1149</v>
      </c>
      <c r="D1707" t="s">
        <v>1350</v>
      </c>
      <c r="E1707" t="s">
        <v>1351</v>
      </c>
      <c r="G1707" s="4" t="s">
        <v>1165</v>
      </c>
      <c r="H1707" t="s">
        <v>1165</v>
      </c>
      <c r="I1707" t="s">
        <v>1328</v>
      </c>
      <c r="J1707" t="s">
        <v>1337</v>
      </c>
      <c r="K1707" t="s">
        <v>1338</v>
      </c>
      <c r="L1707">
        <v>2000</v>
      </c>
      <c r="M1707" t="s">
        <v>1327</v>
      </c>
      <c r="O1707">
        <v>2005</v>
      </c>
      <c r="P1707">
        <v>2005</v>
      </c>
      <c r="Q1707" t="s">
        <v>1329</v>
      </c>
      <c r="R1707">
        <v>10</v>
      </c>
      <c r="T1707" t="s">
        <v>1330</v>
      </c>
      <c r="U1707" t="s">
        <v>1246</v>
      </c>
      <c r="V1707" s="9" t="s">
        <v>1332</v>
      </c>
      <c r="W1707">
        <v>210</v>
      </c>
      <c r="X1707" s="9" t="s">
        <v>1261</v>
      </c>
      <c r="Z1707">
        <v>12</v>
      </c>
      <c r="AD1707" t="s">
        <v>1165</v>
      </c>
      <c r="AF1707" t="s">
        <v>1165</v>
      </c>
      <c r="AI1707" t="s">
        <v>1165</v>
      </c>
      <c r="AJ1707" s="4" t="s">
        <v>1148</v>
      </c>
      <c r="AK1707" s="4">
        <v>91.831000000000003</v>
      </c>
      <c r="AP1707" s="4">
        <v>28</v>
      </c>
      <c r="AQ1707" t="s">
        <v>1336</v>
      </c>
      <c r="AR1707" s="4" t="s">
        <v>1335</v>
      </c>
      <c r="AS1707" t="s">
        <v>3000</v>
      </c>
    </row>
    <row r="1708" spans="1:45" x14ac:dyDescent="0.2">
      <c r="A1708" t="s">
        <v>1326</v>
      </c>
      <c r="B1708" s="4" t="s">
        <v>1146</v>
      </c>
      <c r="C1708" s="4" t="s">
        <v>1149</v>
      </c>
      <c r="D1708" t="s">
        <v>1350</v>
      </c>
      <c r="E1708" t="s">
        <v>1351</v>
      </c>
      <c r="G1708" s="4" t="s">
        <v>1165</v>
      </c>
      <c r="H1708" t="s">
        <v>1165</v>
      </c>
      <c r="I1708" t="s">
        <v>1328</v>
      </c>
      <c r="J1708" t="s">
        <v>1337</v>
      </c>
      <c r="K1708" t="s">
        <v>1338</v>
      </c>
      <c r="L1708">
        <v>2000</v>
      </c>
      <c r="M1708" t="s">
        <v>1327</v>
      </c>
      <c r="O1708">
        <v>2005</v>
      </c>
      <c r="P1708">
        <v>2005</v>
      </c>
      <c r="Q1708" t="s">
        <v>1329</v>
      </c>
      <c r="R1708">
        <v>10</v>
      </c>
      <c r="T1708" t="s">
        <v>1330</v>
      </c>
      <c r="U1708" t="s">
        <v>1246</v>
      </c>
      <c r="V1708" s="9" t="s">
        <v>1332</v>
      </c>
      <c r="W1708">
        <v>210</v>
      </c>
      <c r="X1708" s="9" t="s">
        <v>1334</v>
      </c>
      <c r="Z1708">
        <v>12</v>
      </c>
      <c r="AD1708" t="s">
        <v>1165</v>
      </c>
      <c r="AF1708" t="s">
        <v>1165</v>
      </c>
      <c r="AI1708" t="s">
        <v>1165</v>
      </c>
      <c r="AJ1708" s="4" t="s">
        <v>1148</v>
      </c>
      <c r="AK1708" s="4">
        <v>80.61</v>
      </c>
      <c r="AP1708" s="4">
        <v>28</v>
      </c>
      <c r="AQ1708" t="s">
        <v>1336</v>
      </c>
      <c r="AR1708" s="4" t="s">
        <v>1335</v>
      </c>
      <c r="AS1708" t="s">
        <v>3000</v>
      </c>
    </row>
    <row r="1709" spans="1:45" x14ac:dyDescent="0.2">
      <c r="A1709" t="s">
        <v>1326</v>
      </c>
      <c r="B1709" s="4" t="s">
        <v>1146</v>
      </c>
      <c r="C1709" s="4" t="s">
        <v>1149</v>
      </c>
      <c r="D1709" t="s">
        <v>1350</v>
      </c>
      <c r="E1709" t="s">
        <v>1351</v>
      </c>
      <c r="G1709" s="4" t="s">
        <v>1165</v>
      </c>
      <c r="H1709" t="s">
        <v>1165</v>
      </c>
      <c r="I1709" t="s">
        <v>1328</v>
      </c>
      <c r="J1709" t="s">
        <v>1337</v>
      </c>
      <c r="K1709" t="s">
        <v>1338</v>
      </c>
      <c r="L1709">
        <v>2000</v>
      </c>
      <c r="M1709" t="s">
        <v>1327</v>
      </c>
      <c r="O1709">
        <v>2005</v>
      </c>
      <c r="P1709">
        <v>2005</v>
      </c>
      <c r="Q1709" t="s">
        <v>1329</v>
      </c>
      <c r="R1709">
        <v>10</v>
      </c>
      <c r="T1709" t="s">
        <v>1330</v>
      </c>
      <c r="U1709" t="s">
        <v>1246</v>
      </c>
      <c r="V1709" s="9" t="s">
        <v>1332</v>
      </c>
      <c r="W1709">
        <v>210</v>
      </c>
      <c r="X1709" s="9" t="s">
        <v>1333</v>
      </c>
      <c r="Z1709">
        <v>0</v>
      </c>
      <c r="AD1709" t="s">
        <v>1165</v>
      </c>
      <c r="AF1709" t="s">
        <v>1165</v>
      </c>
      <c r="AI1709" t="s">
        <v>1165</v>
      </c>
      <c r="AJ1709" s="4" t="s">
        <v>1148</v>
      </c>
      <c r="AK1709" s="4">
        <v>35.728000000000002</v>
      </c>
      <c r="AP1709" s="4">
        <v>28</v>
      </c>
      <c r="AQ1709" t="s">
        <v>1336</v>
      </c>
      <c r="AR1709" s="4" t="s">
        <v>1335</v>
      </c>
      <c r="AS1709" t="s">
        <v>3000</v>
      </c>
    </row>
    <row r="1710" spans="1:45" x14ac:dyDescent="0.2">
      <c r="A1710" t="s">
        <v>1326</v>
      </c>
      <c r="B1710" s="4" t="s">
        <v>1146</v>
      </c>
      <c r="C1710" s="4" t="s">
        <v>1149</v>
      </c>
      <c r="D1710" t="s">
        <v>1350</v>
      </c>
      <c r="E1710" t="s">
        <v>1351</v>
      </c>
      <c r="G1710" s="4" t="s">
        <v>1165</v>
      </c>
      <c r="H1710" t="s">
        <v>1165</v>
      </c>
      <c r="I1710" t="s">
        <v>1328</v>
      </c>
      <c r="J1710" t="s">
        <v>1337</v>
      </c>
      <c r="K1710" t="s">
        <v>1338</v>
      </c>
      <c r="L1710">
        <v>2000</v>
      </c>
      <c r="M1710" t="s">
        <v>1327</v>
      </c>
      <c r="O1710">
        <v>2005</v>
      </c>
      <c r="P1710">
        <v>2005</v>
      </c>
      <c r="Q1710" t="s">
        <v>1329</v>
      </c>
      <c r="R1710">
        <v>10</v>
      </c>
      <c r="T1710" t="s">
        <v>1330</v>
      </c>
      <c r="U1710" t="s">
        <v>1246</v>
      </c>
      <c r="V1710" s="9" t="s">
        <v>1332</v>
      </c>
      <c r="W1710">
        <v>210</v>
      </c>
      <c r="X1710" s="9" t="s">
        <v>1264</v>
      </c>
      <c r="Z1710">
        <v>0</v>
      </c>
      <c r="AD1710" t="s">
        <v>1165</v>
      </c>
      <c r="AF1710" t="s">
        <v>1165</v>
      </c>
      <c r="AI1710" t="s">
        <v>1165</v>
      </c>
      <c r="AJ1710" s="4" t="s">
        <v>1148</v>
      </c>
      <c r="AK1710" s="4">
        <v>58.168999999999997</v>
      </c>
      <c r="AP1710" s="4">
        <v>28</v>
      </c>
      <c r="AQ1710" t="s">
        <v>1336</v>
      </c>
      <c r="AR1710" s="4" t="s">
        <v>1335</v>
      </c>
      <c r="AS1710" t="s">
        <v>3000</v>
      </c>
    </row>
    <row r="1711" spans="1:45" x14ac:dyDescent="0.2">
      <c r="A1711" t="s">
        <v>1326</v>
      </c>
      <c r="B1711" s="4" t="s">
        <v>1146</v>
      </c>
      <c r="C1711" s="4" t="s">
        <v>1149</v>
      </c>
      <c r="D1711" t="s">
        <v>1350</v>
      </c>
      <c r="E1711" t="s">
        <v>1351</v>
      </c>
      <c r="G1711" s="4" t="s">
        <v>1165</v>
      </c>
      <c r="H1711" t="s">
        <v>1165</v>
      </c>
      <c r="I1711" t="s">
        <v>1328</v>
      </c>
      <c r="J1711" t="s">
        <v>1337</v>
      </c>
      <c r="K1711" t="s">
        <v>1338</v>
      </c>
      <c r="L1711">
        <v>2000</v>
      </c>
      <c r="M1711" t="s">
        <v>1327</v>
      </c>
      <c r="O1711">
        <v>2005</v>
      </c>
      <c r="P1711">
        <v>2005</v>
      </c>
      <c r="Q1711" t="s">
        <v>1329</v>
      </c>
      <c r="R1711">
        <v>10</v>
      </c>
      <c r="T1711" t="s">
        <v>1330</v>
      </c>
      <c r="U1711" t="s">
        <v>1246</v>
      </c>
      <c r="V1711" s="9" t="s">
        <v>1332</v>
      </c>
      <c r="W1711">
        <v>210</v>
      </c>
      <c r="X1711" s="9" t="s">
        <v>1261</v>
      </c>
      <c r="Z1711">
        <v>0</v>
      </c>
      <c r="AD1711" t="s">
        <v>1165</v>
      </c>
      <c r="AF1711" t="s">
        <v>1165</v>
      </c>
      <c r="AI1711" t="s">
        <v>1165</v>
      </c>
      <c r="AJ1711" s="4" t="s">
        <v>1148</v>
      </c>
      <c r="AK1711" s="4">
        <v>50.491999999999997</v>
      </c>
      <c r="AP1711" s="4">
        <v>28</v>
      </c>
      <c r="AQ1711" t="s">
        <v>1336</v>
      </c>
      <c r="AR1711" s="4" t="s">
        <v>1335</v>
      </c>
      <c r="AS1711" t="s">
        <v>3000</v>
      </c>
    </row>
    <row r="1712" spans="1:45" x14ac:dyDescent="0.2">
      <c r="A1712" t="s">
        <v>1326</v>
      </c>
      <c r="B1712" s="4" t="s">
        <v>1146</v>
      </c>
      <c r="C1712" s="4" t="s">
        <v>1149</v>
      </c>
      <c r="D1712" t="s">
        <v>1350</v>
      </c>
      <c r="E1712" t="s">
        <v>1351</v>
      </c>
      <c r="G1712" s="4" t="s">
        <v>1165</v>
      </c>
      <c r="H1712" t="s">
        <v>1165</v>
      </c>
      <c r="I1712" t="s">
        <v>1328</v>
      </c>
      <c r="J1712" t="s">
        <v>1337</v>
      </c>
      <c r="K1712" t="s">
        <v>1338</v>
      </c>
      <c r="L1712">
        <v>2000</v>
      </c>
      <c r="M1712" t="s">
        <v>1327</v>
      </c>
      <c r="O1712">
        <v>2005</v>
      </c>
      <c r="P1712">
        <v>2005</v>
      </c>
      <c r="Q1712" t="s">
        <v>1329</v>
      </c>
      <c r="R1712">
        <v>10</v>
      </c>
      <c r="T1712" t="s">
        <v>1330</v>
      </c>
      <c r="U1712" t="s">
        <v>1246</v>
      </c>
      <c r="V1712" s="9" t="s">
        <v>1332</v>
      </c>
      <c r="W1712">
        <v>210</v>
      </c>
      <c r="X1712" s="9" t="s">
        <v>1334</v>
      </c>
      <c r="Z1712">
        <v>0</v>
      </c>
      <c r="AD1712" t="s">
        <v>1165</v>
      </c>
      <c r="AF1712" t="s">
        <v>1165</v>
      </c>
      <c r="AI1712" t="s">
        <v>1165</v>
      </c>
      <c r="AJ1712" s="4" t="s">
        <v>1148</v>
      </c>
      <c r="AK1712" s="4">
        <v>36.319000000000003</v>
      </c>
      <c r="AP1712" s="4">
        <v>28</v>
      </c>
      <c r="AQ1712" t="s">
        <v>1336</v>
      </c>
      <c r="AR1712" s="4" t="s">
        <v>1335</v>
      </c>
      <c r="AS1712" t="s">
        <v>3000</v>
      </c>
    </row>
    <row r="1713" spans="1:45" x14ac:dyDescent="0.2">
      <c r="A1713" t="s">
        <v>1326</v>
      </c>
      <c r="B1713" s="4" t="s">
        <v>1146</v>
      </c>
      <c r="C1713" s="4" t="s">
        <v>1149</v>
      </c>
      <c r="D1713" t="s">
        <v>1350</v>
      </c>
      <c r="E1713" t="s">
        <v>1351</v>
      </c>
      <c r="G1713" s="4" t="s">
        <v>1165</v>
      </c>
      <c r="H1713" t="s">
        <v>1165</v>
      </c>
      <c r="I1713" t="s">
        <v>1328</v>
      </c>
      <c r="J1713" t="s">
        <v>1337</v>
      </c>
      <c r="K1713" t="s">
        <v>1338</v>
      </c>
      <c r="L1713">
        <v>2000</v>
      </c>
      <c r="M1713" t="s">
        <v>1327</v>
      </c>
      <c r="O1713">
        <v>2005</v>
      </c>
      <c r="P1713">
        <v>2005</v>
      </c>
      <c r="Q1713" t="s">
        <v>1329</v>
      </c>
      <c r="R1713">
        <v>10</v>
      </c>
      <c r="T1713" t="s">
        <v>1330</v>
      </c>
      <c r="U1713" t="s">
        <v>1340</v>
      </c>
      <c r="V1713" s="9" t="s">
        <v>1339</v>
      </c>
      <c r="W1713">
        <v>0</v>
      </c>
      <c r="X1713" s="9" t="s">
        <v>1333</v>
      </c>
      <c r="Z1713">
        <v>12</v>
      </c>
      <c r="AD1713" t="s">
        <v>1165</v>
      </c>
      <c r="AF1713" t="s">
        <v>1165</v>
      </c>
      <c r="AI1713" t="s">
        <v>1165</v>
      </c>
      <c r="AJ1713" s="4" t="s">
        <v>1148</v>
      </c>
      <c r="AK1713" s="4">
        <v>32.185000000000002</v>
      </c>
      <c r="AP1713" s="4">
        <v>28</v>
      </c>
      <c r="AQ1713" t="s">
        <v>1336</v>
      </c>
      <c r="AR1713" s="4" t="s">
        <v>1335</v>
      </c>
      <c r="AS1713" t="s">
        <v>3001</v>
      </c>
    </row>
    <row r="1714" spans="1:45" x14ac:dyDescent="0.2">
      <c r="A1714" t="s">
        <v>1326</v>
      </c>
      <c r="B1714" s="4" t="s">
        <v>1146</v>
      </c>
      <c r="C1714" s="4" t="s">
        <v>1149</v>
      </c>
      <c r="D1714" t="s">
        <v>1350</v>
      </c>
      <c r="E1714" t="s">
        <v>1351</v>
      </c>
      <c r="G1714" s="4" t="s">
        <v>1165</v>
      </c>
      <c r="H1714" t="s">
        <v>1165</v>
      </c>
      <c r="I1714" t="s">
        <v>1328</v>
      </c>
      <c r="J1714" t="s">
        <v>1337</v>
      </c>
      <c r="K1714" t="s">
        <v>1338</v>
      </c>
      <c r="L1714">
        <v>2000</v>
      </c>
      <c r="M1714" t="s">
        <v>1327</v>
      </c>
      <c r="O1714">
        <v>2005</v>
      </c>
      <c r="P1714">
        <v>2005</v>
      </c>
      <c r="Q1714" t="s">
        <v>1329</v>
      </c>
      <c r="R1714">
        <v>10</v>
      </c>
      <c r="T1714" t="s">
        <v>1330</v>
      </c>
      <c r="U1714" t="s">
        <v>1340</v>
      </c>
      <c r="V1714" s="9" t="s">
        <v>1339</v>
      </c>
      <c r="W1714">
        <v>0</v>
      </c>
      <c r="X1714" s="9" t="s">
        <v>1264</v>
      </c>
      <c r="Z1714">
        <v>12</v>
      </c>
      <c r="AD1714" t="s">
        <v>1165</v>
      </c>
      <c r="AF1714" t="s">
        <v>1165</v>
      </c>
      <c r="AI1714" t="s">
        <v>1165</v>
      </c>
      <c r="AJ1714" s="4" t="s">
        <v>1148</v>
      </c>
      <c r="AK1714" s="4">
        <v>41.634</v>
      </c>
      <c r="AP1714" s="4">
        <v>28</v>
      </c>
      <c r="AQ1714" t="s">
        <v>1336</v>
      </c>
      <c r="AR1714" s="4" t="s">
        <v>1335</v>
      </c>
      <c r="AS1714" t="s">
        <v>3001</v>
      </c>
    </row>
    <row r="1715" spans="1:45" x14ac:dyDescent="0.2">
      <c r="A1715" t="s">
        <v>1326</v>
      </c>
      <c r="B1715" s="4" t="s">
        <v>1146</v>
      </c>
      <c r="C1715" s="4" t="s">
        <v>1149</v>
      </c>
      <c r="D1715" t="s">
        <v>1350</v>
      </c>
      <c r="E1715" t="s">
        <v>1351</v>
      </c>
      <c r="G1715" s="4" t="s">
        <v>1165</v>
      </c>
      <c r="H1715" t="s">
        <v>1165</v>
      </c>
      <c r="I1715" t="s">
        <v>1328</v>
      </c>
      <c r="J1715" t="s">
        <v>1337</v>
      </c>
      <c r="K1715" t="s">
        <v>1338</v>
      </c>
      <c r="L1715">
        <v>2000</v>
      </c>
      <c r="M1715" t="s">
        <v>1327</v>
      </c>
      <c r="O1715">
        <v>2005</v>
      </c>
      <c r="P1715">
        <v>2005</v>
      </c>
      <c r="Q1715" t="s">
        <v>1329</v>
      </c>
      <c r="R1715">
        <v>10</v>
      </c>
      <c r="T1715" t="s">
        <v>1330</v>
      </c>
      <c r="U1715" t="s">
        <v>1340</v>
      </c>
      <c r="V1715" s="9" t="s">
        <v>1339</v>
      </c>
      <c r="W1715">
        <v>0</v>
      </c>
      <c r="X1715" s="9" t="s">
        <v>1261</v>
      </c>
      <c r="Z1715">
        <v>12</v>
      </c>
      <c r="AD1715" t="s">
        <v>1165</v>
      </c>
      <c r="AF1715" t="s">
        <v>1165</v>
      </c>
      <c r="AI1715" t="s">
        <v>1165</v>
      </c>
      <c r="AJ1715" s="4" t="s">
        <v>1148</v>
      </c>
      <c r="AK1715" s="4">
        <v>32.776000000000003</v>
      </c>
      <c r="AP1715" s="4">
        <v>28</v>
      </c>
      <c r="AQ1715" t="s">
        <v>1336</v>
      </c>
      <c r="AR1715" s="4" t="s">
        <v>1335</v>
      </c>
      <c r="AS1715" t="s">
        <v>3001</v>
      </c>
    </row>
    <row r="1716" spans="1:45" x14ac:dyDescent="0.2">
      <c r="A1716" t="s">
        <v>1326</v>
      </c>
      <c r="B1716" s="4" t="s">
        <v>1146</v>
      </c>
      <c r="C1716" s="4" t="s">
        <v>1149</v>
      </c>
      <c r="D1716" t="s">
        <v>1350</v>
      </c>
      <c r="E1716" t="s">
        <v>1351</v>
      </c>
      <c r="G1716" s="4" t="s">
        <v>1165</v>
      </c>
      <c r="H1716" t="s">
        <v>1165</v>
      </c>
      <c r="I1716" t="s">
        <v>1328</v>
      </c>
      <c r="J1716" t="s">
        <v>1337</v>
      </c>
      <c r="K1716" t="s">
        <v>1338</v>
      </c>
      <c r="L1716">
        <v>2000</v>
      </c>
      <c r="M1716" t="s">
        <v>1327</v>
      </c>
      <c r="O1716">
        <v>2005</v>
      </c>
      <c r="P1716">
        <v>2005</v>
      </c>
      <c r="Q1716" t="s">
        <v>1329</v>
      </c>
      <c r="R1716">
        <v>10</v>
      </c>
      <c r="T1716" t="s">
        <v>1330</v>
      </c>
      <c r="U1716" t="s">
        <v>1340</v>
      </c>
      <c r="V1716" s="9" t="s">
        <v>1339</v>
      </c>
      <c r="W1716">
        <v>0</v>
      </c>
      <c r="X1716" s="9" t="s">
        <v>1334</v>
      </c>
      <c r="Z1716">
        <v>12</v>
      </c>
      <c r="AD1716" t="s">
        <v>1165</v>
      </c>
      <c r="AF1716" t="s">
        <v>1165</v>
      </c>
      <c r="AI1716" t="s">
        <v>1165</v>
      </c>
      <c r="AJ1716" s="4" t="s">
        <v>1148</v>
      </c>
      <c r="AK1716" s="4">
        <v>4.4290000000000003</v>
      </c>
      <c r="AP1716" s="4">
        <v>28</v>
      </c>
      <c r="AQ1716" t="s">
        <v>1336</v>
      </c>
      <c r="AR1716" s="4" t="s">
        <v>1335</v>
      </c>
      <c r="AS1716" t="s">
        <v>3001</v>
      </c>
    </row>
    <row r="1717" spans="1:45" x14ac:dyDescent="0.2">
      <c r="A1717" t="s">
        <v>1326</v>
      </c>
      <c r="B1717" s="4" t="s">
        <v>1146</v>
      </c>
      <c r="C1717" s="4" t="s">
        <v>1149</v>
      </c>
      <c r="D1717" t="s">
        <v>1350</v>
      </c>
      <c r="E1717" t="s">
        <v>1351</v>
      </c>
      <c r="G1717" s="4" t="s">
        <v>1165</v>
      </c>
      <c r="H1717" t="s">
        <v>1165</v>
      </c>
      <c r="I1717" t="s">
        <v>1328</v>
      </c>
      <c r="J1717" t="s">
        <v>1337</v>
      </c>
      <c r="K1717" t="s">
        <v>1338</v>
      </c>
      <c r="L1717">
        <v>2000</v>
      </c>
      <c r="M1717" t="s">
        <v>1327</v>
      </c>
      <c r="O1717">
        <v>2005</v>
      </c>
      <c r="P1717">
        <v>2005</v>
      </c>
      <c r="Q1717" t="s">
        <v>1329</v>
      </c>
      <c r="R1717">
        <v>10</v>
      </c>
      <c r="T1717" t="s">
        <v>1330</v>
      </c>
      <c r="U1717" t="s">
        <v>1340</v>
      </c>
      <c r="V1717" s="9" t="s">
        <v>1339</v>
      </c>
      <c r="W1717">
        <v>0</v>
      </c>
      <c r="X1717" s="9" t="s">
        <v>1333</v>
      </c>
      <c r="Z1717">
        <v>0</v>
      </c>
      <c r="AD1717" t="s">
        <v>1165</v>
      </c>
      <c r="AF1717" t="s">
        <v>1165</v>
      </c>
      <c r="AI1717" t="s">
        <v>1165</v>
      </c>
      <c r="AJ1717" s="4" t="s">
        <v>1148</v>
      </c>
      <c r="AK1717" s="4">
        <v>23.030999999999999</v>
      </c>
      <c r="AP1717" s="4">
        <v>28</v>
      </c>
      <c r="AQ1717" t="s">
        <v>1336</v>
      </c>
      <c r="AR1717" s="4" t="s">
        <v>1335</v>
      </c>
      <c r="AS1717" t="s">
        <v>3001</v>
      </c>
    </row>
    <row r="1718" spans="1:45" x14ac:dyDescent="0.2">
      <c r="A1718" t="s">
        <v>1326</v>
      </c>
      <c r="B1718" s="4" t="s">
        <v>1146</v>
      </c>
      <c r="C1718" s="4" t="s">
        <v>1149</v>
      </c>
      <c r="D1718" t="s">
        <v>1350</v>
      </c>
      <c r="E1718" t="s">
        <v>1351</v>
      </c>
      <c r="G1718" s="4" t="s">
        <v>1165</v>
      </c>
      <c r="H1718" t="s">
        <v>1165</v>
      </c>
      <c r="I1718" t="s">
        <v>1328</v>
      </c>
      <c r="J1718" t="s">
        <v>1337</v>
      </c>
      <c r="K1718" t="s">
        <v>1338</v>
      </c>
      <c r="L1718">
        <v>2000</v>
      </c>
      <c r="M1718" t="s">
        <v>1327</v>
      </c>
      <c r="O1718">
        <v>2005</v>
      </c>
      <c r="P1718">
        <v>2005</v>
      </c>
      <c r="Q1718" t="s">
        <v>1329</v>
      </c>
      <c r="R1718">
        <v>10</v>
      </c>
      <c r="T1718" t="s">
        <v>1330</v>
      </c>
      <c r="U1718" t="s">
        <v>1340</v>
      </c>
      <c r="V1718" s="9" t="s">
        <v>1339</v>
      </c>
      <c r="W1718">
        <v>0</v>
      </c>
      <c r="X1718" s="9" t="s">
        <v>1264</v>
      </c>
      <c r="Z1718">
        <v>0</v>
      </c>
      <c r="AD1718" t="s">
        <v>1165</v>
      </c>
      <c r="AF1718" t="s">
        <v>1165</v>
      </c>
      <c r="AI1718" t="s">
        <v>1165</v>
      </c>
      <c r="AJ1718" s="4" t="s">
        <v>1148</v>
      </c>
      <c r="AK1718" s="4">
        <v>13.287000000000001</v>
      </c>
      <c r="AP1718" s="4">
        <v>28</v>
      </c>
      <c r="AQ1718" t="s">
        <v>1336</v>
      </c>
      <c r="AR1718" s="4" t="s">
        <v>1335</v>
      </c>
      <c r="AS1718" t="s">
        <v>3001</v>
      </c>
    </row>
    <row r="1719" spans="1:45" x14ac:dyDescent="0.2">
      <c r="A1719" t="s">
        <v>1326</v>
      </c>
      <c r="B1719" s="4" t="s">
        <v>1146</v>
      </c>
      <c r="C1719" s="4" t="s">
        <v>1149</v>
      </c>
      <c r="D1719" t="s">
        <v>1350</v>
      </c>
      <c r="E1719" t="s">
        <v>1351</v>
      </c>
      <c r="G1719" s="4" t="s">
        <v>1165</v>
      </c>
      <c r="H1719" t="s">
        <v>1165</v>
      </c>
      <c r="I1719" t="s">
        <v>1328</v>
      </c>
      <c r="J1719" t="s">
        <v>1337</v>
      </c>
      <c r="K1719" t="s">
        <v>1338</v>
      </c>
      <c r="L1719">
        <v>2000</v>
      </c>
      <c r="M1719" t="s">
        <v>1327</v>
      </c>
      <c r="O1719">
        <v>2005</v>
      </c>
      <c r="P1719">
        <v>2005</v>
      </c>
      <c r="Q1719" t="s">
        <v>1329</v>
      </c>
      <c r="R1719">
        <v>10</v>
      </c>
      <c r="T1719" t="s">
        <v>1330</v>
      </c>
      <c r="U1719" t="s">
        <v>1340</v>
      </c>
      <c r="V1719" s="9" t="s">
        <v>1339</v>
      </c>
      <c r="W1719">
        <v>0</v>
      </c>
      <c r="X1719" s="9" t="s">
        <v>1261</v>
      </c>
      <c r="Z1719">
        <v>0</v>
      </c>
      <c r="AD1719" t="s">
        <v>1165</v>
      </c>
      <c r="AF1719" t="s">
        <v>1165</v>
      </c>
      <c r="AI1719" t="s">
        <v>1165</v>
      </c>
      <c r="AJ1719" s="4" t="s">
        <v>1148</v>
      </c>
      <c r="AK1719" s="4">
        <v>0</v>
      </c>
      <c r="AP1719" s="4">
        <v>28</v>
      </c>
      <c r="AQ1719" t="s">
        <v>1336</v>
      </c>
      <c r="AR1719" s="4" t="s">
        <v>1335</v>
      </c>
      <c r="AS1719" t="s">
        <v>3001</v>
      </c>
    </row>
    <row r="1720" spans="1:45" x14ac:dyDescent="0.2">
      <c r="A1720" t="s">
        <v>1326</v>
      </c>
      <c r="B1720" s="4" t="s">
        <v>1146</v>
      </c>
      <c r="C1720" s="4" t="s">
        <v>1149</v>
      </c>
      <c r="D1720" t="s">
        <v>1350</v>
      </c>
      <c r="E1720" t="s">
        <v>1351</v>
      </c>
      <c r="G1720" s="4" t="s">
        <v>1165</v>
      </c>
      <c r="H1720" t="s">
        <v>1165</v>
      </c>
      <c r="I1720" t="s">
        <v>1328</v>
      </c>
      <c r="J1720" t="s">
        <v>1337</v>
      </c>
      <c r="K1720" t="s">
        <v>1338</v>
      </c>
      <c r="L1720">
        <v>2000</v>
      </c>
      <c r="M1720" t="s">
        <v>1327</v>
      </c>
      <c r="O1720">
        <v>2005</v>
      </c>
      <c r="P1720">
        <v>2005</v>
      </c>
      <c r="Q1720" t="s">
        <v>1329</v>
      </c>
      <c r="R1720">
        <v>10</v>
      </c>
      <c r="T1720" t="s">
        <v>1330</v>
      </c>
      <c r="U1720" t="s">
        <v>1340</v>
      </c>
      <c r="V1720" s="9" t="s">
        <v>1339</v>
      </c>
      <c r="W1720">
        <v>0</v>
      </c>
      <c r="X1720" s="9" t="s">
        <v>1334</v>
      </c>
      <c r="Z1720">
        <v>0</v>
      </c>
      <c r="AD1720" t="s">
        <v>1165</v>
      </c>
      <c r="AF1720" t="s">
        <v>1165</v>
      </c>
      <c r="AI1720" t="s">
        <v>1165</v>
      </c>
      <c r="AJ1720" s="4" t="s">
        <v>1148</v>
      </c>
      <c r="AK1720" s="4">
        <v>0</v>
      </c>
      <c r="AP1720" s="4">
        <v>28</v>
      </c>
      <c r="AQ1720" t="s">
        <v>1336</v>
      </c>
      <c r="AR1720" s="4" t="s">
        <v>1335</v>
      </c>
      <c r="AS1720" t="s">
        <v>3001</v>
      </c>
    </row>
    <row r="1721" spans="1:45" x14ac:dyDescent="0.2">
      <c r="A1721" t="s">
        <v>1326</v>
      </c>
      <c r="B1721" s="4" t="s">
        <v>1146</v>
      </c>
      <c r="C1721" s="4" t="s">
        <v>1149</v>
      </c>
      <c r="D1721" t="s">
        <v>1350</v>
      </c>
      <c r="E1721" t="s">
        <v>1351</v>
      </c>
      <c r="G1721" s="4" t="s">
        <v>1165</v>
      </c>
      <c r="H1721" t="s">
        <v>1165</v>
      </c>
      <c r="I1721" t="s">
        <v>1328</v>
      </c>
      <c r="J1721" t="s">
        <v>1337</v>
      </c>
      <c r="K1721" t="s">
        <v>1338</v>
      </c>
      <c r="L1721">
        <v>2000</v>
      </c>
      <c r="M1721" t="s">
        <v>1327</v>
      </c>
      <c r="O1721">
        <v>2005</v>
      </c>
      <c r="P1721">
        <v>2005</v>
      </c>
      <c r="Q1721" t="s">
        <v>1329</v>
      </c>
      <c r="R1721">
        <v>10</v>
      </c>
      <c r="T1721" t="s">
        <v>1330</v>
      </c>
      <c r="U1721" t="s">
        <v>1340</v>
      </c>
      <c r="V1721" s="9" t="s">
        <v>1339</v>
      </c>
      <c r="W1721">
        <v>17.5</v>
      </c>
      <c r="X1721" s="9" t="s">
        <v>1333</v>
      </c>
      <c r="Z1721">
        <v>12</v>
      </c>
      <c r="AD1721" t="s">
        <v>1165</v>
      </c>
      <c r="AF1721" t="s">
        <v>1165</v>
      </c>
      <c r="AI1721" t="s">
        <v>1165</v>
      </c>
      <c r="AJ1721" s="4" t="s">
        <v>1148</v>
      </c>
      <c r="AK1721" s="4">
        <v>54.625999999999998</v>
      </c>
      <c r="AP1721" s="4">
        <v>28</v>
      </c>
      <c r="AQ1721" t="s">
        <v>1336</v>
      </c>
      <c r="AR1721" s="4" t="s">
        <v>1335</v>
      </c>
      <c r="AS1721" t="s">
        <v>3001</v>
      </c>
    </row>
    <row r="1722" spans="1:45" x14ac:dyDescent="0.2">
      <c r="A1722" t="s">
        <v>1326</v>
      </c>
      <c r="B1722" s="4" t="s">
        <v>1146</v>
      </c>
      <c r="C1722" s="4" t="s">
        <v>1149</v>
      </c>
      <c r="D1722" t="s">
        <v>1350</v>
      </c>
      <c r="E1722" t="s">
        <v>1351</v>
      </c>
      <c r="G1722" s="4" t="s">
        <v>1165</v>
      </c>
      <c r="H1722" t="s">
        <v>1165</v>
      </c>
      <c r="I1722" t="s">
        <v>1328</v>
      </c>
      <c r="J1722" t="s">
        <v>1337</v>
      </c>
      <c r="K1722" t="s">
        <v>1338</v>
      </c>
      <c r="L1722">
        <v>2000</v>
      </c>
      <c r="M1722" t="s">
        <v>1327</v>
      </c>
      <c r="O1722">
        <v>2005</v>
      </c>
      <c r="P1722">
        <v>2005</v>
      </c>
      <c r="Q1722" t="s">
        <v>1329</v>
      </c>
      <c r="R1722">
        <v>10</v>
      </c>
      <c r="T1722" t="s">
        <v>1330</v>
      </c>
      <c r="U1722" t="s">
        <v>1340</v>
      </c>
      <c r="V1722" s="9" t="s">
        <v>1339</v>
      </c>
      <c r="W1722">
        <v>17.5</v>
      </c>
      <c r="X1722" s="9" t="s">
        <v>1264</v>
      </c>
      <c r="Z1722">
        <v>12</v>
      </c>
      <c r="AD1722" t="s">
        <v>1165</v>
      </c>
      <c r="AF1722" t="s">
        <v>1165</v>
      </c>
      <c r="AI1722" t="s">
        <v>1165</v>
      </c>
      <c r="AJ1722" s="4" t="s">
        <v>1148</v>
      </c>
      <c r="AK1722" s="4">
        <v>58.76</v>
      </c>
      <c r="AP1722" s="4">
        <v>28</v>
      </c>
      <c r="AQ1722" t="s">
        <v>1336</v>
      </c>
      <c r="AR1722" s="4" t="s">
        <v>1335</v>
      </c>
      <c r="AS1722" t="s">
        <v>3001</v>
      </c>
    </row>
    <row r="1723" spans="1:45" x14ac:dyDescent="0.2">
      <c r="A1723" t="s">
        <v>1326</v>
      </c>
      <c r="B1723" s="4" t="s">
        <v>1146</v>
      </c>
      <c r="C1723" s="4" t="s">
        <v>1149</v>
      </c>
      <c r="D1723" t="s">
        <v>1350</v>
      </c>
      <c r="E1723" t="s">
        <v>1351</v>
      </c>
      <c r="G1723" s="4" t="s">
        <v>1165</v>
      </c>
      <c r="H1723" t="s">
        <v>1165</v>
      </c>
      <c r="I1723" t="s">
        <v>1328</v>
      </c>
      <c r="J1723" t="s">
        <v>1337</v>
      </c>
      <c r="K1723" t="s">
        <v>1338</v>
      </c>
      <c r="L1723">
        <v>2000</v>
      </c>
      <c r="M1723" t="s">
        <v>1327</v>
      </c>
      <c r="O1723">
        <v>2005</v>
      </c>
      <c r="P1723">
        <v>2005</v>
      </c>
      <c r="Q1723" t="s">
        <v>1329</v>
      </c>
      <c r="R1723">
        <v>10</v>
      </c>
      <c r="T1723" t="s">
        <v>1330</v>
      </c>
      <c r="U1723" t="s">
        <v>1340</v>
      </c>
      <c r="V1723" s="9" t="s">
        <v>1339</v>
      </c>
      <c r="W1723">
        <v>17.5</v>
      </c>
      <c r="X1723" s="9" t="s">
        <v>1261</v>
      </c>
      <c r="Z1723">
        <v>12</v>
      </c>
      <c r="AD1723" t="s">
        <v>1165</v>
      </c>
      <c r="AF1723" t="s">
        <v>1165</v>
      </c>
      <c r="AI1723" t="s">
        <v>1165</v>
      </c>
      <c r="AJ1723" s="4" t="s">
        <v>1148</v>
      </c>
      <c r="AK1723" s="4">
        <v>34.546999999999997</v>
      </c>
      <c r="AP1723" s="4">
        <v>28</v>
      </c>
      <c r="AQ1723" t="s">
        <v>1336</v>
      </c>
      <c r="AR1723" s="4" t="s">
        <v>1335</v>
      </c>
      <c r="AS1723" t="s">
        <v>3001</v>
      </c>
    </row>
    <row r="1724" spans="1:45" x14ac:dyDescent="0.2">
      <c r="A1724" t="s">
        <v>1326</v>
      </c>
      <c r="B1724" s="4" t="s">
        <v>1146</v>
      </c>
      <c r="C1724" s="4" t="s">
        <v>1149</v>
      </c>
      <c r="D1724" t="s">
        <v>1350</v>
      </c>
      <c r="E1724" t="s">
        <v>1351</v>
      </c>
      <c r="G1724" s="4" t="s">
        <v>1165</v>
      </c>
      <c r="H1724" t="s">
        <v>1165</v>
      </c>
      <c r="I1724" t="s">
        <v>1328</v>
      </c>
      <c r="J1724" t="s">
        <v>1337</v>
      </c>
      <c r="K1724" t="s">
        <v>1338</v>
      </c>
      <c r="L1724">
        <v>2000</v>
      </c>
      <c r="M1724" t="s">
        <v>1327</v>
      </c>
      <c r="O1724">
        <v>2005</v>
      </c>
      <c r="P1724">
        <v>2005</v>
      </c>
      <c r="Q1724" t="s">
        <v>1329</v>
      </c>
      <c r="R1724">
        <v>10</v>
      </c>
      <c r="T1724" t="s">
        <v>1330</v>
      </c>
      <c r="U1724" t="s">
        <v>1340</v>
      </c>
      <c r="V1724" s="9" t="s">
        <v>1339</v>
      </c>
      <c r="W1724">
        <v>17.5</v>
      </c>
      <c r="X1724" s="9" t="s">
        <v>1334</v>
      </c>
      <c r="Z1724">
        <v>12</v>
      </c>
      <c r="AD1724" t="s">
        <v>1165</v>
      </c>
      <c r="AF1724" t="s">
        <v>1165</v>
      </c>
      <c r="AI1724" t="s">
        <v>1165</v>
      </c>
      <c r="AJ1724" s="4" t="s">
        <v>1148</v>
      </c>
      <c r="AK1724" s="4">
        <v>13.287000000000001</v>
      </c>
      <c r="AP1724" s="4">
        <v>28</v>
      </c>
      <c r="AQ1724" t="s">
        <v>1336</v>
      </c>
      <c r="AR1724" s="4" t="s">
        <v>1335</v>
      </c>
      <c r="AS1724" t="s">
        <v>3001</v>
      </c>
    </row>
    <row r="1725" spans="1:45" x14ac:dyDescent="0.2">
      <c r="A1725" t="s">
        <v>1326</v>
      </c>
      <c r="B1725" s="4" t="s">
        <v>1146</v>
      </c>
      <c r="C1725" s="4" t="s">
        <v>1149</v>
      </c>
      <c r="D1725" t="s">
        <v>1350</v>
      </c>
      <c r="E1725" t="s">
        <v>1351</v>
      </c>
      <c r="G1725" s="4" t="s">
        <v>1165</v>
      </c>
      <c r="H1725" t="s">
        <v>1165</v>
      </c>
      <c r="I1725" t="s">
        <v>1328</v>
      </c>
      <c r="J1725" t="s">
        <v>1337</v>
      </c>
      <c r="K1725" t="s">
        <v>1338</v>
      </c>
      <c r="L1725">
        <v>2000</v>
      </c>
      <c r="M1725" t="s">
        <v>1327</v>
      </c>
      <c r="O1725">
        <v>2005</v>
      </c>
      <c r="P1725">
        <v>2005</v>
      </c>
      <c r="Q1725" t="s">
        <v>1329</v>
      </c>
      <c r="R1725">
        <v>10</v>
      </c>
      <c r="T1725" t="s">
        <v>1330</v>
      </c>
      <c r="U1725" t="s">
        <v>1340</v>
      </c>
      <c r="V1725" s="9" t="s">
        <v>1339</v>
      </c>
      <c r="W1725">
        <v>17.5</v>
      </c>
      <c r="X1725" s="9" t="s">
        <v>1333</v>
      </c>
      <c r="Z1725">
        <v>0</v>
      </c>
      <c r="AD1725" t="s">
        <v>1165</v>
      </c>
      <c r="AF1725" t="s">
        <v>1165</v>
      </c>
      <c r="AI1725" t="s">
        <v>1165</v>
      </c>
      <c r="AJ1725" s="4" t="s">
        <v>1148</v>
      </c>
      <c r="AK1725" s="4">
        <v>2.0670000000000002</v>
      </c>
      <c r="AP1725" s="4">
        <v>28</v>
      </c>
      <c r="AQ1725" t="s">
        <v>1336</v>
      </c>
      <c r="AR1725" s="4" t="s">
        <v>1335</v>
      </c>
      <c r="AS1725" t="s">
        <v>3001</v>
      </c>
    </row>
    <row r="1726" spans="1:45" x14ac:dyDescent="0.2">
      <c r="A1726" t="s">
        <v>1326</v>
      </c>
      <c r="B1726" s="4" t="s">
        <v>1146</v>
      </c>
      <c r="C1726" s="4" t="s">
        <v>1149</v>
      </c>
      <c r="D1726" t="s">
        <v>1350</v>
      </c>
      <c r="E1726" t="s">
        <v>1351</v>
      </c>
      <c r="G1726" s="4" t="s">
        <v>1165</v>
      </c>
      <c r="H1726" t="s">
        <v>1165</v>
      </c>
      <c r="I1726" t="s">
        <v>1328</v>
      </c>
      <c r="J1726" t="s">
        <v>1337</v>
      </c>
      <c r="K1726" t="s">
        <v>1338</v>
      </c>
      <c r="L1726">
        <v>2000</v>
      </c>
      <c r="M1726" t="s">
        <v>1327</v>
      </c>
      <c r="O1726">
        <v>2005</v>
      </c>
      <c r="P1726">
        <v>2005</v>
      </c>
      <c r="Q1726" t="s">
        <v>1329</v>
      </c>
      <c r="R1726">
        <v>10</v>
      </c>
      <c r="T1726" t="s">
        <v>1330</v>
      </c>
      <c r="U1726" t="s">
        <v>1340</v>
      </c>
      <c r="V1726" s="9" t="s">
        <v>1339</v>
      </c>
      <c r="W1726">
        <v>17.5</v>
      </c>
      <c r="X1726" s="9" t="s">
        <v>1264</v>
      </c>
      <c r="Z1726">
        <v>0</v>
      </c>
      <c r="AD1726" t="s">
        <v>1165</v>
      </c>
      <c r="AF1726" t="s">
        <v>1165</v>
      </c>
      <c r="AI1726" t="s">
        <v>1165</v>
      </c>
      <c r="AJ1726" s="4" t="s">
        <v>1148</v>
      </c>
      <c r="AK1726" s="4">
        <v>2.0670000000000002</v>
      </c>
      <c r="AP1726" s="4">
        <v>28</v>
      </c>
      <c r="AQ1726" t="s">
        <v>1336</v>
      </c>
      <c r="AR1726" s="4" t="s">
        <v>1335</v>
      </c>
      <c r="AS1726" t="s">
        <v>3001</v>
      </c>
    </row>
    <row r="1727" spans="1:45" x14ac:dyDescent="0.2">
      <c r="A1727" t="s">
        <v>1326</v>
      </c>
      <c r="B1727" s="4" t="s">
        <v>1146</v>
      </c>
      <c r="C1727" s="4" t="s">
        <v>1149</v>
      </c>
      <c r="D1727" t="s">
        <v>1350</v>
      </c>
      <c r="E1727" t="s">
        <v>1351</v>
      </c>
      <c r="G1727" s="4" t="s">
        <v>1165</v>
      </c>
      <c r="H1727" t="s">
        <v>1165</v>
      </c>
      <c r="I1727" t="s">
        <v>1328</v>
      </c>
      <c r="J1727" t="s">
        <v>1337</v>
      </c>
      <c r="K1727" t="s">
        <v>1338</v>
      </c>
      <c r="L1727">
        <v>2000</v>
      </c>
      <c r="M1727" t="s">
        <v>1327</v>
      </c>
      <c r="O1727">
        <v>2005</v>
      </c>
      <c r="P1727">
        <v>2005</v>
      </c>
      <c r="Q1727" t="s">
        <v>1329</v>
      </c>
      <c r="R1727">
        <v>10</v>
      </c>
      <c r="T1727" t="s">
        <v>1330</v>
      </c>
      <c r="U1727" t="s">
        <v>1340</v>
      </c>
      <c r="V1727" s="9" t="s">
        <v>1339</v>
      </c>
      <c r="W1727">
        <v>17.5</v>
      </c>
      <c r="X1727" s="9" t="s">
        <v>1261</v>
      </c>
      <c r="Z1727">
        <v>0</v>
      </c>
      <c r="AD1727" t="s">
        <v>1165</v>
      </c>
      <c r="AF1727" t="s">
        <v>1165</v>
      </c>
      <c r="AI1727" t="s">
        <v>1165</v>
      </c>
      <c r="AJ1727" s="4" t="s">
        <v>1148</v>
      </c>
      <c r="AK1727" s="4">
        <v>1.476</v>
      </c>
      <c r="AP1727" s="4">
        <v>28</v>
      </c>
      <c r="AQ1727" t="s">
        <v>1336</v>
      </c>
      <c r="AR1727" s="4" t="s">
        <v>1335</v>
      </c>
      <c r="AS1727" t="s">
        <v>3001</v>
      </c>
    </row>
    <row r="1728" spans="1:45" x14ac:dyDescent="0.2">
      <c r="A1728" t="s">
        <v>1326</v>
      </c>
      <c r="B1728" s="4" t="s">
        <v>1146</v>
      </c>
      <c r="C1728" s="4" t="s">
        <v>1149</v>
      </c>
      <c r="D1728" t="s">
        <v>1350</v>
      </c>
      <c r="E1728" t="s">
        <v>1351</v>
      </c>
      <c r="G1728" s="4" t="s">
        <v>1165</v>
      </c>
      <c r="H1728" t="s">
        <v>1165</v>
      </c>
      <c r="I1728" t="s">
        <v>1328</v>
      </c>
      <c r="J1728" t="s">
        <v>1337</v>
      </c>
      <c r="K1728" t="s">
        <v>1338</v>
      </c>
      <c r="L1728">
        <v>2000</v>
      </c>
      <c r="M1728" t="s">
        <v>1327</v>
      </c>
      <c r="O1728">
        <v>2005</v>
      </c>
      <c r="P1728">
        <v>2005</v>
      </c>
      <c r="Q1728" t="s">
        <v>1329</v>
      </c>
      <c r="R1728">
        <v>10</v>
      </c>
      <c r="T1728" t="s">
        <v>1330</v>
      </c>
      <c r="U1728" t="s">
        <v>1340</v>
      </c>
      <c r="V1728" s="9" t="s">
        <v>1339</v>
      </c>
      <c r="W1728">
        <v>17.5</v>
      </c>
      <c r="X1728" s="9" t="s">
        <v>1334</v>
      </c>
      <c r="Z1728">
        <v>0</v>
      </c>
      <c r="AD1728" t="s">
        <v>1165</v>
      </c>
      <c r="AF1728" t="s">
        <v>1165</v>
      </c>
      <c r="AI1728" t="s">
        <v>1165</v>
      </c>
      <c r="AJ1728" s="4" t="s">
        <v>1148</v>
      </c>
      <c r="AK1728" s="4">
        <v>2.0670000000000002</v>
      </c>
      <c r="AP1728" s="4">
        <v>28</v>
      </c>
      <c r="AQ1728" t="s">
        <v>1336</v>
      </c>
      <c r="AR1728" s="4" t="s">
        <v>1335</v>
      </c>
      <c r="AS1728" t="s">
        <v>3001</v>
      </c>
    </row>
    <row r="1729" spans="1:45" x14ac:dyDescent="0.2">
      <c r="A1729" t="s">
        <v>1326</v>
      </c>
      <c r="B1729" s="4" t="s">
        <v>1146</v>
      </c>
      <c r="C1729" s="4" t="s">
        <v>1149</v>
      </c>
      <c r="D1729" t="s">
        <v>1350</v>
      </c>
      <c r="E1729" t="s">
        <v>1351</v>
      </c>
      <c r="G1729" s="4" t="s">
        <v>1165</v>
      </c>
      <c r="H1729" t="s">
        <v>1165</v>
      </c>
      <c r="I1729" t="s">
        <v>1328</v>
      </c>
      <c r="J1729" t="s">
        <v>1337</v>
      </c>
      <c r="K1729" t="s">
        <v>1338</v>
      </c>
      <c r="L1729">
        <v>2000</v>
      </c>
      <c r="M1729" t="s">
        <v>1327</v>
      </c>
      <c r="O1729">
        <v>2005</v>
      </c>
      <c r="P1729">
        <v>2005</v>
      </c>
      <c r="Q1729" t="s">
        <v>1329</v>
      </c>
      <c r="R1729">
        <v>10</v>
      </c>
      <c r="T1729" t="s">
        <v>1330</v>
      </c>
      <c r="U1729" t="s">
        <v>1340</v>
      </c>
      <c r="V1729" s="9" t="s">
        <v>1339</v>
      </c>
      <c r="W1729">
        <v>35</v>
      </c>
      <c r="X1729" s="9" t="s">
        <v>1333</v>
      </c>
      <c r="Z1729">
        <v>12</v>
      </c>
      <c r="AD1729" t="s">
        <v>1165</v>
      </c>
      <c r="AF1729" t="s">
        <v>1165</v>
      </c>
      <c r="AI1729" t="s">
        <v>1165</v>
      </c>
      <c r="AJ1729" s="4" t="s">
        <v>1148</v>
      </c>
      <c r="AK1729" s="4">
        <v>41.634</v>
      </c>
      <c r="AP1729" s="4">
        <v>28</v>
      </c>
      <c r="AQ1729" t="s">
        <v>1336</v>
      </c>
      <c r="AR1729" s="4" t="s">
        <v>1335</v>
      </c>
      <c r="AS1729" t="s">
        <v>3001</v>
      </c>
    </row>
    <row r="1730" spans="1:45" x14ac:dyDescent="0.2">
      <c r="A1730" t="s">
        <v>1326</v>
      </c>
      <c r="B1730" s="4" t="s">
        <v>1146</v>
      </c>
      <c r="C1730" s="4" t="s">
        <v>1149</v>
      </c>
      <c r="D1730" t="s">
        <v>1350</v>
      </c>
      <c r="E1730" t="s">
        <v>1351</v>
      </c>
      <c r="G1730" s="4" t="s">
        <v>1165</v>
      </c>
      <c r="H1730" t="s">
        <v>1165</v>
      </c>
      <c r="I1730" t="s">
        <v>1328</v>
      </c>
      <c r="J1730" t="s">
        <v>1337</v>
      </c>
      <c r="K1730" t="s">
        <v>1338</v>
      </c>
      <c r="L1730">
        <v>2000</v>
      </c>
      <c r="M1730" t="s">
        <v>1327</v>
      </c>
      <c r="O1730">
        <v>2005</v>
      </c>
      <c r="P1730">
        <v>2005</v>
      </c>
      <c r="Q1730" t="s">
        <v>1329</v>
      </c>
      <c r="R1730">
        <v>10</v>
      </c>
      <c r="T1730" t="s">
        <v>1330</v>
      </c>
      <c r="U1730" t="s">
        <v>1340</v>
      </c>
      <c r="V1730" s="9" t="s">
        <v>1339</v>
      </c>
      <c r="W1730">
        <v>35</v>
      </c>
      <c r="X1730" s="9" t="s">
        <v>1264</v>
      </c>
      <c r="Z1730">
        <v>12</v>
      </c>
      <c r="AD1730" t="s">
        <v>1165</v>
      </c>
      <c r="AF1730" t="s">
        <v>1165</v>
      </c>
      <c r="AI1730" t="s">
        <v>1165</v>
      </c>
      <c r="AJ1730" s="4" t="s">
        <v>1148</v>
      </c>
      <c r="AK1730" s="4">
        <v>56.398000000000003</v>
      </c>
      <c r="AP1730" s="4">
        <v>28</v>
      </c>
      <c r="AQ1730" t="s">
        <v>1336</v>
      </c>
      <c r="AR1730" s="4" t="s">
        <v>1335</v>
      </c>
      <c r="AS1730" t="s">
        <v>3001</v>
      </c>
    </row>
    <row r="1731" spans="1:45" x14ac:dyDescent="0.2">
      <c r="A1731" t="s">
        <v>1326</v>
      </c>
      <c r="B1731" s="4" t="s">
        <v>1146</v>
      </c>
      <c r="C1731" s="4" t="s">
        <v>1149</v>
      </c>
      <c r="D1731" t="s">
        <v>1350</v>
      </c>
      <c r="E1731" t="s">
        <v>1351</v>
      </c>
      <c r="G1731" s="4" t="s">
        <v>1165</v>
      </c>
      <c r="H1731" t="s">
        <v>1165</v>
      </c>
      <c r="I1731" t="s">
        <v>1328</v>
      </c>
      <c r="J1731" t="s">
        <v>1337</v>
      </c>
      <c r="K1731" t="s">
        <v>1338</v>
      </c>
      <c r="L1731">
        <v>2000</v>
      </c>
      <c r="M1731" t="s">
        <v>1327</v>
      </c>
      <c r="O1731">
        <v>2005</v>
      </c>
      <c r="P1731">
        <v>2005</v>
      </c>
      <c r="Q1731" t="s">
        <v>1329</v>
      </c>
      <c r="R1731">
        <v>10</v>
      </c>
      <c r="T1731" t="s">
        <v>1330</v>
      </c>
      <c r="U1731" t="s">
        <v>1340</v>
      </c>
      <c r="V1731" s="9" t="s">
        <v>1339</v>
      </c>
      <c r="W1731">
        <v>35</v>
      </c>
      <c r="X1731" s="9" t="s">
        <v>1261</v>
      </c>
      <c r="Z1731">
        <v>12</v>
      </c>
      <c r="AD1731" t="s">
        <v>1165</v>
      </c>
      <c r="AF1731" t="s">
        <v>1165</v>
      </c>
      <c r="AI1731" t="s">
        <v>1165</v>
      </c>
      <c r="AJ1731" s="4" t="s">
        <v>1148</v>
      </c>
      <c r="AK1731" s="4">
        <v>38.680999999999997</v>
      </c>
      <c r="AP1731" s="4">
        <v>28</v>
      </c>
      <c r="AQ1731" t="s">
        <v>1336</v>
      </c>
      <c r="AR1731" s="4" t="s">
        <v>1335</v>
      </c>
      <c r="AS1731" t="s">
        <v>3001</v>
      </c>
    </row>
    <row r="1732" spans="1:45" x14ac:dyDescent="0.2">
      <c r="A1732" t="s">
        <v>1326</v>
      </c>
      <c r="B1732" s="4" t="s">
        <v>1146</v>
      </c>
      <c r="C1732" s="4" t="s">
        <v>1149</v>
      </c>
      <c r="D1732" t="s">
        <v>1350</v>
      </c>
      <c r="E1732" t="s">
        <v>1351</v>
      </c>
      <c r="G1732" s="4" t="s">
        <v>1165</v>
      </c>
      <c r="H1732" t="s">
        <v>1165</v>
      </c>
      <c r="I1732" t="s">
        <v>1328</v>
      </c>
      <c r="J1732" t="s">
        <v>1337</v>
      </c>
      <c r="K1732" t="s">
        <v>1338</v>
      </c>
      <c r="L1732">
        <v>2000</v>
      </c>
      <c r="M1732" t="s">
        <v>1327</v>
      </c>
      <c r="O1732">
        <v>2005</v>
      </c>
      <c r="P1732">
        <v>2005</v>
      </c>
      <c r="Q1732" t="s">
        <v>1329</v>
      </c>
      <c r="R1732">
        <v>10</v>
      </c>
      <c r="T1732" t="s">
        <v>1330</v>
      </c>
      <c r="U1732" t="s">
        <v>1340</v>
      </c>
      <c r="V1732" s="9" t="s">
        <v>1339</v>
      </c>
      <c r="W1732">
        <v>35</v>
      </c>
      <c r="X1732" s="9" t="s">
        <v>1334</v>
      </c>
      <c r="Z1732">
        <v>12</v>
      </c>
      <c r="AD1732" t="s">
        <v>1165</v>
      </c>
      <c r="AF1732" t="s">
        <v>1165</v>
      </c>
      <c r="AI1732" t="s">
        <v>1165</v>
      </c>
      <c r="AJ1732" s="4" t="s">
        <v>1148</v>
      </c>
      <c r="AK1732" s="4">
        <v>11.516</v>
      </c>
      <c r="AP1732" s="4">
        <v>28</v>
      </c>
      <c r="AQ1732" t="s">
        <v>1336</v>
      </c>
      <c r="AR1732" s="4" t="s">
        <v>1335</v>
      </c>
      <c r="AS1732" t="s">
        <v>3001</v>
      </c>
    </row>
    <row r="1733" spans="1:45" x14ac:dyDescent="0.2">
      <c r="A1733" t="s">
        <v>1326</v>
      </c>
      <c r="B1733" s="4" t="s">
        <v>1146</v>
      </c>
      <c r="C1733" s="4" t="s">
        <v>1149</v>
      </c>
      <c r="D1733" t="s">
        <v>1350</v>
      </c>
      <c r="E1733" t="s">
        <v>1351</v>
      </c>
      <c r="G1733" s="4" t="s">
        <v>1165</v>
      </c>
      <c r="H1733" t="s">
        <v>1165</v>
      </c>
      <c r="I1733" t="s">
        <v>1328</v>
      </c>
      <c r="J1733" t="s">
        <v>1337</v>
      </c>
      <c r="K1733" t="s">
        <v>1338</v>
      </c>
      <c r="L1733">
        <v>2000</v>
      </c>
      <c r="M1733" t="s">
        <v>1327</v>
      </c>
      <c r="O1733">
        <v>2005</v>
      </c>
      <c r="P1733">
        <v>2005</v>
      </c>
      <c r="Q1733" t="s">
        <v>1329</v>
      </c>
      <c r="R1733">
        <v>10</v>
      </c>
      <c r="T1733" t="s">
        <v>1330</v>
      </c>
      <c r="U1733" t="s">
        <v>1340</v>
      </c>
      <c r="V1733" s="9" t="s">
        <v>1339</v>
      </c>
      <c r="W1733">
        <v>35</v>
      </c>
      <c r="X1733" s="9" t="s">
        <v>1333</v>
      </c>
      <c r="Z1733">
        <v>0</v>
      </c>
      <c r="AD1733" t="s">
        <v>1165</v>
      </c>
      <c r="AF1733" t="s">
        <v>1165</v>
      </c>
      <c r="AI1733" t="s">
        <v>1165</v>
      </c>
      <c r="AJ1733" s="4" t="s">
        <v>1148</v>
      </c>
      <c r="AK1733" s="4">
        <v>0</v>
      </c>
      <c r="AP1733" s="4">
        <v>28</v>
      </c>
      <c r="AQ1733" t="s">
        <v>1336</v>
      </c>
      <c r="AR1733" s="4" t="s">
        <v>1335</v>
      </c>
      <c r="AS1733" t="s">
        <v>3001</v>
      </c>
    </row>
    <row r="1734" spans="1:45" x14ac:dyDescent="0.2">
      <c r="A1734" t="s">
        <v>1326</v>
      </c>
      <c r="B1734" s="4" t="s">
        <v>1146</v>
      </c>
      <c r="C1734" s="4" t="s">
        <v>1149</v>
      </c>
      <c r="D1734" t="s">
        <v>1350</v>
      </c>
      <c r="E1734" t="s">
        <v>1351</v>
      </c>
      <c r="G1734" s="4" t="s">
        <v>1165</v>
      </c>
      <c r="H1734" t="s">
        <v>1165</v>
      </c>
      <c r="I1734" t="s">
        <v>1328</v>
      </c>
      <c r="J1734" t="s">
        <v>1337</v>
      </c>
      <c r="K1734" t="s">
        <v>1338</v>
      </c>
      <c r="L1734">
        <v>2000</v>
      </c>
      <c r="M1734" t="s">
        <v>1327</v>
      </c>
      <c r="O1734">
        <v>2005</v>
      </c>
      <c r="P1734">
        <v>2005</v>
      </c>
      <c r="Q1734" t="s">
        <v>1329</v>
      </c>
      <c r="R1734">
        <v>10</v>
      </c>
      <c r="T1734" t="s">
        <v>1330</v>
      </c>
      <c r="U1734" t="s">
        <v>1340</v>
      </c>
      <c r="V1734" s="9" t="s">
        <v>1339</v>
      </c>
      <c r="W1734">
        <v>35</v>
      </c>
      <c r="X1734" s="9" t="s">
        <v>1264</v>
      </c>
      <c r="Z1734">
        <v>0</v>
      </c>
      <c r="AD1734" t="s">
        <v>1165</v>
      </c>
      <c r="AF1734" t="s">
        <v>1165</v>
      </c>
      <c r="AI1734" t="s">
        <v>1165</v>
      </c>
      <c r="AJ1734" s="4" t="s">
        <v>1148</v>
      </c>
      <c r="AK1734" s="4">
        <v>2.0670000000000002</v>
      </c>
      <c r="AP1734" s="4">
        <v>28</v>
      </c>
      <c r="AQ1734" t="s">
        <v>1336</v>
      </c>
      <c r="AR1734" s="4" t="s">
        <v>1335</v>
      </c>
      <c r="AS1734" t="s">
        <v>3001</v>
      </c>
    </row>
    <row r="1735" spans="1:45" x14ac:dyDescent="0.2">
      <c r="A1735" t="s">
        <v>1326</v>
      </c>
      <c r="B1735" s="4" t="s">
        <v>1146</v>
      </c>
      <c r="C1735" s="4" t="s">
        <v>1149</v>
      </c>
      <c r="D1735" t="s">
        <v>1350</v>
      </c>
      <c r="E1735" t="s">
        <v>1351</v>
      </c>
      <c r="G1735" s="4" t="s">
        <v>1165</v>
      </c>
      <c r="H1735" t="s">
        <v>1165</v>
      </c>
      <c r="I1735" t="s">
        <v>1328</v>
      </c>
      <c r="J1735" t="s">
        <v>1337</v>
      </c>
      <c r="K1735" t="s">
        <v>1338</v>
      </c>
      <c r="L1735">
        <v>2000</v>
      </c>
      <c r="M1735" t="s">
        <v>1327</v>
      </c>
      <c r="O1735">
        <v>2005</v>
      </c>
      <c r="P1735">
        <v>2005</v>
      </c>
      <c r="Q1735" t="s">
        <v>1329</v>
      </c>
      <c r="R1735">
        <v>10</v>
      </c>
      <c r="T1735" t="s">
        <v>1330</v>
      </c>
      <c r="U1735" t="s">
        <v>1340</v>
      </c>
      <c r="V1735" s="9" t="s">
        <v>1339</v>
      </c>
      <c r="W1735">
        <v>35</v>
      </c>
      <c r="X1735" s="9" t="s">
        <v>1261</v>
      </c>
      <c r="Z1735">
        <v>0</v>
      </c>
      <c r="AD1735" t="s">
        <v>1165</v>
      </c>
      <c r="AF1735" t="s">
        <v>1165</v>
      </c>
      <c r="AI1735" t="s">
        <v>1165</v>
      </c>
      <c r="AJ1735" s="4" t="s">
        <v>1148</v>
      </c>
      <c r="AK1735" s="4">
        <v>0.88600000000000001</v>
      </c>
      <c r="AP1735" s="4">
        <v>28</v>
      </c>
      <c r="AQ1735" t="s">
        <v>1336</v>
      </c>
      <c r="AR1735" s="4" t="s">
        <v>1335</v>
      </c>
      <c r="AS1735" t="s">
        <v>3001</v>
      </c>
    </row>
    <row r="1736" spans="1:45" x14ac:dyDescent="0.2">
      <c r="A1736" t="s">
        <v>1326</v>
      </c>
      <c r="B1736" s="4" t="s">
        <v>1146</v>
      </c>
      <c r="C1736" s="4" t="s">
        <v>1149</v>
      </c>
      <c r="D1736" t="s">
        <v>1350</v>
      </c>
      <c r="E1736" t="s">
        <v>1351</v>
      </c>
      <c r="G1736" s="4" t="s">
        <v>1165</v>
      </c>
      <c r="H1736" t="s">
        <v>1165</v>
      </c>
      <c r="I1736" t="s">
        <v>1328</v>
      </c>
      <c r="J1736" t="s">
        <v>1337</v>
      </c>
      <c r="K1736" t="s">
        <v>1338</v>
      </c>
      <c r="L1736">
        <v>2000</v>
      </c>
      <c r="M1736" t="s">
        <v>1327</v>
      </c>
      <c r="O1736">
        <v>2005</v>
      </c>
      <c r="P1736">
        <v>2005</v>
      </c>
      <c r="Q1736" t="s">
        <v>1329</v>
      </c>
      <c r="R1736">
        <v>10</v>
      </c>
      <c r="T1736" t="s">
        <v>1330</v>
      </c>
      <c r="U1736" t="s">
        <v>1340</v>
      </c>
      <c r="V1736" s="9" t="s">
        <v>1339</v>
      </c>
      <c r="W1736">
        <v>35</v>
      </c>
      <c r="X1736" s="9" t="s">
        <v>1334</v>
      </c>
      <c r="Z1736">
        <v>0</v>
      </c>
      <c r="AD1736" t="s">
        <v>1165</v>
      </c>
      <c r="AF1736" t="s">
        <v>1165</v>
      </c>
      <c r="AI1736" t="s">
        <v>1165</v>
      </c>
      <c r="AJ1736" s="4" t="s">
        <v>1148</v>
      </c>
      <c r="AK1736" s="4">
        <v>0</v>
      </c>
      <c r="AP1736" s="4">
        <v>28</v>
      </c>
      <c r="AQ1736" t="s">
        <v>1336</v>
      </c>
      <c r="AR1736" s="4" t="s">
        <v>1335</v>
      </c>
      <c r="AS1736" t="s">
        <v>3001</v>
      </c>
    </row>
    <row r="1737" spans="1:45" x14ac:dyDescent="0.2">
      <c r="A1737" t="s">
        <v>1326</v>
      </c>
      <c r="B1737" s="4" t="s">
        <v>1146</v>
      </c>
      <c r="C1737" s="4" t="s">
        <v>1149</v>
      </c>
      <c r="D1737" t="s">
        <v>1350</v>
      </c>
      <c r="E1737" t="s">
        <v>1351</v>
      </c>
      <c r="G1737" s="4" t="s">
        <v>1165</v>
      </c>
      <c r="H1737" t="s">
        <v>1165</v>
      </c>
      <c r="I1737" t="s">
        <v>1328</v>
      </c>
      <c r="J1737" t="s">
        <v>1337</v>
      </c>
      <c r="K1737" t="s">
        <v>1338</v>
      </c>
      <c r="L1737">
        <v>2000</v>
      </c>
      <c r="M1737" t="s">
        <v>1327</v>
      </c>
      <c r="O1737">
        <v>2005</v>
      </c>
      <c r="P1737">
        <v>2005</v>
      </c>
      <c r="Q1737" t="s">
        <v>1329</v>
      </c>
      <c r="R1737">
        <v>10</v>
      </c>
      <c r="T1737" t="s">
        <v>1330</v>
      </c>
      <c r="U1737" t="s">
        <v>1340</v>
      </c>
      <c r="V1737" s="9" t="s">
        <v>1339</v>
      </c>
      <c r="W1737">
        <v>70</v>
      </c>
      <c r="X1737" s="9" t="s">
        <v>1333</v>
      </c>
      <c r="Z1737">
        <v>12</v>
      </c>
      <c r="AD1737" t="s">
        <v>1165</v>
      </c>
      <c r="AF1737" t="s">
        <v>1165</v>
      </c>
      <c r="AI1737" t="s">
        <v>1165</v>
      </c>
      <c r="AJ1737" s="4" t="s">
        <v>1148</v>
      </c>
      <c r="AK1737" s="4">
        <v>42.814999999999998</v>
      </c>
      <c r="AP1737" s="4">
        <v>28</v>
      </c>
      <c r="AQ1737" t="s">
        <v>1336</v>
      </c>
      <c r="AR1737" s="4" t="s">
        <v>1335</v>
      </c>
      <c r="AS1737" t="s">
        <v>3001</v>
      </c>
    </row>
    <row r="1738" spans="1:45" x14ac:dyDescent="0.2">
      <c r="A1738" t="s">
        <v>1326</v>
      </c>
      <c r="B1738" s="4" t="s">
        <v>1146</v>
      </c>
      <c r="C1738" s="4" t="s">
        <v>1149</v>
      </c>
      <c r="D1738" t="s">
        <v>1350</v>
      </c>
      <c r="E1738" t="s">
        <v>1351</v>
      </c>
      <c r="G1738" s="4" t="s">
        <v>1165</v>
      </c>
      <c r="H1738" t="s">
        <v>1165</v>
      </c>
      <c r="I1738" t="s">
        <v>1328</v>
      </c>
      <c r="J1738" t="s">
        <v>1337</v>
      </c>
      <c r="K1738" t="s">
        <v>1338</v>
      </c>
      <c r="L1738">
        <v>2000</v>
      </c>
      <c r="M1738" t="s">
        <v>1327</v>
      </c>
      <c r="O1738">
        <v>2005</v>
      </c>
      <c r="P1738">
        <v>2005</v>
      </c>
      <c r="Q1738" t="s">
        <v>1329</v>
      </c>
      <c r="R1738">
        <v>10</v>
      </c>
      <c r="T1738" t="s">
        <v>1330</v>
      </c>
      <c r="U1738" t="s">
        <v>1340</v>
      </c>
      <c r="V1738" s="9" t="s">
        <v>1339</v>
      </c>
      <c r="W1738">
        <v>70</v>
      </c>
      <c r="X1738" s="9" t="s">
        <v>1264</v>
      </c>
      <c r="Z1738">
        <v>12</v>
      </c>
      <c r="AD1738" t="s">
        <v>1165</v>
      </c>
      <c r="AF1738" t="s">
        <v>1165</v>
      </c>
      <c r="AI1738" t="s">
        <v>1165</v>
      </c>
      <c r="AJ1738" s="4" t="s">
        <v>1148</v>
      </c>
      <c r="AK1738" s="4">
        <v>49.902000000000001</v>
      </c>
      <c r="AP1738" s="4">
        <v>28</v>
      </c>
      <c r="AQ1738" t="s">
        <v>1336</v>
      </c>
      <c r="AR1738" s="4" t="s">
        <v>1335</v>
      </c>
      <c r="AS1738" t="s">
        <v>3001</v>
      </c>
    </row>
    <row r="1739" spans="1:45" x14ac:dyDescent="0.2">
      <c r="A1739" t="s">
        <v>1326</v>
      </c>
      <c r="B1739" s="4" t="s">
        <v>1146</v>
      </c>
      <c r="C1739" s="4" t="s">
        <v>1149</v>
      </c>
      <c r="D1739" t="s">
        <v>1350</v>
      </c>
      <c r="E1739" t="s">
        <v>1351</v>
      </c>
      <c r="G1739" s="4" t="s">
        <v>1165</v>
      </c>
      <c r="H1739" t="s">
        <v>1165</v>
      </c>
      <c r="I1739" t="s">
        <v>1328</v>
      </c>
      <c r="J1739" t="s">
        <v>1337</v>
      </c>
      <c r="K1739" t="s">
        <v>1338</v>
      </c>
      <c r="L1739">
        <v>2000</v>
      </c>
      <c r="M1739" t="s">
        <v>1327</v>
      </c>
      <c r="O1739">
        <v>2005</v>
      </c>
      <c r="P1739">
        <v>2005</v>
      </c>
      <c r="Q1739" t="s">
        <v>1329</v>
      </c>
      <c r="R1739">
        <v>10</v>
      </c>
      <c r="T1739" t="s">
        <v>1330</v>
      </c>
      <c r="U1739" t="s">
        <v>1340</v>
      </c>
      <c r="V1739" s="9" t="s">
        <v>1339</v>
      </c>
      <c r="W1739">
        <v>70</v>
      </c>
      <c r="X1739" s="9" t="s">
        <v>1261</v>
      </c>
      <c r="Z1739">
        <v>12</v>
      </c>
      <c r="AD1739" t="s">
        <v>1165</v>
      </c>
      <c r="AF1739" t="s">
        <v>1165</v>
      </c>
      <c r="AI1739" t="s">
        <v>1165</v>
      </c>
      <c r="AJ1739" s="4" t="s">
        <v>1148</v>
      </c>
      <c r="AK1739" s="4">
        <v>44.587000000000003</v>
      </c>
      <c r="AP1739" s="4">
        <v>28</v>
      </c>
      <c r="AQ1739" t="s">
        <v>1336</v>
      </c>
      <c r="AR1739" s="4" t="s">
        <v>1335</v>
      </c>
      <c r="AS1739" t="s">
        <v>3001</v>
      </c>
    </row>
    <row r="1740" spans="1:45" x14ac:dyDescent="0.2">
      <c r="A1740" t="s">
        <v>1326</v>
      </c>
      <c r="B1740" s="4" t="s">
        <v>1146</v>
      </c>
      <c r="C1740" s="4" t="s">
        <v>1149</v>
      </c>
      <c r="D1740" t="s">
        <v>1350</v>
      </c>
      <c r="E1740" t="s">
        <v>1351</v>
      </c>
      <c r="G1740" s="4" t="s">
        <v>1165</v>
      </c>
      <c r="H1740" t="s">
        <v>1165</v>
      </c>
      <c r="I1740" t="s">
        <v>1328</v>
      </c>
      <c r="J1740" t="s">
        <v>1337</v>
      </c>
      <c r="K1740" t="s">
        <v>1338</v>
      </c>
      <c r="L1740">
        <v>2000</v>
      </c>
      <c r="M1740" t="s">
        <v>1327</v>
      </c>
      <c r="O1740">
        <v>2005</v>
      </c>
      <c r="P1740">
        <v>2005</v>
      </c>
      <c r="Q1740" t="s">
        <v>1329</v>
      </c>
      <c r="R1740">
        <v>10</v>
      </c>
      <c r="T1740" t="s">
        <v>1330</v>
      </c>
      <c r="U1740" t="s">
        <v>1340</v>
      </c>
      <c r="V1740" s="9" t="s">
        <v>1339</v>
      </c>
      <c r="W1740">
        <v>70</v>
      </c>
      <c r="X1740" s="9" t="s">
        <v>1334</v>
      </c>
      <c r="Z1740">
        <v>12</v>
      </c>
      <c r="AD1740" t="s">
        <v>1165</v>
      </c>
      <c r="AF1740" t="s">
        <v>1165</v>
      </c>
      <c r="AI1740" t="s">
        <v>1165</v>
      </c>
      <c r="AJ1740" s="4" t="s">
        <v>1148</v>
      </c>
      <c r="AK1740" s="4">
        <v>15.058999999999999</v>
      </c>
      <c r="AP1740" s="4">
        <v>28</v>
      </c>
      <c r="AQ1740" t="s">
        <v>1336</v>
      </c>
      <c r="AR1740" s="4" t="s">
        <v>1335</v>
      </c>
      <c r="AS1740" t="s">
        <v>3001</v>
      </c>
    </row>
    <row r="1741" spans="1:45" x14ac:dyDescent="0.2">
      <c r="A1741" t="s">
        <v>1326</v>
      </c>
      <c r="B1741" s="4" t="s">
        <v>1146</v>
      </c>
      <c r="C1741" s="4" t="s">
        <v>1149</v>
      </c>
      <c r="D1741" t="s">
        <v>1350</v>
      </c>
      <c r="E1741" t="s">
        <v>1351</v>
      </c>
      <c r="G1741" s="4" t="s">
        <v>1165</v>
      </c>
      <c r="H1741" t="s">
        <v>1165</v>
      </c>
      <c r="I1741" t="s">
        <v>1328</v>
      </c>
      <c r="J1741" t="s">
        <v>1337</v>
      </c>
      <c r="K1741" t="s">
        <v>1338</v>
      </c>
      <c r="L1741">
        <v>2000</v>
      </c>
      <c r="M1741" t="s">
        <v>1327</v>
      </c>
      <c r="O1741">
        <v>2005</v>
      </c>
      <c r="P1741">
        <v>2005</v>
      </c>
      <c r="Q1741" t="s">
        <v>1329</v>
      </c>
      <c r="R1741">
        <v>10</v>
      </c>
      <c r="T1741" t="s">
        <v>1330</v>
      </c>
      <c r="U1741" t="s">
        <v>1340</v>
      </c>
      <c r="V1741" s="9" t="s">
        <v>1339</v>
      </c>
      <c r="W1741">
        <v>70</v>
      </c>
      <c r="X1741" s="9" t="s">
        <v>1333</v>
      </c>
      <c r="Z1741">
        <v>0</v>
      </c>
      <c r="AD1741" t="s">
        <v>1165</v>
      </c>
      <c r="AF1741" t="s">
        <v>1165</v>
      </c>
      <c r="AI1741" t="s">
        <v>1165</v>
      </c>
      <c r="AJ1741" s="4" t="s">
        <v>1148</v>
      </c>
      <c r="AK1741" s="4">
        <v>3.839</v>
      </c>
      <c r="AP1741" s="4">
        <v>28</v>
      </c>
      <c r="AQ1741" t="s">
        <v>1336</v>
      </c>
      <c r="AR1741" s="4" t="s">
        <v>1335</v>
      </c>
      <c r="AS1741" t="s">
        <v>3001</v>
      </c>
    </row>
    <row r="1742" spans="1:45" x14ac:dyDescent="0.2">
      <c r="A1742" t="s">
        <v>1326</v>
      </c>
      <c r="B1742" s="4" t="s">
        <v>1146</v>
      </c>
      <c r="C1742" s="4" t="s">
        <v>1149</v>
      </c>
      <c r="D1742" t="s">
        <v>1350</v>
      </c>
      <c r="E1742" t="s">
        <v>1351</v>
      </c>
      <c r="G1742" s="4" t="s">
        <v>1165</v>
      </c>
      <c r="H1742" t="s">
        <v>1165</v>
      </c>
      <c r="I1742" t="s">
        <v>1328</v>
      </c>
      <c r="J1742" t="s">
        <v>1337</v>
      </c>
      <c r="K1742" t="s">
        <v>1338</v>
      </c>
      <c r="L1742">
        <v>2000</v>
      </c>
      <c r="M1742" t="s">
        <v>1327</v>
      </c>
      <c r="O1742">
        <v>2005</v>
      </c>
      <c r="P1742">
        <v>2005</v>
      </c>
      <c r="Q1742" t="s">
        <v>1329</v>
      </c>
      <c r="R1742">
        <v>10</v>
      </c>
      <c r="T1742" t="s">
        <v>1330</v>
      </c>
      <c r="U1742" t="s">
        <v>1340</v>
      </c>
      <c r="V1742" s="9" t="s">
        <v>1339</v>
      </c>
      <c r="W1742">
        <v>70</v>
      </c>
      <c r="X1742" s="9" t="s">
        <v>1264</v>
      </c>
      <c r="Z1742">
        <v>0</v>
      </c>
      <c r="AD1742" t="s">
        <v>1165</v>
      </c>
      <c r="AF1742" t="s">
        <v>1165</v>
      </c>
      <c r="AI1742" t="s">
        <v>1165</v>
      </c>
      <c r="AJ1742" s="4" t="s">
        <v>1148</v>
      </c>
      <c r="AK1742" s="4">
        <v>9.7439999999999998</v>
      </c>
      <c r="AP1742" s="4">
        <v>28</v>
      </c>
      <c r="AQ1742" t="s">
        <v>1336</v>
      </c>
      <c r="AR1742" s="4" t="s">
        <v>1335</v>
      </c>
      <c r="AS1742" t="s">
        <v>3001</v>
      </c>
    </row>
    <row r="1743" spans="1:45" x14ac:dyDescent="0.2">
      <c r="A1743" t="s">
        <v>1326</v>
      </c>
      <c r="B1743" s="4" t="s">
        <v>1146</v>
      </c>
      <c r="C1743" s="4" t="s">
        <v>1149</v>
      </c>
      <c r="D1743" t="s">
        <v>1350</v>
      </c>
      <c r="E1743" t="s">
        <v>1351</v>
      </c>
      <c r="G1743" s="4" t="s">
        <v>1165</v>
      </c>
      <c r="H1743" t="s">
        <v>1165</v>
      </c>
      <c r="I1743" t="s">
        <v>1328</v>
      </c>
      <c r="J1743" t="s">
        <v>1337</v>
      </c>
      <c r="K1743" t="s">
        <v>1338</v>
      </c>
      <c r="L1743">
        <v>2000</v>
      </c>
      <c r="M1743" t="s">
        <v>1327</v>
      </c>
      <c r="O1743">
        <v>2005</v>
      </c>
      <c r="P1743">
        <v>2005</v>
      </c>
      <c r="Q1743" t="s">
        <v>1329</v>
      </c>
      <c r="R1743">
        <v>10</v>
      </c>
      <c r="T1743" t="s">
        <v>1330</v>
      </c>
      <c r="U1743" t="s">
        <v>1340</v>
      </c>
      <c r="V1743" s="9" t="s">
        <v>1339</v>
      </c>
      <c r="W1743">
        <v>70</v>
      </c>
      <c r="X1743" s="9" t="s">
        <v>1261</v>
      </c>
      <c r="Z1743">
        <v>0</v>
      </c>
      <c r="AD1743" t="s">
        <v>1165</v>
      </c>
      <c r="AF1743" t="s">
        <v>1165</v>
      </c>
      <c r="AI1743" t="s">
        <v>1165</v>
      </c>
      <c r="AJ1743" s="4" t="s">
        <v>1148</v>
      </c>
      <c r="AK1743" s="4">
        <v>0.88600000000000001</v>
      </c>
      <c r="AP1743" s="4">
        <v>28</v>
      </c>
      <c r="AQ1743" t="s">
        <v>1336</v>
      </c>
      <c r="AR1743" s="4" t="s">
        <v>1335</v>
      </c>
      <c r="AS1743" t="s">
        <v>3001</v>
      </c>
    </row>
    <row r="1744" spans="1:45" x14ac:dyDescent="0.2">
      <c r="A1744" t="s">
        <v>1326</v>
      </c>
      <c r="B1744" s="4" t="s">
        <v>1146</v>
      </c>
      <c r="C1744" s="4" t="s">
        <v>1149</v>
      </c>
      <c r="D1744" t="s">
        <v>1350</v>
      </c>
      <c r="E1744" t="s">
        <v>1351</v>
      </c>
      <c r="G1744" s="4" t="s">
        <v>1165</v>
      </c>
      <c r="H1744" t="s">
        <v>1165</v>
      </c>
      <c r="I1744" t="s">
        <v>1328</v>
      </c>
      <c r="J1744" t="s">
        <v>1337</v>
      </c>
      <c r="K1744" t="s">
        <v>1338</v>
      </c>
      <c r="L1744">
        <v>2000</v>
      </c>
      <c r="M1744" t="s">
        <v>1327</v>
      </c>
      <c r="O1744">
        <v>2005</v>
      </c>
      <c r="P1744">
        <v>2005</v>
      </c>
      <c r="Q1744" t="s">
        <v>1329</v>
      </c>
      <c r="R1744">
        <v>10</v>
      </c>
      <c r="T1744" t="s">
        <v>1330</v>
      </c>
      <c r="U1744" t="s">
        <v>1340</v>
      </c>
      <c r="V1744" s="9" t="s">
        <v>1339</v>
      </c>
      <c r="W1744">
        <v>70</v>
      </c>
      <c r="X1744" s="9" t="s">
        <v>1334</v>
      </c>
      <c r="Z1744">
        <v>0</v>
      </c>
      <c r="AD1744" t="s">
        <v>1165</v>
      </c>
      <c r="AF1744" t="s">
        <v>1165</v>
      </c>
      <c r="AI1744" t="s">
        <v>1165</v>
      </c>
      <c r="AJ1744" s="4" t="s">
        <v>1148</v>
      </c>
      <c r="AK1744" s="4">
        <v>0</v>
      </c>
      <c r="AP1744" s="4">
        <v>28</v>
      </c>
      <c r="AQ1744" t="s">
        <v>1336</v>
      </c>
      <c r="AR1744" s="4" t="s">
        <v>1335</v>
      </c>
      <c r="AS1744" t="s">
        <v>3001</v>
      </c>
    </row>
    <row r="1745" spans="1:45" x14ac:dyDescent="0.2">
      <c r="A1745" t="s">
        <v>1326</v>
      </c>
      <c r="B1745" s="4" t="s">
        <v>1146</v>
      </c>
      <c r="C1745" s="4" t="s">
        <v>1149</v>
      </c>
      <c r="D1745" t="s">
        <v>1350</v>
      </c>
      <c r="E1745" t="s">
        <v>1351</v>
      </c>
      <c r="G1745" s="4" t="s">
        <v>1165</v>
      </c>
      <c r="H1745" t="s">
        <v>1165</v>
      </c>
      <c r="I1745" t="s">
        <v>1328</v>
      </c>
      <c r="J1745" t="s">
        <v>1337</v>
      </c>
      <c r="K1745" t="s">
        <v>1338</v>
      </c>
      <c r="L1745">
        <v>2000</v>
      </c>
      <c r="M1745" t="s">
        <v>1327</v>
      </c>
      <c r="O1745">
        <v>2005</v>
      </c>
      <c r="P1745">
        <v>2005</v>
      </c>
      <c r="Q1745" t="s">
        <v>1329</v>
      </c>
      <c r="R1745">
        <v>10</v>
      </c>
      <c r="T1745" t="s">
        <v>1330</v>
      </c>
      <c r="U1745" t="s">
        <v>1340</v>
      </c>
      <c r="V1745" s="9" t="s">
        <v>1339</v>
      </c>
      <c r="W1745">
        <v>140</v>
      </c>
      <c r="X1745" s="9" t="s">
        <v>1333</v>
      </c>
      <c r="Z1745">
        <v>12</v>
      </c>
      <c r="AD1745" t="s">
        <v>1165</v>
      </c>
      <c r="AF1745" t="s">
        <v>1165</v>
      </c>
      <c r="AI1745" t="s">
        <v>1165</v>
      </c>
      <c r="AJ1745" s="4" t="s">
        <v>1148</v>
      </c>
      <c r="AK1745" s="4">
        <v>33.366</v>
      </c>
      <c r="AP1745" s="4">
        <v>28</v>
      </c>
      <c r="AQ1745" t="s">
        <v>1336</v>
      </c>
      <c r="AR1745" s="4" t="s">
        <v>1335</v>
      </c>
      <c r="AS1745" t="s">
        <v>3001</v>
      </c>
    </row>
    <row r="1746" spans="1:45" x14ac:dyDescent="0.2">
      <c r="A1746" t="s">
        <v>1326</v>
      </c>
      <c r="B1746" s="4" t="s">
        <v>1146</v>
      </c>
      <c r="C1746" s="4" t="s">
        <v>1149</v>
      </c>
      <c r="D1746" t="s">
        <v>1350</v>
      </c>
      <c r="E1746" t="s">
        <v>1351</v>
      </c>
      <c r="G1746" s="4" t="s">
        <v>1165</v>
      </c>
      <c r="H1746" t="s">
        <v>1165</v>
      </c>
      <c r="I1746" t="s">
        <v>1328</v>
      </c>
      <c r="J1746" t="s">
        <v>1337</v>
      </c>
      <c r="K1746" t="s">
        <v>1338</v>
      </c>
      <c r="L1746">
        <v>2000</v>
      </c>
      <c r="M1746" t="s">
        <v>1327</v>
      </c>
      <c r="O1746">
        <v>2005</v>
      </c>
      <c r="P1746">
        <v>2005</v>
      </c>
      <c r="Q1746" t="s">
        <v>1329</v>
      </c>
      <c r="R1746">
        <v>10</v>
      </c>
      <c r="T1746" t="s">
        <v>1330</v>
      </c>
      <c r="U1746" t="s">
        <v>1340</v>
      </c>
      <c r="V1746" s="9" t="s">
        <v>1339</v>
      </c>
      <c r="W1746">
        <v>140</v>
      </c>
      <c r="X1746" s="9" t="s">
        <v>1264</v>
      </c>
      <c r="Z1746">
        <v>12</v>
      </c>
      <c r="AD1746" t="s">
        <v>1165</v>
      </c>
      <c r="AF1746" t="s">
        <v>1165</v>
      </c>
      <c r="AI1746" t="s">
        <v>1165</v>
      </c>
      <c r="AJ1746" s="4" t="s">
        <v>1148</v>
      </c>
      <c r="AK1746" s="4">
        <v>49.311</v>
      </c>
      <c r="AP1746" s="4">
        <v>28</v>
      </c>
      <c r="AQ1746" t="s">
        <v>1336</v>
      </c>
      <c r="AR1746" s="4" t="s">
        <v>1335</v>
      </c>
      <c r="AS1746" t="s">
        <v>3001</v>
      </c>
    </row>
    <row r="1747" spans="1:45" x14ac:dyDescent="0.2">
      <c r="A1747" t="s">
        <v>1326</v>
      </c>
      <c r="B1747" s="4" t="s">
        <v>1146</v>
      </c>
      <c r="C1747" s="4" t="s">
        <v>1149</v>
      </c>
      <c r="D1747" t="s">
        <v>1350</v>
      </c>
      <c r="E1747" t="s">
        <v>1351</v>
      </c>
      <c r="G1747" s="4" t="s">
        <v>1165</v>
      </c>
      <c r="H1747" t="s">
        <v>1165</v>
      </c>
      <c r="I1747" t="s">
        <v>1328</v>
      </c>
      <c r="J1747" t="s">
        <v>1337</v>
      </c>
      <c r="K1747" t="s">
        <v>1338</v>
      </c>
      <c r="L1747">
        <v>2000</v>
      </c>
      <c r="M1747" t="s">
        <v>1327</v>
      </c>
      <c r="O1747">
        <v>2005</v>
      </c>
      <c r="P1747">
        <v>2005</v>
      </c>
      <c r="Q1747" t="s">
        <v>1329</v>
      </c>
      <c r="R1747">
        <v>10</v>
      </c>
      <c r="T1747" t="s">
        <v>1330</v>
      </c>
      <c r="U1747" t="s">
        <v>1340</v>
      </c>
      <c r="V1747" s="9" t="s">
        <v>1339</v>
      </c>
      <c r="W1747">
        <v>140</v>
      </c>
      <c r="X1747" s="9" t="s">
        <v>1261</v>
      </c>
      <c r="Z1747">
        <v>12</v>
      </c>
      <c r="AD1747" t="s">
        <v>1165</v>
      </c>
      <c r="AF1747" t="s">
        <v>1165</v>
      </c>
      <c r="AI1747" t="s">
        <v>1165</v>
      </c>
      <c r="AJ1747" s="4" t="s">
        <v>1148</v>
      </c>
      <c r="AK1747" s="4">
        <v>28.641999999999999</v>
      </c>
      <c r="AP1747" s="4">
        <v>28</v>
      </c>
      <c r="AQ1747" t="s">
        <v>1336</v>
      </c>
      <c r="AR1747" s="4" t="s">
        <v>1335</v>
      </c>
      <c r="AS1747" t="s">
        <v>3001</v>
      </c>
    </row>
    <row r="1748" spans="1:45" x14ac:dyDescent="0.2">
      <c r="A1748" t="s">
        <v>1326</v>
      </c>
      <c r="B1748" s="4" t="s">
        <v>1146</v>
      </c>
      <c r="C1748" s="4" t="s">
        <v>1149</v>
      </c>
      <c r="D1748" t="s">
        <v>1350</v>
      </c>
      <c r="E1748" t="s">
        <v>1351</v>
      </c>
      <c r="G1748" s="4" t="s">
        <v>1165</v>
      </c>
      <c r="H1748" t="s">
        <v>1165</v>
      </c>
      <c r="I1748" t="s">
        <v>1328</v>
      </c>
      <c r="J1748" t="s">
        <v>1337</v>
      </c>
      <c r="K1748" t="s">
        <v>1338</v>
      </c>
      <c r="L1748">
        <v>2000</v>
      </c>
      <c r="M1748" t="s">
        <v>1327</v>
      </c>
      <c r="O1748">
        <v>2005</v>
      </c>
      <c r="P1748">
        <v>2005</v>
      </c>
      <c r="Q1748" t="s">
        <v>1329</v>
      </c>
      <c r="R1748">
        <v>10</v>
      </c>
      <c r="T1748" t="s">
        <v>1330</v>
      </c>
      <c r="U1748" t="s">
        <v>1340</v>
      </c>
      <c r="V1748" s="9" t="s">
        <v>1339</v>
      </c>
      <c r="W1748">
        <v>140</v>
      </c>
      <c r="X1748" s="9" t="s">
        <v>1334</v>
      </c>
      <c r="Z1748">
        <v>12</v>
      </c>
      <c r="AD1748" t="s">
        <v>1165</v>
      </c>
      <c r="AF1748" t="s">
        <v>1165</v>
      </c>
      <c r="AI1748" t="s">
        <v>1165</v>
      </c>
      <c r="AJ1748" s="4" t="s">
        <v>1148</v>
      </c>
      <c r="AK1748" s="4">
        <v>2.657</v>
      </c>
      <c r="AP1748" s="4">
        <v>28</v>
      </c>
      <c r="AQ1748" t="s">
        <v>1336</v>
      </c>
      <c r="AR1748" s="4" t="s">
        <v>1335</v>
      </c>
      <c r="AS1748" t="s">
        <v>3001</v>
      </c>
    </row>
    <row r="1749" spans="1:45" x14ac:dyDescent="0.2">
      <c r="A1749" t="s">
        <v>1326</v>
      </c>
      <c r="B1749" s="4" t="s">
        <v>1146</v>
      </c>
      <c r="C1749" s="4" t="s">
        <v>1149</v>
      </c>
      <c r="D1749" t="s">
        <v>1350</v>
      </c>
      <c r="E1749" t="s">
        <v>1351</v>
      </c>
      <c r="G1749" s="4" t="s">
        <v>1165</v>
      </c>
      <c r="H1749" t="s">
        <v>1165</v>
      </c>
      <c r="I1749" t="s">
        <v>1328</v>
      </c>
      <c r="J1749" t="s">
        <v>1337</v>
      </c>
      <c r="K1749" t="s">
        <v>1338</v>
      </c>
      <c r="L1749">
        <v>2000</v>
      </c>
      <c r="M1749" t="s">
        <v>1327</v>
      </c>
      <c r="O1749">
        <v>2005</v>
      </c>
      <c r="P1749">
        <v>2005</v>
      </c>
      <c r="Q1749" t="s">
        <v>1329</v>
      </c>
      <c r="R1749">
        <v>10</v>
      </c>
      <c r="T1749" t="s">
        <v>1330</v>
      </c>
      <c r="U1749" t="s">
        <v>1340</v>
      </c>
      <c r="V1749" s="9" t="s">
        <v>1339</v>
      </c>
      <c r="W1749">
        <v>140</v>
      </c>
      <c r="X1749" s="9" t="s">
        <v>1264</v>
      </c>
      <c r="Z1749">
        <v>0</v>
      </c>
      <c r="AD1749" t="s">
        <v>1165</v>
      </c>
      <c r="AF1749" t="s">
        <v>1165</v>
      </c>
      <c r="AI1749" t="s">
        <v>1165</v>
      </c>
      <c r="AJ1749" s="4" t="s">
        <v>1148</v>
      </c>
      <c r="AK1749" s="4">
        <v>5.9059999999999997</v>
      </c>
      <c r="AP1749" s="4">
        <v>28</v>
      </c>
      <c r="AQ1749" t="s">
        <v>1336</v>
      </c>
      <c r="AR1749" s="4" t="s">
        <v>1335</v>
      </c>
      <c r="AS1749" t="s">
        <v>3001</v>
      </c>
    </row>
    <row r="1750" spans="1:45" x14ac:dyDescent="0.2">
      <c r="A1750" t="s">
        <v>1326</v>
      </c>
      <c r="B1750" s="4" t="s">
        <v>1146</v>
      </c>
      <c r="C1750" s="4" t="s">
        <v>1149</v>
      </c>
      <c r="D1750" t="s">
        <v>1350</v>
      </c>
      <c r="E1750" t="s">
        <v>1351</v>
      </c>
      <c r="G1750" s="4" t="s">
        <v>1165</v>
      </c>
      <c r="H1750" t="s">
        <v>1165</v>
      </c>
      <c r="I1750" t="s">
        <v>1328</v>
      </c>
      <c r="J1750" t="s">
        <v>1337</v>
      </c>
      <c r="K1750" t="s">
        <v>1338</v>
      </c>
      <c r="L1750">
        <v>2000</v>
      </c>
      <c r="M1750" t="s">
        <v>1327</v>
      </c>
      <c r="O1750">
        <v>2005</v>
      </c>
      <c r="P1750">
        <v>2005</v>
      </c>
      <c r="Q1750" t="s">
        <v>1329</v>
      </c>
      <c r="R1750">
        <v>10</v>
      </c>
      <c r="T1750" t="s">
        <v>1330</v>
      </c>
      <c r="U1750" t="s">
        <v>1340</v>
      </c>
      <c r="V1750" s="9" t="s">
        <v>1339</v>
      </c>
      <c r="W1750">
        <v>140</v>
      </c>
      <c r="X1750" s="9" t="s">
        <v>1261</v>
      </c>
      <c r="Z1750">
        <v>0</v>
      </c>
      <c r="AD1750" t="s">
        <v>1165</v>
      </c>
      <c r="AF1750" t="s">
        <v>1165</v>
      </c>
      <c r="AI1750" t="s">
        <v>1165</v>
      </c>
      <c r="AJ1750" s="4" t="s">
        <v>1148</v>
      </c>
      <c r="AK1750" s="4">
        <v>0</v>
      </c>
      <c r="AP1750" s="4">
        <v>28</v>
      </c>
      <c r="AQ1750" t="s">
        <v>1336</v>
      </c>
      <c r="AR1750" s="4" t="s">
        <v>1335</v>
      </c>
      <c r="AS1750" t="s">
        <v>3001</v>
      </c>
    </row>
    <row r="1751" spans="1:45" x14ac:dyDescent="0.2">
      <c r="A1751" t="s">
        <v>1326</v>
      </c>
      <c r="B1751" s="4" t="s">
        <v>1146</v>
      </c>
      <c r="C1751" s="4" t="s">
        <v>1149</v>
      </c>
      <c r="D1751" t="s">
        <v>1350</v>
      </c>
      <c r="E1751" t="s">
        <v>1351</v>
      </c>
      <c r="G1751" s="4" t="s">
        <v>1165</v>
      </c>
      <c r="H1751" t="s">
        <v>1165</v>
      </c>
      <c r="I1751" t="s">
        <v>1328</v>
      </c>
      <c r="J1751" t="s">
        <v>1337</v>
      </c>
      <c r="K1751" t="s">
        <v>1338</v>
      </c>
      <c r="L1751">
        <v>2000</v>
      </c>
      <c r="M1751" t="s">
        <v>1327</v>
      </c>
      <c r="O1751">
        <v>2005</v>
      </c>
      <c r="P1751">
        <v>2005</v>
      </c>
      <c r="Q1751" t="s">
        <v>1329</v>
      </c>
      <c r="R1751">
        <v>10</v>
      </c>
      <c r="T1751" t="s">
        <v>1330</v>
      </c>
      <c r="U1751" t="s">
        <v>1340</v>
      </c>
      <c r="V1751" s="9" t="s">
        <v>1339</v>
      </c>
      <c r="W1751">
        <v>210</v>
      </c>
      <c r="X1751" s="9" t="s">
        <v>1333</v>
      </c>
      <c r="Z1751">
        <v>12</v>
      </c>
      <c r="AD1751" t="s">
        <v>1165</v>
      </c>
      <c r="AF1751" t="s">
        <v>1165</v>
      </c>
      <c r="AI1751" t="s">
        <v>1165</v>
      </c>
      <c r="AJ1751" s="4" t="s">
        <v>1148</v>
      </c>
      <c r="AK1751" s="4">
        <v>37.204999999999998</v>
      </c>
      <c r="AP1751" s="4">
        <v>28</v>
      </c>
      <c r="AQ1751" t="s">
        <v>1336</v>
      </c>
      <c r="AR1751" s="4" t="s">
        <v>1335</v>
      </c>
      <c r="AS1751" t="s">
        <v>3001</v>
      </c>
    </row>
    <row r="1752" spans="1:45" x14ac:dyDescent="0.2">
      <c r="A1752" t="s">
        <v>1326</v>
      </c>
      <c r="B1752" s="4" t="s">
        <v>1146</v>
      </c>
      <c r="C1752" s="4" t="s">
        <v>1149</v>
      </c>
      <c r="D1752" t="s">
        <v>1350</v>
      </c>
      <c r="E1752" t="s">
        <v>1351</v>
      </c>
      <c r="G1752" s="4" t="s">
        <v>1165</v>
      </c>
      <c r="H1752" t="s">
        <v>1165</v>
      </c>
      <c r="I1752" t="s">
        <v>1328</v>
      </c>
      <c r="J1752" t="s">
        <v>1337</v>
      </c>
      <c r="K1752" t="s">
        <v>1338</v>
      </c>
      <c r="L1752">
        <v>2000</v>
      </c>
      <c r="M1752" t="s">
        <v>1327</v>
      </c>
      <c r="O1752">
        <v>2005</v>
      </c>
      <c r="P1752">
        <v>2005</v>
      </c>
      <c r="Q1752" t="s">
        <v>1329</v>
      </c>
      <c r="R1752">
        <v>10</v>
      </c>
      <c r="T1752" t="s">
        <v>1330</v>
      </c>
      <c r="U1752" t="s">
        <v>1340</v>
      </c>
      <c r="V1752" s="9" t="s">
        <v>1339</v>
      </c>
      <c r="W1752">
        <v>210</v>
      </c>
      <c r="X1752" s="9" t="s">
        <v>1264</v>
      </c>
      <c r="Z1752">
        <v>12</v>
      </c>
      <c r="AD1752" t="s">
        <v>1165</v>
      </c>
      <c r="AF1752" t="s">
        <v>1165</v>
      </c>
      <c r="AI1752" t="s">
        <v>1165</v>
      </c>
      <c r="AJ1752" s="4" t="s">
        <v>1148</v>
      </c>
      <c r="AK1752" s="4">
        <v>38.680999999999997</v>
      </c>
      <c r="AP1752" s="4">
        <v>28</v>
      </c>
      <c r="AQ1752" t="s">
        <v>1336</v>
      </c>
      <c r="AR1752" s="4" t="s">
        <v>1335</v>
      </c>
      <c r="AS1752" t="s">
        <v>3001</v>
      </c>
    </row>
    <row r="1753" spans="1:45" x14ac:dyDescent="0.2">
      <c r="A1753" t="s">
        <v>1326</v>
      </c>
      <c r="B1753" s="4" t="s">
        <v>1146</v>
      </c>
      <c r="C1753" s="4" t="s">
        <v>1149</v>
      </c>
      <c r="D1753" t="s">
        <v>1350</v>
      </c>
      <c r="E1753" t="s">
        <v>1351</v>
      </c>
      <c r="G1753" s="4" t="s">
        <v>1165</v>
      </c>
      <c r="H1753" t="s">
        <v>1165</v>
      </c>
      <c r="I1753" t="s">
        <v>1328</v>
      </c>
      <c r="J1753" t="s">
        <v>1337</v>
      </c>
      <c r="K1753" t="s">
        <v>1338</v>
      </c>
      <c r="L1753">
        <v>2000</v>
      </c>
      <c r="M1753" t="s">
        <v>1327</v>
      </c>
      <c r="O1753">
        <v>2005</v>
      </c>
      <c r="P1753">
        <v>2005</v>
      </c>
      <c r="Q1753" t="s">
        <v>1329</v>
      </c>
      <c r="R1753">
        <v>10</v>
      </c>
      <c r="T1753" t="s">
        <v>1330</v>
      </c>
      <c r="U1753" t="s">
        <v>1340</v>
      </c>
      <c r="V1753" s="9" t="s">
        <v>1339</v>
      </c>
      <c r="W1753">
        <v>210</v>
      </c>
      <c r="X1753" s="9" t="s">
        <v>1261</v>
      </c>
      <c r="Z1753">
        <v>12</v>
      </c>
      <c r="AD1753" t="s">
        <v>1165</v>
      </c>
      <c r="AF1753" t="s">
        <v>1165</v>
      </c>
      <c r="AI1753" t="s">
        <v>1165</v>
      </c>
      <c r="AJ1753" s="4" t="s">
        <v>1148</v>
      </c>
      <c r="AK1753" s="4">
        <v>35.728000000000002</v>
      </c>
      <c r="AP1753" s="4">
        <v>28</v>
      </c>
      <c r="AQ1753" t="s">
        <v>1336</v>
      </c>
      <c r="AR1753" s="4" t="s">
        <v>1335</v>
      </c>
      <c r="AS1753" t="s">
        <v>3001</v>
      </c>
    </row>
    <row r="1754" spans="1:45" x14ac:dyDescent="0.2">
      <c r="A1754" t="s">
        <v>1326</v>
      </c>
      <c r="B1754" s="4" t="s">
        <v>1146</v>
      </c>
      <c r="C1754" s="4" t="s">
        <v>1149</v>
      </c>
      <c r="D1754" t="s">
        <v>1350</v>
      </c>
      <c r="E1754" t="s">
        <v>1351</v>
      </c>
      <c r="G1754" s="4" t="s">
        <v>1165</v>
      </c>
      <c r="H1754" t="s">
        <v>1165</v>
      </c>
      <c r="I1754" t="s">
        <v>1328</v>
      </c>
      <c r="J1754" t="s">
        <v>1337</v>
      </c>
      <c r="K1754" t="s">
        <v>1338</v>
      </c>
      <c r="L1754">
        <v>2000</v>
      </c>
      <c r="M1754" t="s">
        <v>1327</v>
      </c>
      <c r="O1754">
        <v>2005</v>
      </c>
      <c r="P1754">
        <v>2005</v>
      </c>
      <c r="Q1754" t="s">
        <v>1329</v>
      </c>
      <c r="R1754">
        <v>10</v>
      </c>
      <c r="T1754" t="s">
        <v>1330</v>
      </c>
      <c r="U1754" t="s">
        <v>1340</v>
      </c>
      <c r="V1754" s="9" t="s">
        <v>1339</v>
      </c>
      <c r="W1754">
        <v>210</v>
      </c>
      <c r="X1754" s="9" t="s">
        <v>1334</v>
      </c>
      <c r="Z1754">
        <v>12</v>
      </c>
      <c r="AD1754" t="s">
        <v>1165</v>
      </c>
      <c r="AF1754" t="s">
        <v>1165</v>
      </c>
      <c r="AI1754" t="s">
        <v>1165</v>
      </c>
      <c r="AJ1754" s="4" t="s">
        <v>1148</v>
      </c>
      <c r="AK1754" s="4">
        <v>2.0670000000000002</v>
      </c>
      <c r="AP1754" s="4">
        <v>28</v>
      </c>
      <c r="AQ1754" t="s">
        <v>1336</v>
      </c>
      <c r="AR1754" s="4" t="s">
        <v>1335</v>
      </c>
      <c r="AS1754" t="s">
        <v>3001</v>
      </c>
    </row>
    <row r="1755" spans="1:45" x14ac:dyDescent="0.2">
      <c r="A1755" t="s">
        <v>1326</v>
      </c>
      <c r="B1755" s="4" t="s">
        <v>1146</v>
      </c>
      <c r="C1755" s="4" t="s">
        <v>1149</v>
      </c>
      <c r="D1755" t="s">
        <v>1350</v>
      </c>
      <c r="E1755" t="s">
        <v>1351</v>
      </c>
      <c r="G1755" s="4" t="s">
        <v>1165</v>
      </c>
      <c r="H1755" t="s">
        <v>1165</v>
      </c>
      <c r="I1755" t="s">
        <v>1328</v>
      </c>
      <c r="J1755" t="s">
        <v>1337</v>
      </c>
      <c r="K1755" t="s">
        <v>1338</v>
      </c>
      <c r="L1755">
        <v>2000</v>
      </c>
      <c r="M1755" t="s">
        <v>1327</v>
      </c>
      <c r="O1755">
        <v>2005</v>
      </c>
      <c r="P1755">
        <v>2005</v>
      </c>
      <c r="Q1755" t="s">
        <v>1329</v>
      </c>
      <c r="R1755">
        <v>10</v>
      </c>
      <c r="T1755" t="s">
        <v>1330</v>
      </c>
      <c r="U1755" t="s">
        <v>1340</v>
      </c>
      <c r="V1755" s="9" t="s">
        <v>1339</v>
      </c>
      <c r="W1755">
        <v>210</v>
      </c>
      <c r="X1755" s="9" t="s">
        <v>1333</v>
      </c>
      <c r="Z1755">
        <v>0</v>
      </c>
      <c r="AD1755" t="s">
        <v>1165</v>
      </c>
      <c r="AF1755" t="s">
        <v>1165</v>
      </c>
      <c r="AI1755" t="s">
        <v>1165</v>
      </c>
      <c r="AJ1755" s="4" t="s">
        <v>1148</v>
      </c>
      <c r="AK1755" s="4">
        <v>0</v>
      </c>
      <c r="AP1755" s="4">
        <v>28</v>
      </c>
      <c r="AQ1755" t="s">
        <v>1336</v>
      </c>
      <c r="AR1755" s="4" t="s">
        <v>1335</v>
      </c>
      <c r="AS1755" t="s">
        <v>3001</v>
      </c>
    </row>
    <row r="1756" spans="1:45" x14ac:dyDescent="0.2">
      <c r="A1756" t="s">
        <v>1326</v>
      </c>
      <c r="B1756" s="4" t="s">
        <v>1146</v>
      </c>
      <c r="C1756" s="4" t="s">
        <v>1149</v>
      </c>
      <c r="D1756" t="s">
        <v>1350</v>
      </c>
      <c r="E1756" t="s">
        <v>1351</v>
      </c>
      <c r="G1756" s="4" t="s">
        <v>1165</v>
      </c>
      <c r="H1756" t="s">
        <v>1165</v>
      </c>
      <c r="I1756" t="s">
        <v>1328</v>
      </c>
      <c r="J1756" t="s">
        <v>1337</v>
      </c>
      <c r="K1756" t="s">
        <v>1338</v>
      </c>
      <c r="L1756">
        <v>2000</v>
      </c>
      <c r="M1756" t="s">
        <v>1327</v>
      </c>
      <c r="O1756">
        <v>2005</v>
      </c>
      <c r="P1756">
        <v>2005</v>
      </c>
      <c r="Q1756" t="s">
        <v>1329</v>
      </c>
      <c r="R1756">
        <v>10</v>
      </c>
      <c r="T1756" t="s">
        <v>1330</v>
      </c>
      <c r="U1756" t="s">
        <v>1340</v>
      </c>
      <c r="V1756" s="9" t="s">
        <v>1339</v>
      </c>
      <c r="W1756">
        <v>210</v>
      </c>
      <c r="X1756" s="9" t="s">
        <v>1264</v>
      </c>
      <c r="Z1756">
        <v>0</v>
      </c>
      <c r="AD1756" t="s">
        <v>1165</v>
      </c>
      <c r="AF1756" t="s">
        <v>1165</v>
      </c>
      <c r="AI1756" t="s">
        <v>1165</v>
      </c>
      <c r="AJ1756" s="4" t="s">
        <v>1148</v>
      </c>
      <c r="AK1756" s="4">
        <v>0</v>
      </c>
      <c r="AP1756" s="4">
        <v>28</v>
      </c>
      <c r="AQ1756" t="s">
        <v>1336</v>
      </c>
      <c r="AR1756" s="4" t="s">
        <v>1335</v>
      </c>
      <c r="AS1756" t="s">
        <v>3001</v>
      </c>
    </row>
    <row r="1757" spans="1:45" x14ac:dyDescent="0.2">
      <c r="A1757" t="s">
        <v>1326</v>
      </c>
      <c r="B1757" s="4" t="s">
        <v>1146</v>
      </c>
      <c r="C1757" s="4" t="s">
        <v>1149</v>
      </c>
      <c r="D1757" t="s">
        <v>1350</v>
      </c>
      <c r="E1757" t="s">
        <v>1351</v>
      </c>
      <c r="G1757" s="4" t="s">
        <v>1165</v>
      </c>
      <c r="H1757" t="s">
        <v>1165</v>
      </c>
      <c r="I1757" t="s">
        <v>1328</v>
      </c>
      <c r="J1757" t="s">
        <v>1337</v>
      </c>
      <c r="K1757" t="s">
        <v>1338</v>
      </c>
      <c r="L1757">
        <v>2000</v>
      </c>
      <c r="M1757" t="s">
        <v>1327</v>
      </c>
      <c r="O1757">
        <v>2005</v>
      </c>
      <c r="P1757">
        <v>2005</v>
      </c>
      <c r="Q1757" t="s">
        <v>1329</v>
      </c>
      <c r="R1757">
        <v>10</v>
      </c>
      <c r="T1757" t="s">
        <v>1330</v>
      </c>
      <c r="U1757" t="s">
        <v>1340</v>
      </c>
      <c r="V1757" s="9" t="s">
        <v>1339</v>
      </c>
      <c r="W1757">
        <v>210</v>
      </c>
      <c r="X1757" s="9" t="s">
        <v>1261</v>
      </c>
      <c r="Z1757">
        <v>0</v>
      </c>
      <c r="AD1757" t="s">
        <v>1165</v>
      </c>
      <c r="AF1757" t="s">
        <v>1165</v>
      </c>
      <c r="AI1757" t="s">
        <v>1165</v>
      </c>
      <c r="AJ1757" s="4" t="s">
        <v>1148</v>
      </c>
      <c r="AK1757" s="4">
        <v>0</v>
      </c>
      <c r="AP1757" s="4">
        <v>28</v>
      </c>
      <c r="AQ1757" t="s">
        <v>1336</v>
      </c>
      <c r="AR1757" s="4" t="s">
        <v>1335</v>
      </c>
      <c r="AS1757" t="s">
        <v>3001</v>
      </c>
    </row>
    <row r="1758" spans="1:45" x14ac:dyDescent="0.2">
      <c r="A1758" t="s">
        <v>1326</v>
      </c>
      <c r="B1758" s="4" t="s">
        <v>1146</v>
      </c>
      <c r="C1758" s="4" t="s">
        <v>1149</v>
      </c>
      <c r="D1758" t="s">
        <v>1350</v>
      </c>
      <c r="E1758" t="s">
        <v>1351</v>
      </c>
      <c r="G1758" s="4" t="s">
        <v>1165</v>
      </c>
      <c r="H1758" t="s">
        <v>1165</v>
      </c>
      <c r="I1758" t="s">
        <v>1328</v>
      </c>
      <c r="J1758" t="s">
        <v>1337</v>
      </c>
      <c r="K1758" t="s">
        <v>1338</v>
      </c>
      <c r="L1758">
        <v>2000</v>
      </c>
      <c r="M1758" t="s">
        <v>1327</v>
      </c>
      <c r="O1758">
        <v>2005</v>
      </c>
      <c r="P1758">
        <v>2005</v>
      </c>
      <c r="Q1758" t="s">
        <v>1329</v>
      </c>
      <c r="R1758">
        <v>10</v>
      </c>
      <c r="T1758" t="s">
        <v>1330</v>
      </c>
      <c r="U1758" t="s">
        <v>1340</v>
      </c>
      <c r="V1758" s="9" t="s">
        <v>1339</v>
      </c>
      <c r="W1758">
        <v>210</v>
      </c>
      <c r="X1758" s="9" t="s">
        <v>1334</v>
      </c>
      <c r="Z1758">
        <v>0</v>
      </c>
      <c r="AD1758" t="s">
        <v>1165</v>
      </c>
      <c r="AF1758" t="s">
        <v>1165</v>
      </c>
      <c r="AI1758" t="s">
        <v>1165</v>
      </c>
      <c r="AJ1758" s="4" t="s">
        <v>1148</v>
      </c>
      <c r="AK1758" s="4">
        <v>0</v>
      </c>
      <c r="AP1758" s="4">
        <v>28</v>
      </c>
      <c r="AQ1758" t="s">
        <v>1336</v>
      </c>
      <c r="AR1758" s="4" t="s">
        <v>1335</v>
      </c>
      <c r="AS1758" t="s">
        <v>3001</v>
      </c>
    </row>
    <row r="1759" spans="1:45" s="14" customFormat="1" x14ac:dyDescent="0.2">
      <c r="A1759" s="14" t="s">
        <v>1326</v>
      </c>
      <c r="B1759" s="15" t="s">
        <v>1146</v>
      </c>
      <c r="C1759" s="15" t="s">
        <v>1149</v>
      </c>
      <c r="D1759" s="14" t="s">
        <v>1350</v>
      </c>
      <c r="E1759" s="14" t="s">
        <v>1351</v>
      </c>
      <c r="G1759" s="15" t="s">
        <v>1165</v>
      </c>
      <c r="H1759" s="14" t="s">
        <v>1165</v>
      </c>
      <c r="I1759" s="14" t="s">
        <v>1328</v>
      </c>
      <c r="J1759" s="14" t="s">
        <v>1337</v>
      </c>
      <c r="K1759" s="14" t="s">
        <v>1338</v>
      </c>
      <c r="L1759" s="14">
        <v>2000</v>
      </c>
      <c r="M1759" s="14" t="s">
        <v>1327</v>
      </c>
      <c r="O1759" s="14">
        <v>2005</v>
      </c>
      <c r="P1759" s="14">
        <v>2005</v>
      </c>
      <c r="Q1759" s="14" t="s">
        <v>1329</v>
      </c>
      <c r="R1759" s="14">
        <v>10</v>
      </c>
      <c r="T1759" s="14" t="s">
        <v>1330</v>
      </c>
      <c r="U1759" s="14" t="s">
        <v>1341</v>
      </c>
      <c r="V1759" s="12"/>
      <c r="W1759" s="14">
        <v>0</v>
      </c>
      <c r="X1759" s="12" t="s">
        <v>1333</v>
      </c>
      <c r="Y1759" s="14" t="s">
        <v>2994</v>
      </c>
      <c r="Z1759" s="14">
        <v>12</v>
      </c>
      <c r="AD1759" s="14" t="s">
        <v>1165</v>
      </c>
      <c r="AF1759" s="14" t="s">
        <v>1165</v>
      </c>
      <c r="AI1759" s="14" t="s">
        <v>1165</v>
      </c>
      <c r="AJ1759" s="15" t="s">
        <v>1148</v>
      </c>
      <c r="AK1759" s="15">
        <v>32.185000000000002</v>
      </c>
      <c r="AP1759" s="15">
        <v>28</v>
      </c>
      <c r="AQ1759" s="14" t="s">
        <v>1336</v>
      </c>
      <c r="AR1759" s="15" t="s">
        <v>1335</v>
      </c>
      <c r="AS1759" s="14" t="s">
        <v>3002</v>
      </c>
    </row>
    <row r="1760" spans="1:45" s="14" customFormat="1" x14ac:dyDescent="0.2">
      <c r="A1760" s="14" t="s">
        <v>1326</v>
      </c>
      <c r="B1760" s="15" t="s">
        <v>1146</v>
      </c>
      <c r="C1760" s="15" t="s">
        <v>1149</v>
      </c>
      <c r="D1760" s="14" t="s">
        <v>1350</v>
      </c>
      <c r="E1760" s="14" t="s">
        <v>1351</v>
      </c>
      <c r="G1760" s="15" t="s">
        <v>1165</v>
      </c>
      <c r="H1760" s="14" t="s">
        <v>1165</v>
      </c>
      <c r="I1760" s="14" t="s">
        <v>1328</v>
      </c>
      <c r="J1760" s="14" t="s">
        <v>1337</v>
      </c>
      <c r="K1760" s="14" t="s">
        <v>1338</v>
      </c>
      <c r="L1760" s="14">
        <v>2000</v>
      </c>
      <c r="M1760" s="14" t="s">
        <v>1327</v>
      </c>
      <c r="O1760" s="14">
        <v>2005</v>
      </c>
      <c r="P1760" s="14">
        <v>2005</v>
      </c>
      <c r="Q1760" s="14" t="s">
        <v>1329</v>
      </c>
      <c r="R1760" s="14">
        <v>10</v>
      </c>
      <c r="T1760" s="14" t="s">
        <v>1330</v>
      </c>
      <c r="U1760" s="14" t="s">
        <v>1341</v>
      </c>
      <c r="V1760" s="12"/>
      <c r="W1760" s="14">
        <v>0</v>
      </c>
      <c r="X1760" s="12" t="s">
        <v>1264</v>
      </c>
      <c r="Y1760" s="14" t="s">
        <v>2994</v>
      </c>
      <c r="Z1760" s="14">
        <v>12</v>
      </c>
      <c r="AD1760" s="14" t="s">
        <v>1165</v>
      </c>
      <c r="AF1760" s="14" t="s">
        <v>1165</v>
      </c>
      <c r="AI1760" s="14" t="s">
        <v>1165</v>
      </c>
      <c r="AJ1760" s="15" t="s">
        <v>1148</v>
      </c>
      <c r="AK1760" s="15">
        <v>41.634</v>
      </c>
      <c r="AP1760" s="15">
        <v>28</v>
      </c>
      <c r="AQ1760" s="14" t="s">
        <v>1336</v>
      </c>
      <c r="AR1760" s="15" t="s">
        <v>1335</v>
      </c>
      <c r="AS1760" s="14" t="s">
        <v>3002</v>
      </c>
    </row>
    <row r="1761" spans="1:45" s="14" customFormat="1" x14ac:dyDescent="0.2">
      <c r="A1761" s="14" t="s">
        <v>1326</v>
      </c>
      <c r="B1761" s="15" t="s">
        <v>1146</v>
      </c>
      <c r="C1761" s="15" t="s">
        <v>1149</v>
      </c>
      <c r="D1761" s="14" t="s">
        <v>1350</v>
      </c>
      <c r="E1761" s="14" t="s">
        <v>1351</v>
      </c>
      <c r="G1761" s="15" t="s">
        <v>1165</v>
      </c>
      <c r="H1761" s="14" t="s">
        <v>1165</v>
      </c>
      <c r="I1761" s="14" t="s">
        <v>1328</v>
      </c>
      <c r="J1761" s="14" t="s">
        <v>1337</v>
      </c>
      <c r="K1761" s="14" t="s">
        <v>1338</v>
      </c>
      <c r="L1761" s="14">
        <v>2000</v>
      </c>
      <c r="M1761" s="14" t="s">
        <v>1327</v>
      </c>
      <c r="O1761" s="14">
        <v>2005</v>
      </c>
      <c r="P1761" s="14">
        <v>2005</v>
      </c>
      <c r="Q1761" s="14" t="s">
        <v>1329</v>
      </c>
      <c r="R1761" s="14">
        <v>10</v>
      </c>
      <c r="T1761" s="14" t="s">
        <v>1330</v>
      </c>
      <c r="U1761" s="14" t="s">
        <v>1341</v>
      </c>
      <c r="V1761" s="12"/>
      <c r="W1761" s="14">
        <v>0</v>
      </c>
      <c r="X1761" s="12" t="s">
        <v>1261</v>
      </c>
      <c r="Y1761" s="14" t="s">
        <v>2994</v>
      </c>
      <c r="Z1761" s="14">
        <v>12</v>
      </c>
      <c r="AD1761" s="14" t="s">
        <v>1165</v>
      </c>
      <c r="AF1761" s="14" t="s">
        <v>1165</v>
      </c>
      <c r="AI1761" s="14" t="s">
        <v>1165</v>
      </c>
      <c r="AJ1761" s="15" t="s">
        <v>1148</v>
      </c>
      <c r="AK1761" s="15">
        <v>32.776000000000003</v>
      </c>
      <c r="AP1761" s="15">
        <v>28</v>
      </c>
      <c r="AQ1761" s="14" t="s">
        <v>1336</v>
      </c>
      <c r="AR1761" s="15" t="s">
        <v>1335</v>
      </c>
      <c r="AS1761" s="14" t="s">
        <v>3002</v>
      </c>
    </row>
    <row r="1762" spans="1:45" s="14" customFormat="1" x14ac:dyDescent="0.2">
      <c r="A1762" s="14" t="s">
        <v>1326</v>
      </c>
      <c r="B1762" s="15" t="s">
        <v>1146</v>
      </c>
      <c r="C1762" s="15" t="s">
        <v>1149</v>
      </c>
      <c r="D1762" s="14" t="s">
        <v>1350</v>
      </c>
      <c r="E1762" s="14" t="s">
        <v>1351</v>
      </c>
      <c r="G1762" s="15" t="s">
        <v>1165</v>
      </c>
      <c r="H1762" s="14" t="s">
        <v>1165</v>
      </c>
      <c r="I1762" s="14" t="s">
        <v>1328</v>
      </c>
      <c r="J1762" s="14" t="s">
        <v>1337</v>
      </c>
      <c r="K1762" s="14" t="s">
        <v>1338</v>
      </c>
      <c r="L1762" s="14">
        <v>2000</v>
      </c>
      <c r="M1762" s="14" t="s">
        <v>1327</v>
      </c>
      <c r="O1762" s="14">
        <v>2005</v>
      </c>
      <c r="P1762" s="14">
        <v>2005</v>
      </c>
      <c r="Q1762" s="14" t="s">
        <v>1329</v>
      </c>
      <c r="R1762" s="14">
        <v>10</v>
      </c>
      <c r="T1762" s="14" t="s">
        <v>1330</v>
      </c>
      <c r="U1762" s="14" t="s">
        <v>1341</v>
      </c>
      <c r="V1762" s="12"/>
      <c r="W1762" s="14">
        <v>0</v>
      </c>
      <c r="X1762" s="12" t="s">
        <v>1334</v>
      </c>
      <c r="Y1762" s="14" t="s">
        <v>2994</v>
      </c>
      <c r="Z1762" s="14">
        <v>12</v>
      </c>
      <c r="AD1762" s="14" t="s">
        <v>1165</v>
      </c>
      <c r="AF1762" s="14" t="s">
        <v>1165</v>
      </c>
      <c r="AI1762" s="14" t="s">
        <v>1165</v>
      </c>
      <c r="AJ1762" s="15" t="s">
        <v>1148</v>
      </c>
      <c r="AK1762" s="15">
        <v>3.839</v>
      </c>
      <c r="AP1762" s="15">
        <v>28</v>
      </c>
      <c r="AQ1762" s="14" t="s">
        <v>1336</v>
      </c>
      <c r="AR1762" s="15" t="s">
        <v>1335</v>
      </c>
      <c r="AS1762" s="14" t="s">
        <v>3002</v>
      </c>
    </row>
    <row r="1763" spans="1:45" s="14" customFormat="1" x14ac:dyDescent="0.2">
      <c r="A1763" s="14" t="s">
        <v>1326</v>
      </c>
      <c r="B1763" s="15" t="s">
        <v>1146</v>
      </c>
      <c r="C1763" s="15" t="s">
        <v>1149</v>
      </c>
      <c r="D1763" s="14" t="s">
        <v>1350</v>
      </c>
      <c r="E1763" s="14" t="s">
        <v>1351</v>
      </c>
      <c r="G1763" s="15" t="s">
        <v>1165</v>
      </c>
      <c r="H1763" s="14" t="s">
        <v>1165</v>
      </c>
      <c r="I1763" s="14" t="s">
        <v>1328</v>
      </c>
      <c r="J1763" s="14" t="s">
        <v>1337</v>
      </c>
      <c r="K1763" s="14" t="s">
        <v>1338</v>
      </c>
      <c r="L1763" s="14">
        <v>2000</v>
      </c>
      <c r="M1763" s="14" t="s">
        <v>1327</v>
      </c>
      <c r="O1763" s="14">
        <v>2005</v>
      </c>
      <c r="P1763" s="14">
        <v>2005</v>
      </c>
      <c r="Q1763" s="14" t="s">
        <v>1329</v>
      </c>
      <c r="R1763" s="14">
        <v>10</v>
      </c>
      <c r="T1763" s="14" t="s">
        <v>1330</v>
      </c>
      <c r="U1763" s="14" t="s">
        <v>1341</v>
      </c>
      <c r="V1763" s="12"/>
      <c r="W1763" s="14">
        <v>0</v>
      </c>
      <c r="X1763" s="12" t="s">
        <v>1333</v>
      </c>
      <c r="Y1763" s="14" t="s">
        <v>2994</v>
      </c>
      <c r="Z1763" s="14">
        <v>0</v>
      </c>
      <c r="AD1763" s="14" t="s">
        <v>1165</v>
      </c>
      <c r="AF1763" s="14" t="s">
        <v>1165</v>
      </c>
      <c r="AI1763" s="14" t="s">
        <v>1165</v>
      </c>
      <c r="AJ1763" s="15" t="s">
        <v>1148</v>
      </c>
      <c r="AK1763" s="15">
        <v>23.327000000000002</v>
      </c>
      <c r="AP1763" s="15">
        <v>28</v>
      </c>
      <c r="AQ1763" s="14" t="s">
        <v>1336</v>
      </c>
      <c r="AR1763" s="15" t="s">
        <v>1335</v>
      </c>
      <c r="AS1763" s="14" t="s">
        <v>3002</v>
      </c>
    </row>
    <row r="1764" spans="1:45" s="14" customFormat="1" x14ac:dyDescent="0.2">
      <c r="A1764" s="14" t="s">
        <v>1326</v>
      </c>
      <c r="B1764" s="15" t="s">
        <v>1146</v>
      </c>
      <c r="C1764" s="15" t="s">
        <v>1149</v>
      </c>
      <c r="D1764" s="14" t="s">
        <v>1350</v>
      </c>
      <c r="E1764" s="14" t="s">
        <v>1351</v>
      </c>
      <c r="G1764" s="15" t="s">
        <v>1165</v>
      </c>
      <c r="H1764" s="14" t="s">
        <v>1165</v>
      </c>
      <c r="I1764" s="14" t="s">
        <v>1328</v>
      </c>
      <c r="J1764" s="14" t="s">
        <v>1337</v>
      </c>
      <c r="K1764" s="14" t="s">
        <v>1338</v>
      </c>
      <c r="L1764" s="14">
        <v>2000</v>
      </c>
      <c r="M1764" s="14" t="s">
        <v>1327</v>
      </c>
      <c r="O1764" s="14">
        <v>2005</v>
      </c>
      <c r="P1764" s="14">
        <v>2005</v>
      </c>
      <c r="Q1764" s="14" t="s">
        <v>1329</v>
      </c>
      <c r="R1764" s="14">
        <v>10</v>
      </c>
      <c r="T1764" s="14" t="s">
        <v>1330</v>
      </c>
      <c r="U1764" s="14" t="s">
        <v>1341</v>
      </c>
      <c r="V1764" s="12"/>
      <c r="W1764" s="14">
        <v>0</v>
      </c>
      <c r="X1764" s="12" t="s">
        <v>1264</v>
      </c>
      <c r="Y1764" s="14" t="s">
        <v>2994</v>
      </c>
      <c r="Z1764" s="14">
        <v>0</v>
      </c>
      <c r="AD1764" s="14" t="s">
        <v>1165</v>
      </c>
      <c r="AF1764" s="14" t="s">
        <v>1165</v>
      </c>
      <c r="AI1764" s="14" t="s">
        <v>1165</v>
      </c>
      <c r="AJ1764" s="15" t="s">
        <v>1148</v>
      </c>
      <c r="AK1764" s="15">
        <v>13.287000000000001</v>
      </c>
      <c r="AP1764" s="15">
        <v>28</v>
      </c>
      <c r="AQ1764" s="14" t="s">
        <v>1336</v>
      </c>
      <c r="AR1764" s="15" t="s">
        <v>1335</v>
      </c>
      <c r="AS1764" s="14" t="s">
        <v>3002</v>
      </c>
    </row>
    <row r="1765" spans="1:45" s="14" customFormat="1" x14ac:dyDescent="0.2">
      <c r="A1765" s="14" t="s">
        <v>1326</v>
      </c>
      <c r="B1765" s="15" t="s">
        <v>1146</v>
      </c>
      <c r="C1765" s="15" t="s">
        <v>1149</v>
      </c>
      <c r="D1765" s="14" t="s">
        <v>1350</v>
      </c>
      <c r="E1765" s="14" t="s">
        <v>1351</v>
      </c>
      <c r="G1765" s="15" t="s">
        <v>1165</v>
      </c>
      <c r="H1765" s="14" t="s">
        <v>1165</v>
      </c>
      <c r="I1765" s="14" t="s">
        <v>1328</v>
      </c>
      <c r="J1765" s="14" t="s">
        <v>1337</v>
      </c>
      <c r="K1765" s="14" t="s">
        <v>1338</v>
      </c>
      <c r="L1765" s="14">
        <v>2000</v>
      </c>
      <c r="M1765" s="14" t="s">
        <v>1327</v>
      </c>
      <c r="O1765" s="14">
        <v>2005</v>
      </c>
      <c r="P1765" s="14">
        <v>2005</v>
      </c>
      <c r="Q1765" s="14" t="s">
        <v>1329</v>
      </c>
      <c r="R1765" s="14">
        <v>10</v>
      </c>
      <c r="T1765" s="14" t="s">
        <v>1330</v>
      </c>
      <c r="U1765" s="14" t="s">
        <v>1341</v>
      </c>
      <c r="V1765" s="12"/>
      <c r="W1765" s="14">
        <v>0</v>
      </c>
      <c r="X1765" s="12" t="s">
        <v>1261</v>
      </c>
      <c r="Y1765" s="14" t="s">
        <v>2994</v>
      </c>
      <c r="Z1765" s="14">
        <v>0</v>
      </c>
      <c r="AD1765" s="14" t="s">
        <v>1165</v>
      </c>
      <c r="AF1765" s="14" t="s">
        <v>1165</v>
      </c>
      <c r="AI1765" s="14" t="s">
        <v>1165</v>
      </c>
      <c r="AJ1765" s="15" t="s">
        <v>1148</v>
      </c>
      <c r="AK1765" s="15">
        <v>0</v>
      </c>
      <c r="AP1765" s="15">
        <v>28</v>
      </c>
      <c r="AQ1765" s="14" t="s">
        <v>1336</v>
      </c>
      <c r="AR1765" s="15" t="s">
        <v>1335</v>
      </c>
      <c r="AS1765" s="14" t="s">
        <v>3002</v>
      </c>
    </row>
    <row r="1766" spans="1:45" s="14" customFormat="1" x14ac:dyDescent="0.2">
      <c r="A1766" s="14" t="s">
        <v>1326</v>
      </c>
      <c r="B1766" s="15" t="s">
        <v>1146</v>
      </c>
      <c r="C1766" s="15" t="s">
        <v>1149</v>
      </c>
      <c r="D1766" s="14" t="s">
        <v>1350</v>
      </c>
      <c r="E1766" s="14" t="s">
        <v>1351</v>
      </c>
      <c r="G1766" s="15" t="s">
        <v>1165</v>
      </c>
      <c r="H1766" s="14" t="s">
        <v>1165</v>
      </c>
      <c r="I1766" s="14" t="s">
        <v>1328</v>
      </c>
      <c r="J1766" s="14" t="s">
        <v>1337</v>
      </c>
      <c r="K1766" s="14" t="s">
        <v>1338</v>
      </c>
      <c r="L1766" s="14">
        <v>2000</v>
      </c>
      <c r="M1766" s="14" t="s">
        <v>1327</v>
      </c>
      <c r="O1766" s="14">
        <v>2005</v>
      </c>
      <c r="P1766" s="14">
        <v>2005</v>
      </c>
      <c r="Q1766" s="14" t="s">
        <v>1329</v>
      </c>
      <c r="R1766" s="14">
        <v>10</v>
      </c>
      <c r="T1766" s="14" t="s">
        <v>1330</v>
      </c>
      <c r="U1766" s="14" t="s">
        <v>1341</v>
      </c>
      <c r="V1766" s="12"/>
      <c r="W1766" s="14">
        <v>0</v>
      </c>
      <c r="X1766" s="12" t="s">
        <v>1334</v>
      </c>
      <c r="Y1766" s="14" t="s">
        <v>2994</v>
      </c>
      <c r="Z1766" s="14">
        <v>0</v>
      </c>
      <c r="AD1766" s="14" t="s">
        <v>1165</v>
      </c>
      <c r="AF1766" s="14" t="s">
        <v>1165</v>
      </c>
      <c r="AI1766" s="14" t="s">
        <v>1165</v>
      </c>
      <c r="AJ1766" s="15" t="s">
        <v>1148</v>
      </c>
      <c r="AK1766" s="15">
        <v>0</v>
      </c>
      <c r="AP1766" s="15">
        <v>28</v>
      </c>
      <c r="AQ1766" s="14" t="s">
        <v>1336</v>
      </c>
      <c r="AR1766" s="15" t="s">
        <v>1335</v>
      </c>
      <c r="AS1766" s="14" t="s">
        <v>3002</v>
      </c>
    </row>
    <row r="1767" spans="1:45" s="14" customFormat="1" x14ac:dyDescent="0.2">
      <c r="A1767" s="14" t="s">
        <v>1326</v>
      </c>
      <c r="B1767" s="15" t="s">
        <v>1146</v>
      </c>
      <c r="C1767" s="15" t="s">
        <v>1149</v>
      </c>
      <c r="D1767" s="14" t="s">
        <v>1350</v>
      </c>
      <c r="E1767" s="14" t="s">
        <v>1351</v>
      </c>
      <c r="G1767" s="15" t="s">
        <v>1165</v>
      </c>
      <c r="H1767" s="14" t="s">
        <v>1165</v>
      </c>
      <c r="I1767" s="14" t="s">
        <v>1328</v>
      </c>
      <c r="J1767" s="14" t="s">
        <v>1337</v>
      </c>
      <c r="K1767" s="14" t="s">
        <v>1338</v>
      </c>
      <c r="L1767" s="14">
        <v>2000</v>
      </c>
      <c r="M1767" s="14" t="s">
        <v>1327</v>
      </c>
      <c r="O1767" s="14">
        <v>2005</v>
      </c>
      <c r="P1767" s="14">
        <v>2005</v>
      </c>
      <c r="Q1767" s="14" t="s">
        <v>1329</v>
      </c>
      <c r="R1767" s="14">
        <v>10</v>
      </c>
      <c r="T1767" s="14" t="s">
        <v>1330</v>
      </c>
      <c r="U1767" s="14" t="s">
        <v>1341</v>
      </c>
      <c r="V1767" s="12"/>
      <c r="W1767" s="14">
        <v>17.5</v>
      </c>
      <c r="X1767" s="12" t="s">
        <v>1333</v>
      </c>
      <c r="Y1767" s="14" t="s">
        <v>2995</v>
      </c>
      <c r="Z1767" s="14">
        <v>12</v>
      </c>
      <c r="AD1767" s="14" t="s">
        <v>1165</v>
      </c>
      <c r="AF1767" s="14" t="s">
        <v>1165</v>
      </c>
      <c r="AI1767" s="14" t="s">
        <v>1165</v>
      </c>
      <c r="AJ1767" s="15" t="s">
        <v>1148</v>
      </c>
      <c r="AK1767" s="15">
        <v>50.786999999999999</v>
      </c>
      <c r="AP1767" s="15">
        <v>28</v>
      </c>
      <c r="AQ1767" s="14" t="s">
        <v>1336</v>
      </c>
      <c r="AR1767" s="15" t="s">
        <v>1335</v>
      </c>
      <c r="AS1767" s="14" t="s">
        <v>3002</v>
      </c>
    </row>
    <row r="1768" spans="1:45" s="14" customFormat="1" x14ac:dyDescent="0.2">
      <c r="A1768" s="14" t="s">
        <v>1326</v>
      </c>
      <c r="B1768" s="15" t="s">
        <v>1146</v>
      </c>
      <c r="C1768" s="15" t="s">
        <v>1149</v>
      </c>
      <c r="D1768" s="14" t="s">
        <v>1350</v>
      </c>
      <c r="E1768" s="14" t="s">
        <v>1351</v>
      </c>
      <c r="G1768" s="15" t="s">
        <v>1165</v>
      </c>
      <c r="H1768" s="14" t="s">
        <v>1165</v>
      </c>
      <c r="I1768" s="14" t="s">
        <v>1328</v>
      </c>
      <c r="J1768" s="14" t="s">
        <v>1337</v>
      </c>
      <c r="K1768" s="14" t="s">
        <v>1338</v>
      </c>
      <c r="L1768" s="14">
        <v>2000</v>
      </c>
      <c r="M1768" s="14" t="s">
        <v>1327</v>
      </c>
      <c r="O1768" s="14">
        <v>2005</v>
      </c>
      <c r="P1768" s="14">
        <v>2005</v>
      </c>
      <c r="Q1768" s="14" t="s">
        <v>1329</v>
      </c>
      <c r="R1768" s="14">
        <v>10</v>
      </c>
      <c r="T1768" s="14" t="s">
        <v>1330</v>
      </c>
      <c r="U1768" s="14" t="s">
        <v>1341</v>
      </c>
      <c r="V1768" s="12"/>
      <c r="W1768" s="14">
        <v>17.5</v>
      </c>
      <c r="X1768" s="12" t="s">
        <v>1264</v>
      </c>
      <c r="Y1768" s="14" t="s">
        <v>2995</v>
      </c>
      <c r="Z1768" s="14">
        <v>12</v>
      </c>
      <c r="AD1768" s="14" t="s">
        <v>1165</v>
      </c>
      <c r="AF1768" s="14" t="s">
        <v>1165</v>
      </c>
      <c r="AI1768" s="14" t="s">
        <v>1165</v>
      </c>
      <c r="AJ1768" s="15" t="s">
        <v>1148</v>
      </c>
      <c r="AK1768" s="15">
        <v>61.122</v>
      </c>
      <c r="AP1768" s="15">
        <v>28</v>
      </c>
      <c r="AQ1768" s="14" t="s">
        <v>1336</v>
      </c>
      <c r="AR1768" s="15" t="s">
        <v>1335</v>
      </c>
      <c r="AS1768" s="14" t="s">
        <v>3002</v>
      </c>
    </row>
    <row r="1769" spans="1:45" s="14" customFormat="1" x14ac:dyDescent="0.2">
      <c r="A1769" s="14" t="s">
        <v>1326</v>
      </c>
      <c r="B1769" s="15" t="s">
        <v>1146</v>
      </c>
      <c r="C1769" s="15" t="s">
        <v>1149</v>
      </c>
      <c r="D1769" s="14" t="s">
        <v>1350</v>
      </c>
      <c r="E1769" s="14" t="s">
        <v>1351</v>
      </c>
      <c r="G1769" s="15" t="s">
        <v>1165</v>
      </c>
      <c r="H1769" s="14" t="s">
        <v>1165</v>
      </c>
      <c r="I1769" s="14" t="s">
        <v>1328</v>
      </c>
      <c r="J1769" s="14" t="s">
        <v>1337</v>
      </c>
      <c r="K1769" s="14" t="s">
        <v>1338</v>
      </c>
      <c r="L1769" s="14">
        <v>2000</v>
      </c>
      <c r="M1769" s="14" t="s">
        <v>1327</v>
      </c>
      <c r="O1769" s="14">
        <v>2005</v>
      </c>
      <c r="P1769" s="14">
        <v>2005</v>
      </c>
      <c r="Q1769" s="14" t="s">
        <v>1329</v>
      </c>
      <c r="R1769" s="14">
        <v>10</v>
      </c>
      <c r="T1769" s="14" t="s">
        <v>1330</v>
      </c>
      <c r="U1769" s="14" t="s">
        <v>1341</v>
      </c>
      <c r="V1769" s="12"/>
      <c r="W1769" s="14">
        <v>17.5</v>
      </c>
      <c r="X1769" s="12" t="s">
        <v>1261</v>
      </c>
      <c r="Y1769" s="14" t="s">
        <v>2995</v>
      </c>
      <c r="Z1769" s="14">
        <v>12</v>
      </c>
      <c r="AD1769" s="14" t="s">
        <v>1165</v>
      </c>
      <c r="AF1769" s="14" t="s">
        <v>1165</v>
      </c>
      <c r="AI1769" s="14" t="s">
        <v>1165</v>
      </c>
      <c r="AJ1769" s="15" t="s">
        <v>1148</v>
      </c>
      <c r="AK1769" s="15">
        <v>34.546999999999997</v>
      </c>
      <c r="AP1769" s="15">
        <v>28</v>
      </c>
      <c r="AQ1769" s="14" t="s">
        <v>1336</v>
      </c>
      <c r="AR1769" s="15" t="s">
        <v>1335</v>
      </c>
      <c r="AS1769" s="14" t="s">
        <v>3002</v>
      </c>
    </row>
    <row r="1770" spans="1:45" s="14" customFormat="1" x14ac:dyDescent="0.2">
      <c r="A1770" s="14" t="s">
        <v>1326</v>
      </c>
      <c r="B1770" s="15" t="s">
        <v>1146</v>
      </c>
      <c r="C1770" s="15" t="s">
        <v>1149</v>
      </c>
      <c r="D1770" s="14" t="s">
        <v>1350</v>
      </c>
      <c r="E1770" s="14" t="s">
        <v>1351</v>
      </c>
      <c r="G1770" s="15" t="s">
        <v>1165</v>
      </c>
      <c r="H1770" s="14" t="s">
        <v>1165</v>
      </c>
      <c r="I1770" s="14" t="s">
        <v>1328</v>
      </c>
      <c r="J1770" s="14" t="s">
        <v>1337</v>
      </c>
      <c r="K1770" s="14" t="s">
        <v>1338</v>
      </c>
      <c r="L1770" s="14">
        <v>2000</v>
      </c>
      <c r="M1770" s="14" t="s">
        <v>1327</v>
      </c>
      <c r="O1770" s="14">
        <v>2005</v>
      </c>
      <c r="P1770" s="14">
        <v>2005</v>
      </c>
      <c r="Q1770" s="14" t="s">
        <v>1329</v>
      </c>
      <c r="R1770" s="14">
        <v>10</v>
      </c>
      <c r="T1770" s="14" t="s">
        <v>1330</v>
      </c>
      <c r="U1770" s="14" t="s">
        <v>1341</v>
      </c>
      <c r="V1770" s="12"/>
      <c r="W1770" s="14">
        <v>17.5</v>
      </c>
      <c r="X1770" s="12" t="s">
        <v>1334</v>
      </c>
      <c r="Y1770" s="14" t="s">
        <v>2995</v>
      </c>
      <c r="Z1770" s="14">
        <v>12</v>
      </c>
      <c r="AD1770" s="14" t="s">
        <v>1165</v>
      </c>
      <c r="AF1770" s="14" t="s">
        <v>1165</v>
      </c>
      <c r="AI1770" s="14" t="s">
        <v>1165</v>
      </c>
      <c r="AJ1770" s="15" t="s">
        <v>1148</v>
      </c>
      <c r="AK1770" s="15">
        <v>3.2480000000000002</v>
      </c>
      <c r="AP1770" s="15">
        <v>28</v>
      </c>
      <c r="AQ1770" s="14" t="s">
        <v>1336</v>
      </c>
      <c r="AR1770" s="15" t="s">
        <v>1335</v>
      </c>
      <c r="AS1770" s="14" t="s">
        <v>3002</v>
      </c>
    </row>
    <row r="1771" spans="1:45" s="14" customFormat="1" x14ac:dyDescent="0.2">
      <c r="A1771" s="14" t="s">
        <v>1326</v>
      </c>
      <c r="B1771" s="15" t="s">
        <v>1146</v>
      </c>
      <c r="C1771" s="15" t="s">
        <v>1149</v>
      </c>
      <c r="D1771" s="14" t="s">
        <v>1350</v>
      </c>
      <c r="E1771" s="14" t="s">
        <v>1351</v>
      </c>
      <c r="G1771" s="15" t="s">
        <v>1165</v>
      </c>
      <c r="H1771" s="14" t="s">
        <v>1165</v>
      </c>
      <c r="I1771" s="14" t="s">
        <v>1328</v>
      </c>
      <c r="J1771" s="14" t="s">
        <v>1337</v>
      </c>
      <c r="K1771" s="14" t="s">
        <v>1338</v>
      </c>
      <c r="L1771" s="14">
        <v>2000</v>
      </c>
      <c r="M1771" s="14" t="s">
        <v>1327</v>
      </c>
      <c r="O1771" s="14">
        <v>2005</v>
      </c>
      <c r="P1771" s="14">
        <v>2005</v>
      </c>
      <c r="Q1771" s="14" t="s">
        <v>1329</v>
      </c>
      <c r="R1771" s="14">
        <v>10</v>
      </c>
      <c r="T1771" s="14" t="s">
        <v>1330</v>
      </c>
      <c r="U1771" s="14" t="s">
        <v>1341</v>
      </c>
      <c r="V1771" s="12"/>
      <c r="W1771" s="14">
        <v>17.5</v>
      </c>
      <c r="X1771" s="12" t="s">
        <v>1333</v>
      </c>
      <c r="Y1771" s="14" t="s">
        <v>2995</v>
      </c>
      <c r="Z1771" s="14">
        <v>0</v>
      </c>
      <c r="AD1771" s="14" t="s">
        <v>1165</v>
      </c>
      <c r="AF1771" s="14" t="s">
        <v>1165</v>
      </c>
      <c r="AI1771" s="14" t="s">
        <v>1165</v>
      </c>
      <c r="AJ1771" s="15" t="s">
        <v>1148</v>
      </c>
      <c r="AK1771" s="15">
        <v>66.141999999999996</v>
      </c>
      <c r="AP1771" s="15">
        <v>28</v>
      </c>
      <c r="AQ1771" s="14" t="s">
        <v>1336</v>
      </c>
      <c r="AR1771" s="15" t="s">
        <v>1335</v>
      </c>
      <c r="AS1771" s="14" t="s">
        <v>3002</v>
      </c>
    </row>
    <row r="1772" spans="1:45" s="14" customFormat="1" x14ac:dyDescent="0.2">
      <c r="A1772" s="14" t="s">
        <v>1326</v>
      </c>
      <c r="B1772" s="15" t="s">
        <v>1146</v>
      </c>
      <c r="C1772" s="15" t="s">
        <v>1149</v>
      </c>
      <c r="D1772" s="14" t="s">
        <v>1350</v>
      </c>
      <c r="E1772" s="14" t="s">
        <v>1351</v>
      </c>
      <c r="G1772" s="15" t="s">
        <v>1165</v>
      </c>
      <c r="H1772" s="14" t="s">
        <v>1165</v>
      </c>
      <c r="I1772" s="14" t="s">
        <v>1328</v>
      </c>
      <c r="J1772" s="14" t="s">
        <v>1337</v>
      </c>
      <c r="K1772" s="14" t="s">
        <v>1338</v>
      </c>
      <c r="L1772" s="14">
        <v>2000</v>
      </c>
      <c r="M1772" s="14" t="s">
        <v>1327</v>
      </c>
      <c r="O1772" s="14">
        <v>2005</v>
      </c>
      <c r="P1772" s="14">
        <v>2005</v>
      </c>
      <c r="Q1772" s="14" t="s">
        <v>1329</v>
      </c>
      <c r="R1772" s="14">
        <v>10</v>
      </c>
      <c r="T1772" s="14" t="s">
        <v>1330</v>
      </c>
      <c r="U1772" s="14" t="s">
        <v>1341</v>
      </c>
      <c r="V1772" s="12"/>
      <c r="W1772" s="14">
        <v>17.5</v>
      </c>
      <c r="X1772" s="12" t="s">
        <v>1264</v>
      </c>
      <c r="Y1772" s="14" t="s">
        <v>2995</v>
      </c>
      <c r="Z1772" s="14">
        <v>0</v>
      </c>
      <c r="AD1772" s="14" t="s">
        <v>1165</v>
      </c>
      <c r="AF1772" s="14" t="s">
        <v>1165</v>
      </c>
      <c r="AI1772" s="14" t="s">
        <v>1165</v>
      </c>
      <c r="AJ1772" s="15" t="s">
        <v>1148</v>
      </c>
      <c r="AK1772" s="15">
        <v>31.004000000000001</v>
      </c>
      <c r="AP1772" s="15">
        <v>28</v>
      </c>
      <c r="AQ1772" s="14" t="s">
        <v>1336</v>
      </c>
      <c r="AR1772" s="15" t="s">
        <v>1335</v>
      </c>
      <c r="AS1772" s="14" t="s">
        <v>3002</v>
      </c>
    </row>
    <row r="1773" spans="1:45" s="14" customFormat="1" x14ac:dyDescent="0.2">
      <c r="A1773" s="14" t="s">
        <v>1326</v>
      </c>
      <c r="B1773" s="15" t="s">
        <v>1146</v>
      </c>
      <c r="C1773" s="15" t="s">
        <v>1149</v>
      </c>
      <c r="D1773" s="14" t="s">
        <v>1350</v>
      </c>
      <c r="E1773" s="14" t="s">
        <v>1351</v>
      </c>
      <c r="G1773" s="15" t="s">
        <v>1165</v>
      </c>
      <c r="H1773" s="14" t="s">
        <v>1165</v>
      </c>
      <c r="I1773" s="14" t="s">
        <v>1328</v>
      </c>
      <c r="J1773" s="14" t="s">
        <v>1337</v>
      </c>
      <c r="K1773" s="14" t="s">
        <v>1338</v>
      </c>
      <c r="L1773" s="14">
        <v>2000</v>
      </c>
      <c r="M1773" s="14" t="s">
        <v>1327</v>
      </c>
      <c r="O1773" s="14">
        <v>2005</v>
      </c>
      <c r="P1773" s="14">
        <v>2005</v>
      </c>
      <c r="Q1773" s="14" t="s">
        <v>1329</v>
      </c>
      <c r="R1773" s="14">
        <v>10</v>
      </c>
      <c r="T1773" s="14" t="s">
        <v>1330</v>
      </c>
      <c r="U1773" s="14" t="s">
        <v>1341</v>
      </c>
      <c r="V1773" s="12"/>
      <c r="W1773" s="14">
        <v>17.5</v>
      </c>
      <c r="X1773" s="12" t="s">
        <v>1261</v>
      </c>
      <c r="Y1773" s="14" t="s">
        <v>2995</v>
      </c>
      <c r="Z1773" s="14">
        <v>0</v>
      </c>
      <c r="AD1773" s="14" t="s">
        <v>1165</v>
      </c>
      <c r="AF1773" s="14" t="s">
        <v>1165</v>
      </c>
      <c r="AI1773" s="14" t="s">
        <v>1165</v>
      </c>
      <c r="AJ1773" s="15" t="s">
        <v>1148</v>
      </c>
      <c r="AK1773" s="15">
        <v>14.468999999999999</v>
      </c>
      <c r="AP1773" s="15">
        <v>28</v>
      </c>
      <c r="AQ1773" s="14" t="s">
        <v>1336</v>
      </c>
      <c r="AR1773" s="15" t="s">
        <v>1335</v>
      </c>
      <c r="AS1773" s="14" t="s">
        <v>3002</v>
      </c>
    </row>
    <row r="1774" spans="1:45" s="14" customFormat="1" x14ac:dyDescent="0.2">
      <c r="A1774" s="14" t="s">
        <v>1326</v>
      </c>
      <c r="B1774" s="15" t="s">
        <v>1146</v>
      </c>
      <c r="C1774" s="15" t="s">
        <v>1149</v>
      </c>
      <c r="D1774" s="14" t="s">
        <v>1350</v>
      </c>
      <c r="E1774" s="14" t="s">
        <v>1351</v>
      </c>
      <c r="G1774" s="15" t="s">
        <v>1165</v>
      </c>
      <c r="H1774" s="14" t="s">
        <v>1165</v>
      </c>
      <c r="I1774" s="14" t="s">
        <v>1328</v>
      </c>
      <c r="J1774" s="14" t="s">
        <v>1337</v>
      </c>
      <c r="K1774" s="14" t="s">
        <v>1338</v>
      </c>
      <c r="L1774" s="14">
        <v>2000</v>
      </c>
      <c r="M1774" s="14" t="s">
        <v>1327</v>
      </c>
      <c r="O1774" s="14">
        <v>2005</v>
      </c>
      <c r="P1774" s="14">
        <v>2005</v>
      </c>
      <c r="Q1774" s="14" t="s">
        <v>1329</v>
      </c>
      <c r="R1774" s="14">
        <v>10</v>
      </c>
      <c r="T1774" s="14" t="s">
        <v>1330</v>
      </c>
      <c r="U1774" s="14" t="s">
        <v>1341</v>
      </c>
      <c r="V1774" s="12"/>
      <c r="W1774" s="14">
        <v>17.5</v>
      </c>
      <c r="X1774" s="12" t="s">
        <v>1334</v>
      </c>
      <c r="Y1774" s="14" t="s">
        <v>2995</v>
      </c>
      <c r="Z1774" s="14">
        <v>0</v>
      </c>
      <c r="AD1774" s="14" t="s">
        <v>1165</v>
      </c>
      <c r="AF1774" s="14" t="s">
        <v>1165</v>
      </c>
      <c r="AI1774" s="14" t="s">
        <v>1165</v>
      </c>
      <c r="AJ1774" s="15" t="s">
        <v>1148</v>
      </c>
      <c r="AK1774" s="15">
        <v>0</v>
      </c>
      <c r="AP1774" s="15">
        <v>28</v>
      </c>
      <c r="AQ1774" s="14" t="s">
        <v>1336</v>
      </c>
      <c r="AR1774" s="15" t="s">
        <v>1335</v>
      </c>
      <c r="AS1774" s="14" t="s">
        <v>3002</v>
      </c>
    </row>
    <row r="1775" spans="1:45" s="14" customFormat="1" x14ac:dyDescent="0.2">
      <c r="A1775" s="14" t="s">
        <v>1326</v>
      </c>
      <c r="B1775" s="15" t="s">
        <v>1146</v>
      </c>
      <c r="C1775" s="15" t="s">
        <v>1149</v>
      </c>
      <c r="D1775" s="14" t="s">
        <v>1350</v>
      </c>
      <c r="E1775" s="14" t="s">
        <v>1351</v>
      </c>
      <c r="G1775" s="15" t="s">
        <v>1165</v>
      </c>
      <c r="H1775" s="14" t="s">
        <v>1165</v>
      </c>
      <c r="I1775" s="14" t="s">
        <v>1328</v>
      </c>
      <c r="J1775" s="14" t="s">
        <v>1337</v>
      </c>
      <c r="K1775" s="14" t="s">
        <v>1338</v>
      </c>
      <c r="L1775" s="14">
        <v>2000</v>
      </c>
      <c r="M1775" s="14" t="s">
        <v>1327</v>
      </c>
      <c r="O1775" s="14">
        <v>2005</v>
      </c>
      <c r="P1775" s="14">
        <v>2005</v>
      </c>
      <c r="Q1775" s="14" t="s">
        <v>1329</v>
      </c>
      <c r="R1775" s="14">
        <v>10</v>
      </c>
      <c r="T1775" s="14" t="s">
        <v>1330</v>
      </c>
      <c r="U1775" s="14" t="s">
        <v>1341</v>
      </c>
      <c r="V1775" s="12"/>
      <c r="W1775" s="14">
        <v>35</v>
      </c>
      <c r="X1775" s="12" t="s">
        <v>1333</v>
      </c>
      <c r="Y1775" s="14" t="s">
        <v>2996</v>
      </c>
      <c r="Z1775" s="14">
        <v>12</v>
      </c>
      <c r="AD1775" s="14" t="s">
        <v>1165</v>
      </c>
      <c r="AF1775" s="14" t="s">
        <v>1165</v>
      </c>
      <c r="AI1775" s="14" t="s">
        <v>1165</v>
      </c>
      <c r="AJ1775" s="15" t="s">
        <v>1148</v>
      </c>
      <c r="AK1775" s="15">
        <v>46.948999999999998</v>
      </c>
      <c r="AP1775" s="15">
        <v>28</v>
      </c>
      <c r="AQ1775" s="14" t="s">
        <v>1336</v>
      </c>
      <c r="AR1775" s="15" t="s">
        <v>1335</v>
      </c>
      <c r="AS1775" s="14" t="s">
        <v>3002</v>
      </c>
    </row>
    <row r="1776" spans="1:45" s="14" customFormat="1" x14ac:dyDescent="0.2">
      <c r="A1776" s="14" t="s">
        <v>1326</v>
      </c>
      <c r="B1776" s="15" t="s">
        <v>1146</v>
      </c>
      <c r="C1776" s="15" t="s">
        <v>1149</v>
      </c>
      <c r="D1776" s="14" t="s">
        <v>1350</v>
      </c>
      <c r="E1776" s="14" t="s">
        <v>1351</v>
      </c>
      <c r="G1776" s="15" t="s">
        <v>1165</v>
      </c>
      <c r="H1776" s="14" t="s">
        <v>1165</v>
      </c>
      <c r="I1776" s="14" t="s">
        <v>1328</v>
      </c>
      <c r="J1776" s="14" t="s">
        <v>1337</v>
      </c>
      <c r="K1776" s="14" t="s">
        <v>1338</v>
      </c>
      <c r="L1776" s="14">
        <v>2000</v>
      </c>
      <c r="M1776" s="14" t="s">
        <v>1327</v>
      </c>
      <c r="O1776" s="14">
        <v>2005</v>
      </c>
      <c r="P1776" s="14">
        <v>2005</v>
      </c>
      <c r="Q1776" s="14" t="s">
        <v>1329</v>
      </c>
      <c r="R1776" s="14">
        <v>10</v>
      </c>
      <c r="T1776" s="14" t="s">
        <v>1330</v>
      </c>
      <c r="U1776" s="14" t="s">
        <v>1341</v>
      </c>
      <c r="V1776" s="12"/>
      <c r="W1776" s="14">
        <v>35</v>
      </c>
      <c r="X1776" s="12" t="s">
        <v>1264</v>
      </c>
      <c r="Y1776" s="14" t="s">
        <v>2996</v>
      </c>
      <c r="Z1776" s="14">
        <v>12</v>
      </c>
      <c r="AD1776" s="14" t="s">
        <v>1165</v>
      </c>
      <c r="AF1776" s="14" t="s">
        <v>1165</v>
      </c>
      <c r="AI1776" s="14" t="s">
        <v>1165</v>
      </c>
      <c r="AJ1776" s="15" t="s">
        <v>1148</v>
      </c>
      <c r="AK1776" s="15">
        <v>56.988</v>
      </c>
      <c r="AP1776" s="15">
        <v>28</v>
      </c>
      <c r="AQ1776" s="14" t="s">
        <v>1336</v>
      </c>
      <c r="AR1776" s="15" t="s">
        <v>1335</v>
      </c>
      <c r="AS1776" s="14" t="s">
        <v>3002</v>
      </c>
    </row>
    <row r="1777" spans="1:45" s="14" customFormat="1" x14ac:dyDescent="0.2">
      <c r="A1777" s="14" t="s">
        <v>1326</v>
      </c>
      <c r="B1777" s="15" t="s">
        <v>1146</v>
      </c>
      <c r="C1777" s="15" t="s">
        <v>1149</v>
      </c>
      <c r="D1777" s="14" t="s">
        <v>1350</v>
      </c>
      <c r="E1777" s="14" t="s">
        <v>1351</v>
      </c>
      <c r="G1777" s="15" t="s">
        <v>1165</v>
      </c>
      <c r="H1777" s="14" t="s">
        <v>1165</v>
      </c>
      <c r="I1777" s="14" t="s">
        <v>1328</v>
      </c>
      <c r="J1777" s="14" t="s">
        <v>1337</v>
      </c>
      <c r="K1777" s="14" t="s">
        <v>1338</v>
      </c>
      <c r="L1777" s="14">
        <v>2000</v>
      </c>
      <c r="M1777" s="14" t="s">
        <v>1327</v>
      </c>
      <c r="O1777" s="14">
        <v>2005</v>
      </c>
      <c r="P1777" s="14">
        <v>2005</v>
      </c>
      <c r="Q1777" s="14" t="s">
        <v>1329</v>
      </c>
      <c r="R1777" s="14">
        <v>10</v>
      </c>
      <c r="T1777" s="14" t="s">
        <v>1330</v>
      </c>
      <c r="U1777" s="14" t="s">
        <v>1341</v>
      </c>
      <c r="V1777" s="12"/>
      <c r="W1777" s="14">
        <v>35</v>
      </c>
      <c r="X1777" s="12" t="s">
        <v>1261</v>
      </c>
      <c r="Y1777" s="14" t="s">
        <v>2996</v>
      </c>
      <c r="Z1777" s="14">
        <v>12</v>
      </c>
      <c r="AD1777" s="14" t="s">
        <v>1165</v>
      </c>
      <c r="AF1777" s="14" t="s">
        <v>1165</v>
      </c>
      <c r="AI1777" s="14" t="s">
        <v>1165</v>
      </c>
      <c r="AJ1777" s="15" t="s">
        <v>1148</v>
      </c>
      <c r="AK1777" s="15">
        <v>30.413</v>
      </c>
      <c r="AP1777" s="15">
        <v>28</v>
      </c>
      <c r="AQ1777" s="14" t="s">
        <v>1336</v>
      </c>
      <c r="AR1777" s="15" t="s">
        <v>1335</v>
      </c>
      <c r="AS1777" s="14" t="s">
        <v>3002</v>
      </c>
    </row>
    <row r="1778" spans="1:45" s="14" customFormat="1" x14ac:dyDescent="0.2">
      <c r="A1778" s="14" t="s">
        <v>1326</v>
      </c>
      <c r="B1778" s="15" t="s">
        <v>1146</v>
      </c>
      <c r="C1778" s="15" t="s">
        <v>1149</v>
      </c>
      <c r="D1778" s="14" t="s">
        <v>1350</v>
      </c>
      <c r="E1778" s="14" t="s">
        <v>1351</v>
      </c>
      <c r="G1778" s="15" t="s">
        <v>1165</v>
      </c>
      <c r="H1778" s="14" t="s">
        <v>1165</v>
      </c>
      <c r="I1778" s="14" t="s">
        <v>1328</v>
      </c>
      <c r="J1778" s="14" t="s">
        <v>1337</v>
      </c>
      <c r="K1778" s="14" t="s">
        <v>1338</v>
      </c>
      <c r="L1778" s="14">
        <v>2000</v>
      </c>
      <c r="M1778" s="14" t="s">
        <v>1327</v>
      </c>
      <c r="O1778" s="14">
        <v>2005</v>
      </c>
      <c r="P1778" s="14">
        <v>2005</v>
      </c>
      <c r="Q1778" s="14" t="s">
        <v>1329</v>
      </c>
      <c r="R1778" s="14">
        <v>10</v>
      </c>
      <c r="T1778" s="14" t="s">
        <v>1330</v>
      </c>
      <c r="U1778" s="14" t="s">
        <v>1341</v>
      </c>
      <c r="V1778" s="12"/>
      <c r="W1778" s="14">
        <v>35</v>
      </c>
      <c r="X1778" s="12" t="s">
        <v>1334</v>
      </c>
      <c r="Y1778" s="14" t="s">
        <v>2996</v>
      </c>
      <c r="Z1778" s="14">
        <v>12</v>
      </c>
      <c r="AD1778" s="14" t="s">
        <v>1165</v>
      </c>
      <c r="AF1778" s="14" t="s">
        <v>1165</v>
      </c>
      <c r="AI1778" s="14" t="s">
        <v>1165</v>
      </c>
      <c r="AJ1778" s="15" t="s">
        <v>1148</v>
      </c>
      <c r="AK1778" s="15">
        <v>3.839</v>
      </c>
      <c r="AP1778" s="15">
        <v>28</v>
      </c>
      <c r="AQ1778" s="14" t="s">
        <v>1336</v>
      </c>
      <c r="AR1778" s="15" t="s">
        <v>1335</v>
      </c>
      <c r="AS1778" s="14" t="s">
        <v>3002</v>
      </c>
    </row>
    <row r="1779" spans="1:45" s="14" customFormat="1" x14ac:dyDescent="0.2">
      <c r="A1779" s="14" t="s">
        <v>1326</v>
      </c>
      <c r="B1779" s="15" t="s">
        <v>1146</v>
      </c>
      <c r="C1779" s="15" t="s">
        <v>1149</v>
      </c>
      <c r="D1779" s="14" t="s">
        <v>1350</v>
      </c>
      <c r="E1779" s="14" t="s">
        <v>1351</v>
      </c>
      <c r="G1779" s="15" t="s">
        <v>1165</v>
      </c>
      <c r="H1779" s="14" t="s">
        <v>1165</v>
      </c>
      <c r="I1779" s="14" t="s">
        <v>1328</v>
      </c>
      <c r="J1779" s="14" t="s">
        <v>1337</v>
      </c>
      <c r="K1779" s="14" t="s">
        <v>1338</v>
      </c>
      <c r="L1779" s="14">
        <v>2000</v>
      </c>
      <c r="M1779" s="14" t="s">
        <v>1327</v>
      </c>
      <c r="O1779" s="14">
        <v>2005</v>
      </c>
      <c r="P1779" s="14">
        <v>2005</v>
      </c>
      <c r="Q1779" s="14" t="s">
        <v>1329</v>
      </c>
      <c r="R1779" s="14">
        <v>10</v>
      </c>
      <c r="T1779" s="14" t="s">
        <v>1330</v>
      </c>
      <c r="U1779" s="14" t="s">
        <v>1341</v>
      </c>
      <c r="V1779" s="12"/>
      <c r="W1779" s="14">
        <v>35</v>
      </c>
      <c r="X1779" s="12" t="s">
        <v>1333</v>
      </c>
      <c r="Y1779" s="14" t="s">
        <v>2996</v>
      </c>
      <c r="Z1779" s="14">
        <v>0</v>
      </c>
      <c r="AD1779" s="14" t="s">
        <v>1165</v>
      </c>
      <c r="AF1779" s="14" t="s">
        <v>1165</v>
      </c>
      <c r="AI1779" s="14" t="s">
        <v>1165</v>
      </c>
      <c r="AJ1779" s="15" t="s">
        <v>1148</v>
      </c>
      <c r="AK1779" s="15">
        <v>57.579000000000001</v>
      </c>
      <c r="AP1779" s="15">
        <v>28</v>
      </c>
      <c r="AQ1779" s="14" t="s">
        <v>1336</v>
      </c>
      <c r="AR1779" s="15" t="s">
        <v>1335</v>
      </c>
      <c r="AS1779" s="14" t="s">
        <v>3002</v>
      </c>
    </row>
    <row r="1780" spans="1:45" s="14" customFormat="1" x14ac:dyDescent="0.2">
      <c r="A1780" s="14" t="s">
        <v>1326</v>
      </c>
      <c r="B1780" s="15" t="s">
        <v>1146</v>
      </c>
      <c r="C1780" s="15" t="s">
        <v>1149</v>
      </c>
      <c r="D1780" s="14" t="s">
        <v>1350</v>
      </c>
      <c r="E1780" s="14" t="s">
        <v>1351</v>
      </c>
      <c r="G1780" s="15" t="s">
        <v>1165</v>
      </c>
      <c r="H1780" s="14" t="s">
        <v>1165</v>
      </c>
      <c r="I1780" s="14" t="s">
        <v>1328</v>
      </c>
      <c r="J1780" s="14" t="s">
        <v>1337</v>
      </c>
      <c r="K1780" s="14" t="s">
        <v>1338</v>
      </c>
      <c r="L1780" s="14">
        <v>2000</v>
      </c>
      <c r="M1780" s="14" t="s">
        <v>1327</v>
      </c>
      <c r="O1780" s="14">
        <v>2005</v>
      </c>
      <c r="P1780" s="14">
        <v>2005</v>
      </c>
      <c r="Q1780" s="14" t="s">
        <v>1329</v>
      </c>
      <c r="R1780" s="14">
        <v>10</v>
      </c>
      <c r="T1780" s="14" t="s">
        <v>1330</v>
      </c>
      <c r="U1780" s="14" t="s">
        <v>1341</v>
      </c>
      <c r="V1780" s="12"/>
      <c r="W1780" s="14">
        <v>35</v>
      </c>
      <c r="X1780" s="12" t="s">
        <v>1264</v>
      </c>
      <c r="Y1780" s="14" t="s">
        <v>2996</v>
      </c>
      <c r="Z1780" s="14">
        <v>0</v>
      </c>
      <c r="AD1780" s="14" t="s">
        <v>1165</v>
      </c>
      <c r="AF1780" s="14" t="s">
        <v>1165</v>
      </c>
      <c r="AI1780" s="14" t="s">
        <v>1165</v>
      </c>
      <c r="AJ1780" s="15" t="s">
        <v>1148</v>
      </c>
      <c r="AK1780" s="15">
        <v>50.491999999999997</v>
      </c>
      <c r="AP1780" s="15">
        <v>28</v>
      </c>
      <c r="AQ1780" s="14" t="s">
        <v>1336</v>
      </c>
      <c r="AR1780" s="15" t="s">
        <v>1335</v>
      </c>
      <c r="AS1780" s="14" t="s">
        <v>3002</v>
      </c>
    </row>
    <row r="1781" spans="1:45" s="14" customFormat="1" x14ac:dyDescent="0.2">
      <c r="A1781" s="14" t="s">
        <v>1326</v>
      </c>
      <c r="B1781" s="15" t="s">
        <v>1146</v>
      </c>
      <c r="C1781" s="15" t="s">
        <v>1149</v>
      </c>
      <c r="D1781" s="14" t="s">
        <v>1350</v>
      </c>
      <c r="E1781" s="14" t="s">
        <v>1351</v>
      </c>
      <c r="G1781" s="15" t="s">
        <v>1165</v>
      </c>
      <c r="H1781" s="14" t="s">
        <v>1165</v>
      </c>
      <c r="I1781" s="14" t="s">
        <v>1328</v>
      </c>
      <c r="J1781" s="14" t="s">
        <v>1337</v>
      </c>
      <c r="K1781" s="14" t="s">
        <v>1338</v>
      </c>
      <c r="L1781" s="14">
        <v>2000</v>
      </c>
      <c r="M1781" s="14" t="s">
        <v>1327</v>
      </c>
      <c r="O1781" s="14">
        <v>2005</v>
      </c>
      <c r="P1781" s="14">
        <v>2005</v>
      </c>
      <c r="Q1781" s="14" t="s">
        <v>1329</v>
      </c>
      <c r="R1781" s="14">
        <v>10</v>
      </c>
      <c r="T1781" s="14" t="s">
        <v>1330</v>
      </c>
      <c r="U1781" s="14" t="s">
        <v>1341</v>
      </c>
      <c r="V1781" s="12"/>
      <c r="W1781" s="14">
        <v>35</v>
      </c>
      <c r="X1781" s="12" t="s">
        <v>1261</v>
      </c>
      <c r="Y1781" s="14" t="s">
        <v>2996</v>
      </c>
      <c r="Z1781" s="14">
        <v>0</v>
      </c>
      <c r="AD1781" s="14" t="s">
        <v>1165</v>
      </c>
      <c r="AF1781" s="14" t="s">
        <v>1165</v>
      </c>
      <c r="AI1781" s="14" t="s">
        <v>1165</v>
      </c>
      <c r="AJ1781" s="15" t="s">
        <v>1148</v>
      </c>
      <c r="AK1781" s="15">
        <v>10.335000000000001</v>
      </c>
      <c r="AP1781" s="15">
        <v>28</v>
      </c>
      <c r="AQ1781" s="14" t="s">
        <v>1336</v>
      </c>
      <c r="AR1781" s="15" t="s">
        <v>1335</v>
      </c>
      <c r="AS1781" s="14" t="s">
        <v>3002</v>
      </c>
    </row>
    <row r="1782" spans="1:45" s="14" customFormat="1" x14ac:dyDescent="0.2">
      <c r="A1782" s="14" t="s">
        <v>1326</v>
      </c>
      <c r="B1782" s="15" t="s">
        <v>1146</v>
      </c>
      <c r="C1782" s="15" t="s">
        <v>1149</v>
      </c>
      <c r="D1782" s="14" t="s">
        <v>1350</v>
      </c>
      <c r="E1782" s="14" t="s">
        <v>1351</v>
      </c>
      <c r="G1782" s="15" t="s">
        <v>1165</v>
      </c>
      <c r="H1782" s="14" t="s">
        <v>1165</v>
      </c>
      <c r="I1782" s="14" t="s">
        <v>1328</v>
      </c>
      <c r="J1782" s="14" t="s">
        <v>1337</v>
      </c>
      <c r="K1782" s="14" t="s">
        <v>1338</v>
      </c>
      <c r="L1782" s="14">
        <v>2000</v>
      </c>
      <c r="M1782" s="14" t="s">
        <v>1327</v>
      </c>
      <c r="O1782" s="14">
        <v>2005</v>
      </c>
      <c r="P1782" s="14">
        <v>2005</v>
      </c>
      <c r="Q1782" s="14" t="s">
        <v>1329</v>
      </c>
      <c r="R1782" s="14">
        <v>10</v>
      </c>
      <c r="T1782" s="14" t="s">
        <v>1330</v>
      </c>
      <c r="U1782" s="14" t="s">
        <v>1341</v>
      </c>
      <c r="V1782" s="12"/>
      <c r="W1782" s="14">
        <v>70</v>
      </c>
      <c r="X1782" s="12" t="s">
        <v>1333</v>
      </c>
      <c r="Y1782" s="14" t="s">
        <v>2997</v>
      </c>
      <c r="Z1782" s="14">
        <v>12</v>
      </c>
      <c r="AD1782" s="14" t="s">
        <v>1165</v>
      </c>
      <c r="AF1782" s="14" t="s">
        <v>1165</v>
      </c>
      <c r="AI1782" s="14" t="s">
        <v>1165</v>
      </c>
      <c r="AJ1782" s="15" t="s">
        <v>1148</v>
      </c>
      <c r="AK1782" s="15">
        <v>64.075000000000003</v>
      </c>
      <c r="AP1782" s="15">
        <v>28</v>
      </c>
      <c r="AQ1782" s="14" t="s">
        <v>1336</v>
      </c>
      <c r="AR1782" s="15" t="s">
        <v>1335</v>
      </c>
      <c r="AS1782" s="14" t="s">
        <v>3002</v>
      </c>
    </row>
    <row r="1783" spans="1:45" s="14" customFormat="1" x14ac:dyDescent="0.2">
      <c r="A1783" s="14" t="s">
        <v>1326</v>
      </c>
      <c r="B1783" s="15" t="s">
        <v>1146</v>
      </c>
      <c r="C1783" s="15" t="s">
        <v>1149</v>
      </c>
      <c r="D1783" s="14" t="s">
        <v>1350</v>
      </c>
      <c r="E1783" s="14" t="s">
        <v>1351</v>
      </c>
      <c r="G1783" s="15" t="s">
        <v>1165</v>
      </c>
      <c r="H1783" s="14" t="s">
        <v>1165</v>
      </c>
      <c r="I1783" s="14" t="s">
        <v>1328</v>
      </c>
      <c r="J1783" s="14" t="s">
        <v>1337</v>
      </c>
      <c r="K1783" s="14" t="s">
        <v>1338</v>
      </c>
      <c r="L1783" s="14">
        <v>2000</v>
      </c>
      <c r="M1783" s="14" t="s">
        <v>1327</v>
      </c>
      <c r="O1783" s="14">
        <v>2005</v>
      </c>
      <c r="P1783" s="14">
        <v>2005</v>
      </c>
      <c r="Q1783" s="14" t="s">
        <v>1329</v>
      </c>
      <c r="R1783" s="14">
        <v>10</v>
      </c>
      <c r="T1783" s="14" t="s">
        <v>1330</v>
      </c>
      <c r="U1783" s="14" t="s">
        <v>1341</v>
      </c>
      <c r="V1783" s="12"/>
      <c r="W1783" s="14">
        <v>70</v>
      </c>
      <c r="X1783" s="12" t="s">
        <v>1264</v>
      </c>
      <c r="Y1783" s="14" t="s">
        <v>2997</v>
      </c>
      <c r="Z1783" s="14">
        <v>12</v>
      </c>
      <c r="AD1783" s="14" t="s">
        <v>1165</v>
      </c>
      <c r="AF1783" s="14" t="s">
        <v>1165</v>
      </c>
      <c r="AI1783" s="14" t="s">
        <v>1165</v>
      </c>
      <c r="AJ1783" s="15" t="s">
        <v>1148</v>
      </c>
      <c r="AK1783" s="15">
        <v>90.65</v>
      </c>
      <c r="AP1783" s="15">
        <v>28</v>
      </c>
      <c r="AQ1783" s="14" t="s">
        <v>1336</v>
      </c>
      <c r="AR1783" s="15" t="s">
        <v>1335</v>
      </c>
      <c r="AS1783" s="14" t="s">
        <v>3002</v>
      </c>
    </row>
    <row r="1784" spans="1:45" s="14" customFormat="1" x14ac:dyDescent="0.2">
      <c r="A1784" s="14" t="s">
        <v>1326</v>
      </c>
      <c r="B1784" s="15" t="s">
        <v>1146</v>
      </c>
      <c r="C1784" s="15" t="s">
        <v>1149</v>
      </c>
      <c r="D1784" s="14" t="s">
        <v>1350</v>
      </c>
      <c r="E1784" s="14" t="s">
        <v>1351</v>
      </c>
      <c r="G1784" s="15" t="s">
        <v>1165</v>
      </c>
      <c r="H1784" s="14" t="s">
        <v>1165</v>
      </c>
      <c r="I1784" s="14" t="s">
        <v>1328</v>
      </c>
      <c r="J1784" s="14" t="s">
        <v>1337</v>
      </c>
      <c r="K1784" s="14" t="s">
        <v>1338</v>
      </c>
      <c r="L1784" s="14">
        <v>2000</v>
      </c>
      <c r="M1784" s="14" t="s">
        <v>1327</v>
      </c>
      <c r="O1784" s="14">
        <v>2005</v>
      </c>
      <c r="P1784" s="14">
        <v>2005</v>
      </c>
      <c r="Q1784" s="14" t="s">
        <v>1329</v>
      </c>
      <c r="R1784" s="14">
        <v>10</v>
      </c>
      <c r="T1784" s="14" t="s">
        <v>1330</v>
      </c>
      <c r="U1784" s="14" t="s">
        <v>1341</v>
      </c>
      <c r="V1784" s="12"/>
      <c r="W1784" s="14">
        <v>70</v>
      </c>
      <c r="X1784" s="12" t="s">
        <v>1261</v>
      </c>
      <c r="Y1784" s="14" t="s">
        <v>2997</v>
      </c>
      <c r="Z1784" s="14">
        <v>12</v>
      </c>
      <c r="AD1784" s="14" t="s">
        <v>1165</v>
      </c>
      <c r="AF1784" s="14" t="s">
        <v>1165</v>
      </c>
      <c r="AI1784" s="14" t="s">
        <v>1165</v>
      </c>
      <c r="AJ1784" s="15" t="s">
        <v>1148</v>
      </c>
      <c r="AK1784" s="15">
        <v>67.028000000000006</v>
      </c>
      <c r="AP1784" s="15">
        <v>28</v>
      </c>
      <c r="AQ1784" s="14" t="s">
        <v>1336</v>
      </c>
      <c r="AR1784" s="15" t="s">
        <v>1335</v>
      </c>
      <c r="AS1784" s="14" t="s">
        <v>3002</v>
      </c>
    </row>
    <row r="1785" spans="1:45" s="14" customFormat="1" x14ac:dyDescent="0.2">
      <c r="A1785" s="14" t="s">
        <v>1326</v>
      </c>
      <c r="B1785" s="15" t="s">
        <v>1146</v>
      </c>
      <c r="C1785" s="15" t="s">
        <v>1149</v>
      </c>
      <c r="D1785" s="14" t="s">
        <v>1350</v>
      </c>
      <c r="E1785" s="14" t="s">
        <v>1351</v>
      </c>
      <c r="G1785" s="15" t="s">
        <v>1165</v>
      </c>
      <c r="H1785" s="14" t="s">
        <v>1165</v>
      </c>
      <c r="I1785" s="14" t="s">
        <v>1328</v>
      </c>
      <c r="J1785" s="14" t="s">
        <v>1337</v>
      </c>
      <c r="K1785" s="14" t="s">
        <v>1338</v>
      </c>
      <c r="L1785" s="14">
        <v>2000</v>
      </c>
      <c r="M1785" s="14" t="s">
        <v>1327</v>
      </c>
      <c r="O1785" s="14">
        <v>2005</v>
      </c>
      <c r="P1785" s="14">
        <v>2005</v>
      </c>
      <c r="Q1785" s="14" t="s">
        <v>1329</v>
      </c>
      <c r="R1785" s="14">
        <v>10</v>
      </c>
      <c r="T1785" s="14" t="s">
        <v>1330</v>
      </c>
      <c r="U1785" s="14" t="s">
        <v>1341</v>
      </c>
      <c r="V1785" s="12"/>
      <c r="W1785" s="14">
        <v>70</v>
      </c>
      <c r="X1785" s="12" t="s">
        <v>1334</v>
      </c>
      <c r="Y1785" s="14" t="s">
        <v>2997</v>
      </c>
      <c r="Z1785" s="14">
        <v>12</v>
      </c>
      <c r="AD1785" s="14" t="s">
        <v>1165</v>
      </c>
      <c r="AF1785" s="14" t="s">
        <v>1165</v>
      </c>
      <c r="AI1785" s="14" t="s">
        <v>1165</v>
      </c>
      <c r="AJ1785" s="15" t="s">
        <v>1148</v>
      </c>
      <c r="AK1785" s="15">
        <v>15.65</v>
      </c>
      <c r="AP1785" s="15">
        <v>28</v>
      </c>
      <c r="AQ1785" s="14" t="s">
        <v>1336</v>
      </c>
      <c r="AR1785" s="15" t="s">
        <v>1335</v>
      </c>
      <c r="AS1785" s="14" t="s">
        <v>3002</v>
      </c>
    </row>
    <row r="1786" spans="1:45" s="14" customFormat="1" x14ac:dyDescent="0.2">
      <c r="A1786" s="14" t="s">
        <v>1326</v>
      </c>
      <c r="B1786" s="15" t="s">
        <v>1146</v>
      </c>
      <c r="C1786" s="15" t="s">
        <v>1149</v>
      </c>
      <c r="D1786" s="14" t="s">
        <v>1350</v>
      </c>
      <c r="E1786" s="14" t="s">
        <v>1351</v>
      </c>
      <c r="G1786" s="15" t="s">
        <v>1165</v>
      </c>
      <c r="H1786" s="14" t="s">
        <v>1165</v>
      </c>
      <c r="I1786" s="14" t="s">
        <v>1328</v>
      </c>
      <c r="J1786" s="14" t="s">
        <v>1337</v>
      </c>
      <c r="K1786" s="14" t="s">
        <v>1338</v>
      </c>
      <c r="L1786" s="14">
        <v>2000</v>
      </c>
      <c r="M1786" s="14" t="s">
        <v>1327</v>
      </c>
      <c r="O1786" s="14">
        <v>2005</v>
      </c>
      <c r="P1786" s="14">
        <v>2005</v>
      </c>
      <c r="Q1786" s="14" t="s">
        <v>1329</v>
      </c>
      <c r="R1786" s="14">
        <v>10</v>
      </c>
      <c r="T1786" s="14" t="s">
        <v>1330</v>
      </c>
      <c r="U1786" s="14" t="s">
        <v>1341</v>
      </c>
      <c r="V1786" s="12"/>
      <c r="W1786" s="14">
        <v>70</v>
      </c>
      <c r="X1786" s="12" t="s">
        <v>1333</v>
      </c>
      <c r="Y1786" s="14" t="s">
        <v>2997</v>
      </c>
      <c r="Z1786" s="14">
        <v>0</v>
      </c>
      <c r="AD1786" s="14" t="s">
        <v>1165</v>
      </c>
      <c r="AF1786" s="14" t="s">
        <v>1165</v>
      </c>
      <c r="AI1786" s="14" t="s">
        <v>1165</v>
      </c>
      <c r="AJ1786" s="15" t="s">
        <v>1148</v>
      </c>
      <c r="AK1786" s="15">
        <v>53.74</v>
      </c>
      <c r="AP1786" s="15">
        <v>28</v>
      </c>
      <c r="AQ1786" s="14" t="s">
        <v>1336</v>
      </c>
      <c r="AR1786" s="15" t="s">
        <v>1335</v>
      </c>
      <c r="AS1786" s="14" t="s">
        <v>3002</v>
      </c>
    </row>
    <row r="1787" spans="1:45" s="14" customFormat="1" x14ac:dyDescent="0.2">
      <c r="A1787" s="14" t="s">
        <v>1326</v>
      </c>
      <c r="B1787" s="15" t="s">
        <v>1146</v>
      </c>
      <c r="C1787" s="15" t="s">
        <v>1149</v>
      </c>
      <c r="D1787" s="14" t="s">
        <v>1350</v>
      </c>
      <c r="E1787" s="14" t="s">
        <v>1351</v>
      </c>
      <c r="G1787" s="15" t="s">
        <v>1165</v>
      </c>
      <c r="H1787" s="14" t="s">
        <v>1165</v>
      </c>
      <c r="I1787" s="14" t="s">
        <v>1328</v>
      </c>
      <c r="J1787" s="14" t="s">
        <v>1337</v>
      </c>
      <c r="K1787" s="14" t="s">
        <v>1338</v>
      </c>
      <c r="L1787" s="14">
        <v>2000</v>
      </c>
      <c r="M1787" s="14" t="s">
        <v>1327</v>
      </c>
      <c r="O1787" s="14">
        <v>2005</v>
      </c>
      <c r="P1787" s="14">
        <v>2005</v>
      </c>
      <c r="Q1787" s="14" t="s">
        <v>1329</v>
      </c>
      <c r="R1787" s="14">
        <v>10</v>
      </c>
      <c r="T1787" s="14" t="s">
        <v>1330</v>
      </c>
      <c r="U1787" s="14" t="s">
        <v>1341</v>
      </c>
      <c r="V1787" s="12"/>
      <c r="W1787" s="14">
        <v>70</v>
      </c>
      <c r="X1787" s="12" t="s">
        <v>1264</v>
      </c>
      <c r="Y1787" s="14" t="s">
        <v>2997</v>
      </c>
      <c r="Z1787" s="14">
        <v>0</v>
      </c>
      <c r="AD1787" s="14" t="s">
        <v>1165</v>
      </c>
      <c r="AF1787" s="14" t="s">
        <v>1165</v>
      </c>
      <c r="AI1787" s="14" t="s">
        <v>1165</v>
      </c>
      <c r="AJ1787" s="15" t="s">
        <v>1148</v>
      </c>
      <c r="AK1787" s="15">
        <v>28.641999999999999</v>
      </c>
      <c r="AP1787" s="15">
        <v>28</v>
      </c>
      <c r="AQ1787" s="14" t="s">
        <v>1336</v>
      </c>
      <c r="AR1787" s="15" t="s">
        <v>1335</v>
      </c>
      <c r="AS1787" s="14" t="s">
        <v>3002</v>
      </c>
    </row>
    <row r="1788" spans="1:45" s="14" customFormat="1" x14ac:dyDescent="0.2">
      <c r="A1788" s="14" t="s">
        <v>1326</v>
      </c>
      <c r="B1788" s="15" t="s">
        <v>1146</v>
      </c>
      <c r="C1788" s="15" t="s">
        <v>1149</v>
      </c>
      <c r="D1788" s="14" t="s">
        <v>1350</v>
      </c>
      <c r="E1788" s="14" t="s">
        <v>1351</v>
      </c>
      <c r="G1788" s="15" t="s">
        <v>1165</v>
      </c>
      <c r="H1788" s="14" t="s">
        <v>1165</v>
      </c>
      <c r="I1788" s="14" t="s">
        <v>1328</v>
      </c>
      <c r="J1788" s="14" t="s">
        <v>1337</v>
      </c>
      <c r="K1788" s="14" t="s">
        <v>1338</v>
      </c>
      <c r="L1788" s="14">
        <v>2000</v>
      </c>
      <c r="M1788" s="14" t="s">
        <v>1327</v>
      </c>
      <c r="O1788" s="14">
        <v>2005</v>
      </c>
      <c r="P1788" s="14">
        <v>2005</v>
      </c>
      <c r="Q1788" s="14" t="s">
        <v>1329</v>
      </c>
      <c r="R1788" s="14">
        <v>10</v>
      </c>
      <c r="T1788" s="14" t="s">
        <v>1330</v>
      </c>
      <c r="U1788" s="14" t="s">
        <v>1341</v>
      </c>
      <c r="V1788" s="12"/>
      <c r="W1788" s="14">
        <v>70</v>
      </c>
      <c r="X1788" s="12" t="s">
        <v>1261</v>
      </c>
      <c r="Y1788" s="14" t="s">
        <v>2997</v>
      </c>
      <c r="Z1788" s="14">
        <v>0</v>
      </c>
      <c r="AD1788" s="14" t="s">
        <v>1165</v>
      </c>
      <c r="AF1788" s="14" t="s">
        <v>1165</v>
      </c>
      <c r="AI1788" s="14" t="s">
        <v>1165</v>
      </c>
      <c r="AJ1788" s="15" t="s">
        <v>1148</v>
      </c>
      <c r="AK1788" s="15">
        <v>20.965</v>
      </c>
      <c r="AP1788" s="15">
        <v>28</v>
      </c>
      <c r="AQ1788" s="14" t="s">
        <v>1336</v>
      </c>
      <c r="AR1788" s="15" t="s">
        <v>1335</v>
      </c>
      <c r="AS1788" s="14" t="s">
        <v>3002</v>
      </c>
    </row>
    <row r="1789" spans="1:45" s="14" customFormat="1" x14ac:dyDescent="0.2">
      <c r="A1789" s="14" t="s">
        <v>1326</v>
      </c>
      <c r="B1789" s="15" t="s">
        <v>1146</v>
      </c>
      <c r="C1789" s="15" t="s">
        <v>1149</v>
      </c>
      <c r="D1789" s="14" t="s">
        <v>1350</v>
      </c>
      <c r="E1789" s="14" t="s">
        <v>1351</v>
      </c>
      <c r="G1789" s="15" t="s">
        <v>1165</v>
      </c>
      <c r="H1789" s="14" t="s">
        <v>1165</v>
      </c>
      <c r="I1789" s="14" t="s">
        <v>1328</v>
      </c>
      <c r="J1789" s="14" t="s">
        <v>1337</v>
      </c>
      <c r="K1789" s="14" t="s">
        <v>1338</v>
      </c>
      <c r="L1789" s="14">
        <v>2000</v>
      </c>
      <c r="M1789" s="14" t="s">
        <v>1327</v>
      </c>
      <c r="O1789" s="14">
        <v>2005</v>
      </c>
      <c r="P1789" s="14">
        <v>2005</v>
      </c>
      <c r="Q1789" s="14" t="s">
        <v>1329</v>
      </c>
      <c r="R1789" s="14">
        <v>10</v>
      </c>
      <c r="T1789" s="14" t="s">
        <v>1330</v>
      </c>
      <c r="U1789" s="14" t="s">
        <v>1341</v>
      </c>
      <c r="V1789" s="12"/>
      <c r="W1789" s="14">
        <v>70</v>
      </c>
      <c r="X1789" s="12" t="s">
        <v>1334</v>
      </c>
      <c r="Y1789" s="14" t="s">
        <v>2997</v>
      </c>
      <c r="Z1789" s="14">
        <v>0</v>
      </c>
      <c r="AD1789" s="14" t="s">
        <v>1165</v>
      </c>
      <c r="AF1789" s="14" t="s">
        <v>1165</v>
      </c>
      <c r="AI1789" s="14" t="s">
        <v>1165</v>
      </c>
      <c r="AJ1789" s="15" t="s">
        <v>1148</v>
      </c>
      <c r="AK1789" s="15">
        <v>0</v>
      </c>
      <c r="AP1789" s="15">
        <v>28</v>
      </c>
      <c r="AQ1789" s="14" t="s">
        <v>1336</v>
      </c>
      <c r="AR1789" s="15" t="s">
        <v>1335</v>
      </c>
      <c r="AS1789" s="14" t="s">
        <v>3002</v>
      </c>
    </row>
    <row r="1790" spans="1:45" s="14" customFormat="1" x14ac:dyDescent="0.2">
      <c r="A1790" s="14" t="s">
        <v>1326</v>
      </c>
      <c r="B1790" s="15" t="s">
        <v>1146</v>
      </c>
      <c r="C1790" s="15" t="s">
        <v>1149</v>
      </c>
      <c r="D1790" s="14" t="s">
        <v>1350</v>
      </c>
      <c r="E1790" s="14" t="s">
        <v>1351</v>
      </c>
      <c r="G1790" s="15" t="s">
        <v>1165</v>
      </c>
      <c r="H1790" s="14" t="s">
        <v>1165</v>
      </c>
      <c r="I1790" s="14" t="s">
        <v>1328</v>
      </c>
      <c r="J1790" s="14" t="s">
        <v>1337</v>
      </c>
      <c r="K1790" s="14" t="s">
        <v>1338</v>
      </c>
      <c r="L1790" s="14">
        <v>2000</v>
      </c>
      <c r="M1790" s="14" t="s">
        <v>1327</v>
      </c>
      <c r="O1790" s="14">
        <v>2005</v>
      </c>
      <c r="P1790" s="14">
        <v>2005</v>
      </c>
      <c r="Q1790" s="14" t="s">
        <v>1329</v>
      </c>
      <c r="R1790" s="14">
        <v>10</v>
      </c>
      <c r="T1790" s="14" t="s">
        <v>1330</v>
      </c>
      <c r="U1790" s="14" t="s">
        <v>1341</v>
      </c>
      <c r="V1790" s="12"/>
      <c r="W1790" s="14">
        <v>140</v>
      </c>
      <c r="X1790" s="12" t="s">
        <v>1333</v>
      </c>
      <c r="Y1790" s="14" t="s">
        <v>2998</v>
      </c>
      <c r="Z1790" s="14">
        <v>12</v>
      </c>
      <c r="AD1790" s="14" t="s">
        <v>1165</v>
      </c>
      <c r="AF1790" s="14" t="s">
        <v>1165</v>
      </c>
      <c r="AI1790" s="14" t="s">
        <v>1165</v>
      </c>
      <c r="AJ1790" s="15" t="s">
        <v>1148</v>
      </c>
      <c r="AK1790" s="15">
        <v>97.146000000000001</v>
      </c>
      <c r="AP1790" s="15">
        <v>28</v>
      </c>
      <c r="AQ1790" s="14" t="s">
        <v>1336</v>
      </c>
      <c r="AR1790" s="15" t="s">
        <v>1335</v>
      </c>
      <c r="AS1790" s="14" t="s">
        <v>3002</v>
      </c>
    </row>
    <row r="1791" spans="1:45" s="14" customFormat="1" x14ac:dyDescent="0.2">
      <c r="A1791" s="14" t="s">
        <v>1326</v>
      </c>
      <c r="B1791" s="15" t="s">
        <v>1146</v>
      </c>
      <c r="C1791" s="15" t="s">
        <v>1149</v>
      </c>
      <c r="D1791" s="14" t="s">
        <v>1350</v>
      </c>
      <c r="E1791" s="14" t="s">
        <v>1351</v>
      </c>
      <c r="G1791" s="15" t="s">
        <v>1165</v>
      </c>
      <c r="H1791" s="14" t="s">
        <v>1165</v>
      </c>
      <c r="I1791" s="14" t="s">
        <v>1328</v>
      </c>
      <c r="J1791" s="14" t="s">
        <v>1337</v>
      </c>
      <c r="K1791" s="14" t="s">
        <v>1338</v>
      </c>
      <c r="L1791" s="14">
        <v>2000</v>
      </c>
      <c r="M1791" s="14" t="s">
        <v>1327</v>
      </c>
      <c r="O1791" s="14">
        <v>2005</v>
      </c>
      <c r="P1791" s="14">
        <v>2005</v>
      </c>
      <c r="Q1791" s="14" t="s">
        <v>1329</v>
      </c>
      <c r="R1791" s="14">
        <v>10</v>
      </c>
      <c r="T1791" s="14" t="s">
        <v>1330</v>
      </c>
      <c r="U1791" s="14" t="s">
        <v>1341</v>
      </c>
      <c r="V1791" s="12"/>
      <c r="W1791" s="14">
        <v>140</v>
      </c>
      <c r="X1791" s="12" t="s">
        <v>1264</v>
      </c>
      <c r="Y1791" s="14" t="s">
        <v>2998</v>
      </c>
      <c r="Z1791" s="14">
        <v>12</v>
      </c>
      <c r="AD1791" s="14" t="s">
        <v>1165</v>
      </c>
      <c r="AF1791" s="14" t="s">
        <v>1165</v>
      </c>
      <c r="AI1791" s="14" t="s">
        <v>1165</v>
      </c>
      <c r="AJ1791" s="15" t="s">
        <v>1148</v>
      </c>
      <c r="AK1791" s="15">
        <v>100</v>
      </c>
      <c r="AP1791" s="15">
        <v>28</v>
      </c>
      <c r="AQ1791" s="14" t="s">
        <v>1336</v>
      </c>
      <c r="AR1791" s="15" t="s">
        <v>1335</v>
      </c>
      <c r="AS1791" s="14" t="s">
        <v>3002</v>
      </c>
    </row>
    <row r="1792" spans="1:45" s="14" customFormat="1" x14ac:dyDescent="0.2">
      <c r="A1792" s="14" t="s">
        <v>1326</v>
      </c>
      <c r="B1792" s="15" t="s">
        <v>1146</v>
      </c>
      <c r="C1792" s="15" t="s">
        <v>1149</v>
      </c>
      <c r="D1792" s="14" t="s">
        <v>1350</v>
      </c>
      <c r="E1792" s="14" t="s">
        <v>1351</v>
      </c>
      <c r="G1792" s="15" t="s">
        <v>1165</v>
      </c>
      <c r="H1792" s="14" t="s">
        <v>1165</v>
      </c>
      <c r="I1792" s="14" t="s">
        <v>1328</v>
      </c>
      <c r="J1792" s="14" t="s">
        <v>1337</v>
      </c>
      <c r="K1792" s="14" t="s">
        <v>1338</v>
      </c>
      <c r="L1792" s="14">
        <v>2000</v>
      </c>
      <c r="M1792" s="14" t="s">
        <v>1327</v>
      </c>
      <c r="O1792" s="14">
        <v>2005</v>
      </c>
      <c r="P1792" s="14">
        <v>2005</v>
      </c>
      <c r="Q1792" s="14" t="s">
        <v>1329</v>
      </c>
      <c r="R1792" s="14">
        <v>10</v>
      </c>
      <c r="T1792" s="14" t="s">
        <v>1330</v>
      </c>
      <c r="U1792" s="14" t="s">
        <v>1341</v>
      </c>
      <c r="V1792" s="12"/>
      <c r="W1792" s="14">
        <v>140</v>
      </c>
      <c r="X1792" s="12" t="s">
        <v>1261</v>
      </c>
      <c r="Y1792" s="14" t="s">
        <v>2998</v>
      </c>
      <c r="Z1792" s="14">
        <v>12</v>
      </c>
      <c r="AD1792" s="14" t="s">
        <v>1165</v>
      </c>
      <c r="AF1792" s="14" t="s">
        <v>1165</v>
      </c>
      <c r="AI1792" s="14" t="s">
        <v>1165</v>
      </c>
      <c r="AJ1792" s="15" t="s">
        <v>1148</v>
      </c>
      <c r="AK1792" s="15">
        <v>72.933000000000007</v>
      </c>
      <c r="AP1792" s="15">
        <v>28</v>
      </c>
      <c r="AQ1792" s="14" t="s">
        <v>1336</v>
      </c>
      <c r="AR1792" s="15" t="s">
        <v>1335</v>
      </c>
      <c r="AS1792" s="14" t="s">
        <v>3002</v>
      </c>
    </row>
    <row r="1793" spans="1:45" s="14" customFormat="1" x14ac:dyDescent="0.2">
      <c r="A1793" s="14" t="s">
        <v>1326</v>
      </c>
      <c r="B1793" s="15" t="s">
        <v>1146</v>
      </c>
      <c r="C1793" s="15" t="s">
        <v>1149</v>
      </c>
      <c r="D1793" s="14" t="s">
        <v>1350</v>
      </c>
      <c r="E1793" s="14" t="s">
        <v>1351</v>
      </c>
      <c r="G1793" s="15" t="s">
        <v>1165</v>
      </c>
      <c r="H1793" s="14" t="s">
        <v>1165</v>
      </c>
      <c r="I1793" s="14" t="s">
        <v>1328</v>
      </c>
      <c r="J1793" s="14" t="s">
        <v>1337</v>
      </c>
      <c r="K1793" s="14" t="s">
        <v>1338</v>
      </c>
      <c r="L1793" s="14">
        <v>2000</v>
      </c>
      <c r="M1793" s="14" t="s">
        <v>1327</v>
      </c>
      <c r="O1793" s="14">
        <v>2005</v>
      </c>
      <c r="P1793" s="14">
        <v>2005</v>
      </c>
      <c r="Q1793" s="14" t="s">
        <v>1329</v>
      </c>
      <c r="R1793" s="14">
        <v>10</v>
      </c>
      <c r="T1793" s="14" t="s">
        <v>1330</v>
      </c>
      <c r="U1793" s="14" t="s">
        <v>1341</v>
      </c>
      <c r="V1793" s="12"/>
      <c r="W1793" s="14">
        <v>140</v>
      </c>
      <c r="X1793" s="12" t="s">
        <v>1334</v>
      </c>
      <c r="Y1793" s="14" t="s">
        <v>2998</v>
      </c>
      <c r="Z1793" s="14">
        <v>12</v>
      </c>
      <c r="AD1793" s="14" t="s">
        <v>1165</v>
      </c>
      <c r="AF1793" s="14" t="s">
        <v>1165</v>
      </c>
      <c r="AI1793" s="14" t="s">
        <v>1165</v>
      </c>
      <c r="AJ1793" s="15" t="s">
        <v>1148</v>
      </c>
      <c r="AK1793" s="15">
        <v>5.61</v>
      </c>
      <c r="AP1793" s="15">
        <v>28</v>
      </c>
      <c r="AQ1793" s="14" t="s">
        <v>1336</v>
      </c>
      <c r="AR1793" s="15" t="s">
        <v>1335</v>
      </c>
      <c r="AS1793" s="14" t="s">
        <v>3002</v>
      </c>
    </row>
    <row r="1794" spans="1:45" s="14" customFormat="1" x14ac:dyDescent="0.2">
      <c r="A1794" s="14" t="s">
        <v>1326</v>
      </c>
      <c r="B1794" s="15" t="s">
        <v>1146</v>
      </c>
      <c r="C1794" s="15" t="s">
        <v>1149</v>
      </c>
      <c r="D1794" s="14" t="s">
        <v>1350</v>
      </c>
      <c r="E1794" s="14" t="s">
        <v>1351</v>
      </c>
      <c r="G1794" s="15" t="s">
        <v>1165</v>
      </c>
      <c r="H1794" s="14" t="s">
        <v>1165</v>
      </c>
      <c r="I1794" s="14" t="s">
        <v>1328</v>
      </c>
      <c r="J1794" s="14" t="s">
        <v>1337</v>
      </c>
      <c r="K1794" s="14" t="s">
        <v>1338</v>
      </c>
      <c r="L1794" s="14">
        <v>2000</v>
      </c>
      <c r="M1794" s="14" t="s">
        <v>1327</v>
      </c>
      <c r="O1794" s="14">
        <v>2005</v>
      </c>
      <c r="P1794" s="14">
        <v>2005</v>
      </c>
      <c r="Q1794" s="14" t="s">
        <v>1329</v>
      </c>
      <c r="R1794" s="14">
        <v>10</v>
      </c>
      <c r="T1794" s="14" t="s">
        <v>1330</v>
      </c>
      <c r="U1794" s="14" t="s">
        <v>1341</v>
      </c>
      <c r="V1794" s="12"/>
      <c r="W1794" s="14">
        <v>140</v>
      </c>
      <c r="X1794" s="12" t="s">
        <v>1333</v>
      </c>
      <c r="Y1794" s="14" t="s">
        <v>2998</v>
      </c>
      <c r="Z1794" s="14">
        <v>0</v>
      </c>
      <c r="AD1794" s="14" t="s">
        <v>1165</v>
      </c>
      <c r="AF1794" s="14" t="s">
        <v>1165</v>
      </c>
      <c r="AI1794" s="14" t="s">
        <v>1165</v>
      </c>
      <c r="AJ1794" s="15" t="s">
        <v>1148</v>
      </c>
      <c r="AK1794" s="15">
        <v>73.524000000000001</v>
      </c>
      <c r="AP1794" s="15">
        <v>28</v>
      </c>
      <c r="AQ1794" s="14" t="s">
        <v>1336</v>
      </c>
      <c r="AR1794" s="15" t="s">
        <v>1335</v>
      </c>
      <c r="AS1794" s="14" t="s">
        <v>3002</v>
      </c>
    </row>
    <row r="1795" spans="1:45" s="14" customFormat="1" x14ac:dyDescent="0.2">
      <c r="A1795" s="14" t="s">
        <v>1326</v>
      </c>
      <c r="B1795" s="15" t="s">
        <v>1146</v>
      </c>
      <c r="C1795" s="15" t="s">
        <v>1149</v>
      </c>
      <c r="D1795" s="14" t="s">
        <v>1350</v>
      </c>
      <c r="E1795" s="14" t="s">
        <v>1351</v>
      </c>
      <c r="G1795" s="15" t="s">
        <v>1165</v>
      </c>
      <c r="H1795" s="14" t="s">
        <v>1165</v>
      </c>
      <c r="I1795" s="14" t="s">
        <v>1328</v>
      </c>
      <c r="J1795" s="14" t="s">
        <v>1337</v>
      </c>
      <c r="K1795" s="14" t="s">
        <v>1338</v>
      </c>
      <c r="L1795" s="14">
        <v>2000</v>
      </c>
      <c r="M1795" s="14" t="s">
        <v>1327</v>
      </c>
      <c r="O1795" s="14">
        <v>2005</v>
      </c>
      <c r="P1795" s="14">
        <v>2005</v>
      </c>
      <c r="Q1795" s="14" t="s">
        <v>1329</v>
      </c>
      <c r="R1795" s="14">
        <v>10</v>
      </c>
      <c r="T1795" s="14" t="s">
        <v>1330</v>
      </c>
      <c r="U1795" s="14" t="s">
        <v>1341</v>
      </c>
      <c r="V1795" s="12"/>
      <c r="W1795" s="14">
        <v>140</v>
      </c>
      <c r="X1795" s="12" t="s">
        <v>1264</v>
      </c>
      <c r="Y1795" s="14" t="s">
        <v>2998</v>
      </c>
      <c r="Z1795" s="14">
        <v>0</v>
      </c>
      <c r="AD1795" s="14" t="s">
        <v>1165</v>
      </c>
      <c r="AF1795" s="14" t="s">
        <v>1165</v>
      </c>
      <c r="AI1795" s="14" t="s">
        <v>1165</v>
      </c>
      <c r="AJ1795" s="15" t="s">
        <v>1148</v>
      </c>
      <c r="AK1795" s="15">
        <v>58.76</v>
      </c>
      <c r="AP1795" s="15">
        <v>28</v>
      </c>
      <c r="AQ1795" s="14" t="s">
        <v>1336</v>
      </c>
      <c r="AR1795" s="15" t="s">
        <v>1335</v>
      </c>
      <c r="AS1795" s="14" t="s">
        <v>3002</v>
      </c>
    </row>
    <row r="1796" spans="1:45" s="14" customFormat="1" x14ac:dyDescent="0.2">
      <c r="A1796" s="14" t="s">
        <v>1326</v>
      </c>
      <c r="B1796" s="15" t="s">
        <v>1146</v>
      </c>
      <c r="C1796" s="15" t="s">
        <v>1149</v>
      </c>
      <c r="D1796" s="14" t="s">
        <v>1350</v>
      </c>
      <c r="E1796" s="14" t="s">
        <v>1351</v>
      </c>
      <c r="G1796" s="15" t="s">
        <v>1165</v>
      </c>
      <c r="H1796" s="14" t="s">
        <v>1165</v>
      </c>
      <c r="I1796" s="14" t="s">
        <v>1328</v>
      </c>
      <c r="J1796" s="14" t="s">
        <v>1337</v>
      </c>
      <c r="K1796" s="14" t="s">
        <v>1338</v>
      </c>
      <c r="L1796" s="14">
        <v>2000</v>
      </c>
      <c r="M1796" s="14" t="s">
        <v>1327</v>
      </c>
      <c r="O1796" s="14">
        <v>2005</v>
      </c>
      <c r="P1796" s="14">
        <v>2005</v>
      </c>
      <c r="Q1796" s="14" t="s">
        <v>1329</v>
      </c>
      <c r="R1796" s="14">
        <v>10</v>
      </c>
      <c r="T1796" s="14" t="s">
        <v>1330</v>
      </c>
      <c r="U1796" s="14" t="s">
        <v>1341</v>
      </c>
      <c r="V1796" s="12"/>
      <c r="W1796" s="14">
        <v>140</v>
      </c>
      <c r="X1796" s="12" t="s">
        <v>1261</v>
      </c>
      <c r="Y1796" s="14" t="s">
        <v>2998</v>
      </c>
      <c r="Z1796" s="14">
        <v>0</v>
      </c>
      <c r="AD1796" s="14" t="s">
        <v>1165</v>
      </c>
      <c r="AF1796" s="14" t="s">
        <v>1165</v>
      </c>
      <c r="AI1796" s="14" t="s">
        <v>1165</v>
      </c>
      <c r="AJ1796" s="15" t="s">
        <v>1148</v>
      </c>
      <c r="AK1796" s="15">
        <v>18.602</v>
      </c>
      <c r="AP1796" s="15">
        <v>28</v>
      </c>
      <c r="AQ1796" s="14" t="s">
        <v>1336</v>
      </c>
      <c r="AR1796" s="15" t="s">
        <v>1335</v>
      </c>
      <c r="AS1796" s="14" t="s">
        <v>3002</v>
      </c>
    </row>
    <row r="1797" spans="1:45" s="14" customFormat="1" x14ac:dyDescent="0.2">
      <c r="A1797" s="14" t="s">
        <v>1326</v>
      </c>
      <c r="B1797" s="15" t="s">
        <v>1146</v>
      </c>
      <c r="C1797" s="15" t="s">
        <v>1149</v>
      </c>
      <c r="D1797" s="14" t="s">
        <v>1350</v>
      </c>
      <c r="E1797" s="14" t="s">
        <v>1351</v>
      </c>
      <c r="G1797" s="15" t="s">
        <v>1165</v>
      </c>
      <c r="H1797" s="14" t="s">
        <v>1165</v>
      </c>
      <c r="I1797" s="14" t="s">
        <v>1328</v>
      </c>
      <c r="J1797" s="14" t="s">
        <v>1337</v>
      </c>
      <c r="K1797" s="14" t="s">
        <v>1338</v>
      </c>
      <c r="L1797" s="14">
        <v>2000</v>
      </c>
      <c r="M1797" s="14" t="s">
        <v>1327</v>
      </c>
      <c r="O1797" s="14">
        <v>2005</v>
      </c>
      <c r="P1797" s="14">
        <v>2005</v>
      </c>
      <c r="Q1797" s="14" t="s">
        <v>1329</v>
      </c>
      <c r="R1797" s="14">
        <v>10</v>
      </c>
      <c r="T1797" s="14" t="s">
        <v>1330</v>
      </c>
      <c r="U1797" s="14" t="s">
        <v>1341</v>
      </c>
      <c r="V1797" s="12"/>
      <c r="W1797" s="14">
        <v>140</v>
      </c>
      <c r="X1797" s="12" t="s">
        <v>1334</v>
      </c>
      <c r="Y1797" s="14" t="s">
        <v>2998</v>
      </c>
      <c r="Z1797" s="14">
        <v>0</v>
      </c>
      <c r="AD1797" s="14" t="s">
        <v>1165</v>
      </c>
      <c r="AF1797" s="14" t="s">
        <v>1165</v>
      </c>
      <c r="AI1797" s="14" t="s">
        <v>1165</v>
      </c>
      <c r="AJ1797" s="15" t="s">
        <v>1148</v>
      </c>
      <c r="AK1797" s="15">
        <v>1.476</v>
      </c>
      <c r="AP1797" s="15">
        <v>28</v>
      </c>
      <c r="AQ1797" s="14" t="s">
        <v>1336</v>
      </c>
      <c r="AR1797" s="15" t="s">
        <v>1335</v>
      </c>
      <c r="AS1797" s="14" t="s">
        <v>3002</v>
      </c>
    </row>
    <row r="1798" spans="1:45" s="14" customFormat="1" x14ac:dyDescent="0.2">
      <c r="A1798" s="14" t="s">
        <v>1326</v>
      </c>
      <c r="B1798" s="15" t="s">
        <v>1146</v>
      </c>
      <c r="C1798" s="15" t="s">
        <v>1149</v>
      </c>
      <c r="D1798" s="14" t="s">
        <v>1350</v>
      </c>
      <c r="E1798" s="14" t="s">
        <v>1351</v>
      </c>
      <c r="G1798" s="15" t="s">
        <v>1165</v>
      </c>
      <c r="H1798" s="14" t="s">
        <v>1165</v>
      </c>
      <c r="I1798" s="14" t="s">
        <v>1328</v>
      </c>
      <c r="J1798" s="14" t="s">
        <v>1337</v>
      </c>
      <c r="K1798" s="14" t="s">
        <v>1338</v>
      </c>
      <c r="L1798" s="14">
        <v>2000</v>
      </c>
      <c r="M1798" s="14" t="s">
        <v>1327</v>
      </c>
      <c r="O1798" s="14">
        <v>2005</v>
      </c>
      <c r="P1798" s="14">
        <v>2005</v>
      </c>
      <c r="Q1798" s="14" t="s">
        <v>1329</v>
      </c>
      <c r="R1798" s="14">
        <v>10</v>
      </c>
      <c r="T1798" s="14" t="s">
        <v>1330</v>
      </c>
      <c r="U1798" s="14" t="s">
        <v>1341</v>
      </c>
      <c r="V1798" s="12"/>
      <c r="W1798" s="14">
        <v>210</v>
      </c>
      <c r="X1798" s="12" t="s">
        <v>1333</v>
      </c>
      <c r="Y1798" s="14" t="s">
        <v>2999</v>
      </c>
      <c r="Z1798" s="14">
        <v>12</v>
      </c>
      <c r="AD1798" s="14" t="s">
        <v>1165</v>
      </c>
      <c r="AF1798" s="14" t="s">
        <v>1165</v>
      </c>
      <c r="AI1798" s="14" t="s">
        <v>1165</v>
      </c>
      <c r="AJ1798" s="15" t="s">
        <v>1148</v>
      </c>
      <c r="AK1798" s="15">
        <v>100</v>
      </c>
      <c r="AP1798" s="15">
        <v>28</v>
      </c>
      <c r="AQ1798" s="14" t="s">
        <v>1336</v>
      </c>
      <c r="AR1798" s="15" t="s">
        <v>1335</v>
      </c>
      <c r="AS1798" s="14" t="s">
        <v>3002</v>
      </c>
    </row>
    <row r="1799" spans="1:45" s="14" customFormat="1" x14ac:dyDescent="0.2">
      <c r="A1799" s="14" t="s">
        <v>1326</v>
      </c>
      <c r="B1799" s="15" t="s">
        <v>1146</v>
      </c>
      <c r="C1799" s="15" t="s">
        <v>1149</v>
      </c>
      <c r="D1799" s="14" t="s">
        <v>1350</v>
      </c>
      <c r="E1799" s="14" t="s">
        <v>1351</v>
      </c>
      <c r="G1799" s="15" t="s">
        <v>1165</v>
      </c>
      <c r="H1799" s="14" t="s">
        <v>1165</v>
      </c>
      <c r="I1799" s="14" t="s">
        <v>1328</v>
      </c>
      <c r="J1799" s="14" t="s">
        <v>1337</v>
      </c>
      <c r="K1799" s="14" t="s">
        <v>1338</v>
      </c>
      <c r="L1799" s="14">
        <v>2000</v>
      </c>
      <c r="M1799" s="14" t="s">
        <v>1327</v>
      </c>
      <c r="O1799" s="14">
        <v>2005</v>
      </c>
      <c r="P1799" s="14">
        <v>2005</v>
      </c>
      <c r="Q1799" s="14" t="s">
        <v>1329</v>
      </c>
      <c r="R1799" s="14">
        <v>10</v>
      </c>
      <c r="T1799" s="14" t="s">
        <v>1330</v>
      </c>
      <c r="U1799" s="14" t="s">
        <v>1341</v>
      </c>
      <c r="V1799" s="12"/>
      <c r="W1799" s="14">
        <v>210</v>
      </c>
      <c r="X1799" s="12" t="s">
        <v>1264</v>
      </c>
      <c r="Y1799" s="14" t="s">
        <v>2999</v>
      </c>
      <c r="Z1799" s="14">
        <v>12</v>
      </c>
      <c r="AD1799" s="14" t="s">
        <v>1165</v>
      </c>
      <c r="AF1799" s="14" t="s">
        <v>1165</v>
      </c>
      <c r="AI1799" s="14" t="s">
        <v>1165</v>
      </c>
      <c r="AJ1799" s="15" t="s">
        <v>1148</v>
      </c>
      <c r="AK1799" s="15">
        <v>100</v>
      </c>
      <c r="AP1799" s="15">
        <v>28</v>
      </c>
      <c r="AQ1799" s="14" t="s">
        <v>1336</v>
      </c>
      <c r="AR1799" s="15" t="s">
        <v>1335</v>
      </c>
      <c r="AS1799" s="14" t="s">
        <v>3002</v>
      </c>
    </row>
    <row r="1800" spans="1:45" s="14" customFormat="1" x14ac:dyDescent="0.2">
      <c r="A1800" s="14" t="s">
        <v>1326</v>
      </c>
      <c r="B1800" s="15" t="s">
        <v>1146</v>
      </c>
      <c r="C1800" s="15" t="s">
        <v>1149</v>
      </c>
      <c r="D1800" s="14" t="s">
        <v>1350</v>
      </c>
      <c r="E1800" s="14" t="s">
        <v>1351</v>
      </c>
      <c r="G1800" s="15" t="s">
        <v>1165</v>
      </c>
      <c r="H1800" s="14" t="s">
        <v>1165</v>
      </c>
      <c r="I1800" s="14" t="s">
        <v>1328</v>
      </c>
      <c r="J1800" s="14" t="s">
        <v>1337</v>
      </c>
      <c r="K1800" s="14" t="s">
        <v>1338</v>
      </c>
      <c r="L1800" s="14">
        <v>2000</v>
      </c>
      <c r="M1800" s="14" t="s">
        <v>1327</v>
      </c>
      <c r="O1800" s="14">
        <v>2005</v>
      </c>
      <c r="P1800" s="14">
        <v>2005</v>
      </c>
      <c r="Q1800" s="14" t="s">
        <v>1329</v>
      </c>
      <c r="R1800" s="14">
        <v>10</v>
      </c>
      <c r="T1800" s="14" t="s">
        <v>1330</v>
      </c>
      <c r="U1800" s="14" t="s">
        <v>1341</v>
      </c>
      <c r="V1800" s="12"/>
      <c r="W1800" s="14">
        <v>210</v>
      </c>
      <c r="X1800" s="12" t="s">
        <v>1261</v>
      </c>
      <c r="Y1800" s="14" t="s">
        <v>2999</v>
      </c>
      <c r="Z1800" s="14">
        <v>12</v>
      </c>
      <c r="AD1800" s="14" t="s">
        <v>1165</v>
      </c>
      <c r="AF1800" s="14" t="s">
        <v>1165</v>
      </c>
      <c r="AI1800" s="14" t="s">
        <v>1165</v>
      </c>
      <c r="AJ1800" s="15" t="s">
        <v>1148</v>
      </c>
      <c r="AK1800" s="15">
        <v>67.617999999999995</v>
      </c>
      <c r="AP1800" s="15">
        <v>28</v>
      </c>
      <c r="AQ1800" s="14" t="s">
        <v>1336</v>
      </c>
      <c r="AR1800" s="15" t="s">
        <v>1335</v>
      </c>
      <c r="AS1800" s="14" t="s">
        <v>3002</v>
      </c>
    </row>
    <row r="1801" spans="1:45" s="14" customFormat="1" x14ac:dyDescent="0.2">
      <c r="A1801" s="14" t="s">
        <v>1326</v>
      </c>
      <c r="B1801" s="15" t="s">
        <v>1146</v>
      </c>
      <c r="C1801" s="15" t="s">
        <v>1149</v>
      </c>
      <c r="D1801" s="14" t="s">
        <v>1350</v>
      </c>
      <c r="E1801" s="14" t="s">
        <v>1351</v>
      </c>
      <c r="G1801" s="15" t="s">
        <v>1165</v>
      </c>
      <c r="H1801" s="14" t="s">
        <v>1165</v>
      </c>
      <c r="I1801" s="14" t="s">
        <v>1328</v>
      </c>
      <c r="J1801" s="14" t="s">
        <v>1337</v>
      </c>
      <c r="K1801" s="14" t="s">
        <v>1338</v>
      </c>
      <c r="L1801" s="14">
        <v>2000</v>
      </c>
      <c r="M1801" s="14" t="s">
        <v>1327</v>
      </c>
      <c r="O1801" s="14">
        <v>2005</v>
      </c>
      <c r="P1801" s="14">
        <v>2005</v>
      </c>
      <c r="Q1801" s="14" t="s">
        <v>1329</v>
      </c>
      <c r="R1801" s="14">
        <v>10</v>
      </c>
      <c r="T1801" s="14" t="s">
        <v>1330</v>
      </c>
      <c r="U1801" s="14" t="s">
        <v>1341</v>
      </c>
      <c r="V1801" s="12"/>
      <c r="W1801" s="14">
        <v>210</v>
      </c>
      <c r="X1801" s="12" t="s">
        <v>1334</v>
      </c>
      <c r="Y1801" s="14" t="s">
        <v>2999</v>
      </c>
      <c r="Z1801" s="14">
        <v>12</v>
      </c>
      <c r="AD1801" s="14" t="s">
        <v>1165</v>
      </c>
      <c r="AF1801" s="14" t="s">
        <v>1165</v>
      </c>
      <c r="AI1801" s="14" t="s">
        <v>1165</v>
      </c>
      <c r="AJ1801" s="15" t="s">
        <v>1148</v>
      </c>
      <c r="AK1801" s="15">
        <v>5.0199999999999996</v>
      </c>
      <c r="AP1801" s="15">
        <v>28</v>
      </c>
      <c r="AQ1801" s="14" t="s">
        <v>1336</v>
      </c>
      <c r="AR1801" s="15" t="s">
        <v>1335</v>
      </c>
      <c r="AS1801" s="14" t="s">
        <v>3002</v>
      </c>
    </row>
    <row r="1802" spans="1:45" s="14" customFormat="1" x14ac:dyDescent="0.2">
      <c r="A1802" s="14" t="s">
        <v>1326</v>
      </c>
      <c r="B1802" s="15" t="s">
        <v>1146</v>
      </c>
      <c r="C1802" s="15" t="s">
        <v>1149</v>
      </c>
      <c r="D1802" s="14" t="s">
        <v>1350</v>
      </c>
      <c r="E1802" s="14" t="s">
        <v>1351</v>
      </c>
      <c r="G1802" s="15" t="s">
        <v>1165</v>
      </c>
      <c r="H1802" s="14" t="s">
        <v>1165</v>
      </c>
      <c r="I1802" s="14" t="s">
        <v>1328</v>
      </c>
      <c r="J1802" s="14" t="s">
        <v>1337</v>
      </c>
      <c r="K1802" s="14" t="s">
        <v>1338</v>
      </c>
      <c r="L1802" s="14">
        <v>2000</v>
      </c>
      <c r="M1802" s="14" t="s">
        <v>1327</v>
      </c>
      <c r="O1802" s="14">
        <v>2005</v>
      </c>
      <c r="P1802" s="14">
        <v>2005</v>
      </c>
      <c r="Q1802" s="14" t="s">
        <v>1329</v>
      </c>
      <c r="R1802" s="14">
        <v>10</v>
      </c>
      <c r="T1802" s="14" t="s">
        <v>1330</v>
      </c>
      <c r="U1802" s="14" t="s">
        <v>1341</v>
      </c>
      <c r="V1802" s="12"/>
      <c r="W1802" s="14">
        <v>210</v>
      </c>
      <c r="X1802" s="12" t="s">
        <v>1333</v>
      </c>
      <c r="Y1802" s="14" t="s">
        <v>2999</v>
      </c>
      <c r="Z1802" s="14">
        <v>0</v>
      </c>
      <c r="AD1802" s="14" t="s">
        <v>1165</v>
      </c>
      <c r="AF1802" s="14" t="s">
        <v>1165</v>
      </c>
      <c r="AI1802" s="14" t="s">
        <v>1165</v>
      </c>
      <c r="AJ1802" s="15" t="s">
        <v>1148</v>
      </c>
      <c r="AK1802" s="15">
        <v>73.524000000000001</v>
      </c>
      <c r="AP1802" s="15">
        <v>28</v>
      </c>
      <c r="AQ1802" s="14" t="s">
        <v>1336</v>
      </c>
      <c r="AR1802" s="15" t="s">
        <v>1335</v>
      </c>
      <c r="AS1802" s="14" t="s">
        <v>3002</v>
      </c>
    </row>
    <row r="1803" spans="1:45" s="14" customFormat="1" x14ac:dyDescent="0.2">
      <c r="A1803" s="14" t="s">
        <v>1326</v>
      </c>
      <c r="B1803" s="15" t="s">
        <v>1146</v>
      </c>
      <c r="C1803" s="15" t="s">
        <v>1149</v>
      </c>
      <c r="D1803" s="14" t="s">
        <v>1350</v>
      </c>
      <c r="E1803" s="14" t="s">
        <v>1351</v>
      </c>
      <c r="G1803" s="15" t="s">
        <v>1165</v>
      </c>
      <c r="H1803" s="14" t="s">
        <v>1165</v>
      </c>
      <c r="I1803" s="14" t="s">
        <v>1328</v>
      </c>
      <c r="J1803" s="14" t="s">
        <v>1337</v>
      </c>
      <c r="K1803" s="14" t="s">
        <v>1338</v>
      </c>
      <c r="L1803" s="14">
        <v>2000</v>
      </c>
      <c r="M1803" s="14" t="s">
        <v>1327</v>
      </c>
      <c r="O1803" s="14">
        <v>2005</v>
      </c>
      <c r="P1803" s="14">
        <v>2005</v>
      </c>
      <c r="Q1803" s="14" t="s">
        <v>1329</v>
      </c>
      <c r="R1803" s="14">
        <v>10</v>
      </c>
      <c r="T1803" s="14" t="s">
        <v>1330</v>
      </c>
      <c r="U1803" s="14" t="s">
        <v>1341</v>
      </c>
      <c r="V1803" s="12"/>
      <c r="W1803" s="14">
        <v>210</v>
      </c>
      <c r="X1803" s="12" t="s">
        <v>1264</v>
      </c>
      <c r="Y1803" s="14" t="s">
        <v>2999</v>
      </c>
      <c r="Z1803" s="14">
        <v>0</v>
      </c>
      <c r="AD1803" s="14" t="s">
        <v>1165</v>
      </c>
      <c r="AF1803" s="14" t="s">
        <v>1165</v>
      </c>
      <c r="AI1803" s="14" t="s">
        <v>1165</v>
      </c>
      <c r="AJ1803" s="15" t="s">
        <v>1148</v>
      </c>
      <c r="AK1803" s="15">
        <v>52.853999999999999</v>
      </c>
      <c r="AP1803" s="15">
        <v>28</v>
      </c>
      <c r="AQ1803" s="14" t="s">
        <v>1336</v>
      </c>
      <c r="AR1803" s="15" t="s">
        <v>1335</v>
      </c>
      <c r="AS1803" s="14" t="s">
        <v>3002</v>
      </c>
    </row>
    <row r="1804" spans="1:45" s="14" customFormat="1" x14ac:dyDescent="0.2">
      <c r="A1804" s="14" t="s">
        <v>1326</v>
      </c>
      <c r="B1804" s="15" t="s">
        <v>1146</v>
      </c>
      <c r="C1804" s="15" t="s">
        <v>1149</v>
      </c>
      <c r="D1804" s="14" t="s">
        <v>1350</v>
      </c>
      <c r="E1804" s="14" t="s">
        <v>1351</v>
      </c>
      <c r="G1804" s="15" t="s">
        <v>1165</v>
      </c>
      <c r="H1804" s="14" t="s">
        <v>1165</v>
      </c>
      <c r="I1804" s="14" t="s">
        <v>1328</v>
      </c>
      <c r="J1804" s="14" t="s">
        <v>1337</v>
      </c>
      <c r="K1804" s="14" t="s">
        <v>1338</v>
      </c>
      <c r="L1804" s="14">
        <v>2000</v>
      </c>
      <c r="M1804" s="14" t="s">
        <v>1327</v>
      </c>
      <c r="O1804" s="14">
        <v>2005</v>
      </c>
      <c r="P1804" s="14">
        <v>2005</v>
      </c>
      <c r="Q1804" s="14" t="s">
        <v>1329</v>
      </c>
      <c r="R1804" s="14">
        <v>10</v>
      </c>
      <c r="T1804" s="14" t="s">
        <v>1330</v>
      </c>
      <c r="U1804" s="14" t="s">
        <v>1341</v>
      </c>
      <c r="V1804" s="12"/>
      <c r="W1804" s="14">
        <v>210</v>
      </c>
      <c r="X1804" s="12" t="s">
        <v>1261</v>
      </c>
      <c r="Y1804" s="14" t="s">
        <v>2999</v>
      </c>
      <c r="Z1804" s="14">
        <v>0</v>
      </c>
      <c r="AD1804" s="14" t="s">
        <v>1165</v>
      </c>
      <c r="AF1804" s="14" t="s">
        <v>1165</v>
      </c>
      <c r="AI1804" s="14" t="s">
        <v>1165</v>
      </c>
      <c r="AJ1804" s="15" t="s">
        <v>1148</v>
      </c>
      <c r="AK1804" s="15">
        <v>21.555</v>
      </c>
      <c r="AP1804" s="15">
        <v>28</v>
      </c>
      <c r="AQ1804" s="14" t="s">
        <v>1336</v>
      </c>
      <c r="AR1804" s="15" t="s">
        <v>1335</v>
      </c>
      <c r="AS1804" s="14" t="s">
        <v>3002</v>
      </c>
    </row>
    <row r="1805" spans="1:45" s="14" customFormat="1" x14ac:dyDescent="0.2">
      <c r="A1805" s="14" t="s">
        <v>1326</v>
      </c>
      <c r="B1805" s="15" t="s">
        <v>1146</v>
      </c>
      <c r="C1805" s="15" t="s">
        <v>1149</v>
      </c>
      <c r="D1805" s="14" t="s">
        <v>1350</v>
      </c>
      <c r="E1805" s="14" t="s">
        <v>1351</v>
      </c>
      <c r="G1805" s="15" t="s">
        <v>1165</v>
      </c>
      <c r="H1805" s="14" t="s">
        <v>1165</v>
      </c>
      <c r="I1805" s="14" t="s">
        <v>1328</v>
      </c>
      <c r="J1805" s="14" t="s">
        <v>1337</v>
      </c>
      <c r="K1805" s="14" t="s">
        <v>1338</v>
      </c>
      <c r="L1805" s="14">
        <v>2000</v>
      </c>
      <c r="M1805" s="14" t="s">
        <v>1327</v>
      </c>
      <c r="O1805" s="14">
        <v>2005</v>
      </c>
      <c r="P1805" s="14">
        <v>2005</v>
      </c>
      <c r="Q1805" s="14" t="s">
        <v>1329</v>
      </c>
      <c r="R1805" s="14">
        <v>10</v>
      </c>
      <c r="T1805" s="14" t="s">
        <v>1330</v>
      </c>
      <c r="U1805" s="14" t="s">
        <v>1341</v>
      </c>
      <c r="V1805" s="12"/>
      <c r="W1805" s="14">
        <v>210</v>
      </c>
      <c r="X1805" s="12" t="s">
        <v>1334</v>
      </c>
      <c r="Y1805" s="14" t="s">
        <v>2999</v>
      </c>
      <c r="Z1805" s="14">
        <v>0</v>
      </c>
      <c r="AD1805" s="14" t="s">
        <v>1165</v>
      </c>
      <c r="AF1805" s="14" t="s">
        <v>1165</v>
      </c>
      <c r="AI1805" s="14" t="s">
        <v>1165</v>
      </c>
      <c r="AJ1805" s="15" t="s">
        <v>1148</v>
      </c>
      <c r="AK1805" s="15">
        <v>0</v>
      </c>
      <c r="AP1805" s="15">
        <v>28</v>
      </c>
      <c r="AQ1805" s="14" t="s">
        <v>1336</v>
      </c>
      <c r="AR1805" s="15" t="s">
        <v>1335</v>
      </c>
      <c r="AS1805" s="14" t="s">
        <v>3002</v>
      </c>
    </row>
    <row r="1806" spans="1:45" x14ac:dyDescent="0.2">
      <c r="A1806" s="14" t="s">
        <v>1360</v>
      </c>
      <c r="B1806" s="15" t="s">
        <v>1146</v>
      </c>
      <c r="C1806" s="15" t="s">
        <v>1149</v>
      </c>
      <c r="D1806" s="14" t="s">
        <v>1358</v>
      </c>
      <c r="E1806" s="14" t="s">
        <v>1359</v>
      </c>
      <c r="G1806" s="15" t="s">
        <v>1165</v>
      </c>
      <c r="H1806" s="14" t="s">
        <v>1165</v>
      </c>
      <c r="I1806" s="14" t="s">
        <v>3006</v>
      </c>
      <c r="M1806" s="14" t="s">
        <v>1145</v>
      </c>
      <c r="O1806" s="14">
        <v>2007</v>
      </c>
      <c r="U1806" s="14" t="s">
        <v>1246</v>
      </c>
      <c r="V1806" s="9" t="s">
        <v>1247</v>
      </c>
      <c r="W1806" s="14">
        <v>0</v>
      </c>
      <c r="X1806" s="9" t="s">
        <v>1292</v>
      </c>
      <c r="Y1806" s="14" t="s">
        <v>1151</v>
      </c>
      <c r="Z1806" s="14">
        <v>12</v>
      </c>
      <c r="AD1806" s="14" t="s">
        <v>1165</v>
      </c>
      <c r="AF1806" s="14"/>
      <c r="AI1806" s="14" t="s">
        <v>1165</v>
      </c>
      <c r="AJ1806" s="15" t="s">
        <v>1148</v>
      </c>
      <c r="AK1806" s="15">
        <v>0</v>
      </c>
      <c r="AL1806" t="s">
        <v>3009</v>
      </c>
      <c r="AM1806">
        <v>0</v>
      </c>
      <c r="AN1806">
        <v>3</v>
      </c>
      <c r="AO1806">
        <v>10</v>
      </c>
      <c r="AP1806" t="s">
        <v>1244</v>
      </c>
      <c r="AQ1806" t="s">
        <v>1244</v>
      </c>
      <c r="AR1806" s="15" t="s">
        <v>1155</v>
      </c>
      <c r="AS1806" s="14" t="s">
        <v>3007</v>
      </c>
    </row>
    <row r="1807" spans="1:45" x14ac:dyDescent="0.2">
      <c r="A1807" s="14" t="s">
        <v>1360</v>
      </c>
      <c r="B1807" s="15" t="s">
        <v>1146</v>
      </c>
      <c r="C1807" s="15" t="s">
        <v>1149</v>
      </c>
      <c r="D1807" s="14" t="s">
        <v>1358</v>
      </c>
      <c r="E1807" s="14" t="s">
        <v>1359</v>
      </c>
      <c r="G1807" s="15" t="s">
        <v>1165</v>
      </c>
      <c r="H1807" s="14" t="s">
        <v>1165</v>
      </c>
      <c r="I1807" s="14" t="s">
        <v>3006</v>
      </c>
      <c r="M1807" s="14" t="s">
        <v>1145</v>
      </c>
      <c r="O1807" s="14">
        <v>2007</v>
      </c>
      <c r="U1807" s="14" t="s">
        <v>1246</v>
      </c>
      <c r="V1807" s="9" t="s">
        <v>1247</v>
      </c>
      <c r="W1807" s="14">
        <v>0</v>
      </c>
      <c r="X1807" s="9" t="s">
        <v>1292</v>
      </c>
      <c r="Y1807" s="14" t="s">
        <v>1151</v>
      </c>
      <c r="Z1807" s="14">
        <v>0</v>
      </c>
      <c r="AD1807" s="14" t="s">
        <v>1165</v>
      </c>
      <c r="AF1807" s="14"/>
      <c r="AI1807" s="14" t="s">
        <v>1165</v>
      </c>
      <c r="AJ1807" s="15" t="s">
        <v>1148</v>
      </c>
      <c r="AK1807" s="15">
        <v>0</v>
      </c>
      <c r="AL1807" t="s">
        <v>3009</v>
      </c>
      <c r="AM1807">
        <v>0</v>
      </c>
      <c r="AN1807">
        <v>3</v>
      </c>
      <c r="AO1807">
        <v>10</v>
      </c>
      <c r="AP1807" t="s">
        <v>1244</v>
      </c>
      <c r="AQ1807" t="s">
        <v>1244</v>
      </c>
      <c r="AR1807" s="15" t="s">
        <v>1155</v>
      </c>
      <c r="AS1807" s="14" t="s">
        <v>3007</v>
      </c>
    </row>
    <row r="1808" spans="1:45" x14ac:dyDescent="0.2">
      <c r="A1808" s="14" t="s">
        <v>1360</v>
      </c>
      <c r="B1808" s="15" t="s">
        <v>1146</v>
      </c>
      <c r="C1808" s="15" t="s">
        <v>1149</v>
      </c>
      <c r="D1808" s="14" t="s">
        <v>1358</v>
      </c>
      <c r="E1808" s="14" t="s">
        <v>1359</v>
      </c>
      <c r="G1808" s="15" t="s">
        <v>1165</v>
      </c>
      <c r="H1808" s="14" t="s">
        <v>1165</v>
      </c>
      <c r="I1808" s="14" t="s">
        <v>3006</v>
      </c>
      <c r="M1808" s="14" t="s">
        <v>1145</v>
      </c>
      <c r="O1808" s="14">
        <v>2007</v>
      </c>
      <c r="U1808" s="14" t="s">
        <v>1246</v>
      </c>
      <c r="V1808" s="9" t="s">
        <v>1247</v>
      </c>
      <c r="W1808" s="14">
        <v>0</v>
      </c>
      <c r="X1808" s="9" t="s">
        <v>1292</v>
      </c>
      <c r="Y1808" s="14" t="s">
        <v>1151</v>
      </c>
      <c r="Z1808" s="14">
        <v>12</v>
      </c>
      <c r="AD1808" s="14" t="s">
        <v>1165</v>
      </c>
      <c r="AF1808" s="14"/>
      <c r="AI1808" s="14" t="s">
        <v>1165</v>
      </c>
      <c r="AJ1808" s="15" t="s">
        <v>1148</v>
      </c>
      <c r="AK1808" s="15">
        <v>0</v>
      </c>
      <c r="AL1808" t="s">
        <v>3009</v>
      </c>
      <c r="AM1808">
        <v>0</v>
      </c>
      <c r="AN1808">
        <v>3</v>
      </c>
      <c r="AO1808">
        <v>10</v>
      </c>
      <c r="AP1808" t="s">
        <v>1244</v>
      </c>
      <c r="AQ1808" t="s">
        <v>1244</v>
      </c>
      <c r="AR1808" s="15" t="s">
        <v>1155</v>
      </c>
      <c r="AS1808" s="14" t="s">
        <v>3008</v>
      </c>
    </row>
    <row r="1809" spans="1:45" x14ac:dyDescent="0.2">
      <c r="A1809" s="14" t="s">
        <v>1360</v>
      </c>
      <c r="B1809" s="15" t="s">
        <v>1146</v>
      </c>
      <c r="C1809" s="15" t="s">
        <v>1149</v>
      </c>
      <c r="D1809" s="14" t="s">
        <v>1358</v>
      </c>
      <c r="E1809" s="14" t="s">
        <v>1359</v>
      </c>
      <c r="G1809" s="15" t="s">
        <v>1165</v>
      </c>
      <c r="H1809" s="14" t="s">
        <v>1165</v>
      </c>
      <c r="I1809" s="14" t="s">
        <v>3006</v>
      </c>
      <c r="M1809" s="14" t="s">
        <v>1145</v>
      </c>
      <c r="O1809" s="14">
        <v>2007</v>
      </c>
      <c r="U1809" s="14" t="s">
        <v>1246</v>
      </c>
      <c r="V1809" s="9" t="s">
        <v>1247</v>
      </c>
      <c r="W1809" s="14">
        <v>0</v>
      </c>
      <c r="X1809" s="9" t="s">
        <v>1292</v>
      </c>
      <c r="Y1809" s="14" t="s">
        <v>1151</v>
      </c>
      <c r="Z1809" s="14">
        <v>0</v>
      </c>
      <c r="AD1809" s="14" t="s">
        <v>1165</v>
      </c>
      <c r="AF1809" s="14"/>
      <c r="AI1809" s="14" t="s">
        <v>1165</v>
      </c>
      <c r="AJ1809" s="15" t="s">
        <v>1148</v>
      </c>
      <c r="AK1809" s="15">
        <v>0</v>
      </c>
      <c r="AL1809" t="s">
        <v>3009</v>
      </c>
      <c r="AM1809">
        <v>0</v>
      </c>
      <c r="AN1809">
        <v>3</v>
      </c>
      <c r="AO1809">
        <v>10</v>
      </c>
      <c r="AP1809" t="s">
        <v>1244</v>
      </c>
      <c r="AQ1809" t="s">
        <v>1244</v>
      </c>
      <c r="AR1809" s="15" t="s">
        <v>1155</v>
      </c>
      <c r="AS1809" s="14" t="s">
        <v>3008</v>
      </c>
    </row>
    <row r="1810" spans="1:45" x14ac:dyDescent="0.2">
      <c r="A1810" s="14" t="s">
        <v>1360</v>
      </c>
      <c r="B1810" s="15" t="s">
        <v>1146</v>
      </c>
      <c r="C1810" s="15" t="s">
        <v>1149</v>
      </c>
      <c r="D1810" s="14" t="s">
        <v>1358</v>
      </c>
      <c r="E1810" s="14" t="s">
        <v>1359</v>
      </c>
      <c r="G1810" s="15" t="s">
        <v>1165</v>
      </c>
      <c r="H1810" s="14" t="s">
        <v>1165</v>
      </c>
      <c r="I1810" s="14" t="s">
        <v>3006</v>
      </c>
      <c r="M1810" s="14" t="s">
        <v>1145</v>
      </c>
      <c r="O1810" s="14">
        <v>2007</v>
      </c>
      <c r="U1810" s="14" t="s">
        <v>1246</v>
      </c>
      <c r="V1810" s="9" t="s">
        <v>1247</v>
      </c>
      <c r="W1810" s="14">
        <v>28</v>
      </c>
      <c r="X1810" s="9" t="s">
        <v>1292</v>
      </c>
      <c r="Y1810" s="14" t="s">
        <v>1151</v>
      </c>
      <c r="Z1810" s="14">
        <v>12</v>
      </c>
      <c r="AD1810" s="14" t="s">
        <v>1165</v>
      </c>
      <c r="AF1810" s="14"/>
      <c r="AI1810" s="14" t="s">
        <v>1165</v>
      </c>
      <c r="AJ1810" s="15" t="s">
        <v>1148</v>
      </c>
      <c r="AK1810" s="15">
        <v>47.646999999999998</v>
      </c>
      <c r="AL1810" t="s">
        <v>3009</v>
      </c>
      <c r="AM1810">
        <f>62.136-31.65</f>
        <v>30.486000000000004</v>
      </c>
      <c r="AN1810">
        <v>3</v>
      </c>
      <c r="AO1810">
        <v>10</v>
      </c>
      <c r="AP1810" t="s">
        <v>1244</v>
      </c>
      <c r="AQ1810" t="s">
        <v>1244</v>
      </c>
      <c r="AR1810" s="15" t="s">
        <v>1155</v>
      </c>
      <c r="AS1810" s="14" t="s">
        <v>3007</v>
      </c>
    </row>
    <row r="1811" spans="1:45" x14ac:dyDescent="0.2">
      <c r="A1811" s="14" t="s">
        <v>1360</v>
      </c>
      <c r="B1811" s="15" t="s">
        <v>1146</v>
      </c>
      <c r="C1811" s="15" t="s">
        <v>1149</v>
      </c>
      <c r="D1811" s="14" t="s">
        <v>1358</v>
      </c>
      <c r="E1811" s="14" t="s">
        <v>1359</v>
      </c>
      <c r="G1811" s="15" t="s">
        <v>1165</v>
      </c>
      <c r="H1811" s="14" t="s">
        <v>1165</v>
      </c>
      <c r="I1811" s="14" t="s">
        <v>3006</v>
      </c>
      <c r="M1811" s="14" t="s">
        <v>1145</v>
      </c>
      <c r="O1811" s="14">
        <v>2007</v>
      </c>
      <c r="U1811" s="14" t="s">
        <v>1246</v>
      </c>
      <c r="V1811" s="9" t="s">
        <v>1247</v>
      </c>
      <c r="W1811" s="14">
        <v>28</v>
      </c>
      <c r="X1811" s="9" t="s">
        <v>1292</v>
      </c>
      <c r="Y1811" s="14" t="s">
        <v>1151</v>
      </c>
      <c r="Z1811" s="14">
        <v>0</v>
      </c>
      <c r="AD1811" s="14" t="s">
        <v>1165</v>
      </c>
      <c r="AF1811" s="14"/>
      <c r="AI1811" s="14" t="s">
        <v>1165</v>
      </c>
      <c r="AJ1811" s="15" t="s">
        <v>1148</v>
      </c>
      <c r="AK1811" s="15">
        <v>13.529</v>
      </c>
      <c r="AL1811" t="s">
        <v>3009</v>
      </c>
      <c r="AM1811">
        <f>19.223-7.573</f>
        <v>11.649999999999999</v>
      </c>
      <c r="AN1811">
        <v>3</v>
      </c>
      <c r="AO1811">
        <v>10</v>
      </c>
      <c r="AP1811" t="s">
        <v>1244</v>
      </c>
      <c r="AQ1811" t="s">
        <v>1244</v>
      </c>
      <c r="AR1811" s="15" t="s">
        <v>1155</v>
      </c>
      <c r="AS1811" s="14" t="s">
        <v>3007</v>
      </c>
    </row>
    <row r="1812" spans="1:45" x14ac:dyDescent="0.2">
      <c r="A1812" s="14" t="s">
        <v>1360</v>
      </c>
      <c r="B1812" s="15" t="s">
        <v>1146</v>
      </c>
      <c r="C1812" s="15" t="s">
        <v>1149</v>
      </c>
      <c r="D1812" s="14" t="s">
        <v>1358</v>
      </c>
      <c r="E1812" s="14" t="s">
        <v>1359</v>
      </c>
      <c r="G1812" s="15" t="s">
        <v>1165</v>
      </c>
      <c r="H1812" s="14" t="s">
        <v>1165</v>
      </c>
      <c r="I1812" s="14" t="s">
        <v>3006</v>
      </c>
      <c r="M1812" s="14" t="s">
        <v>1145</v>
      </c>
      <c r="O1812" s="14">
        <v>2007</v>
      </c>
      <c r="U1812" s="14" t="s">
        <v>1246</v>
      </c>
      <c r="V1812" s="9" t="s">
        <v>1247</v>
      </c>
      <c r="W1812" s="14">
        <v>28</v>
      </c>
      <c r="X1812" s="9" t="s">
        <v>1292</v>
      </c>
      <c r="Y1812" s="14" t="s">
        <v>1151</v>
      </c>
      <c r="Z1812" s="14">
        <v>12</v>
      </c>
      <c r="AD1812" s="14" t="s">
        <v>1165</v>
      </c>
      <c r="AF1812" s="14"/>
      <c r="AI1812" s="14" t="s">
        <v>1165</v>
      </c>
      <c r="AJ1812" s="15" t="s">
        <v>1148</v>
      </c>
      <c r="AK1812" s="15">
        <v>0</v>
      </c>
      <c r="AL1812" t="s">
        <v>3009</v>
      </c>
      <c r="AM1812">
        <v>0</v>
      </c>
      <c r="AN1812">
        <v>3</v>
      </c>
      <c r="AO1812">
        <v>10</v>
      </c>
      <c r="AP1812" t="s">
        <v>1244</v>
      </c>
      <c r="AQ1812" t="s">
        <v>1244</v>
      </c>
      <c r="AR1812" s="15" t="s">
        <v>1155</v>
      </c>
      <c r="AS1812" s="14" t="s">
        <v>3008</v>
      </c>
    </row>
    <row r="1813" spans="1:45" x14ac:dyDescent="0.2">
      <c r="A1813" s="14" t="s">
        <v>1360</v>
      </c>
      <c r="B1813" s="15" t="s">
        <v>1146</v>
      </c>
      <c r="C1813" s="15" t="s">
        <v>1149</v>
      </c>
      <c r="D1813" s="14" t="s">
        <v>1358</v>
      </c>
      <c r="E1813" s="14" t="s">
        <v>1359</v>
      </c>
      <c r="G1813" s="15" t="s">
        <v>1165</v>
      </c>
      <c r="H1813" s="14" t="s">
        <v>1165</v>
      </c>
      <c r="I1813" s="14" t="s">
        <v>3006</v>
      </c>
      <c r="M1813" s="14" t="s">
        <v>1145</v>
      </c>
      <c r="O1813" s="14">
        <v>2007</v>
      </c>
      <c r="U1813" s="14" t="s">
        <v>1246</v>
      </c>
      <c r="V1813" s="9" t="s">
        <v>1247</v>
      </c>
      <c r="W1813" s="14">
        <v>28</v>
      </c>
      <c r="X1813" s="9" t="s">
        <v>1292</v>
      </c>
      <c r="Y1813" s="14" t="s">
        <v>1151</v>
      </c>
      <c r="Z1813" s="14">
        <v>0</v>
      </c>
      <c r="AD1813" s="14" t="s">
        <v>1165</v>
      </c>
      <c r="AF1813" s="14"/>
      <c r="AI1813" s="14" t="s">
        <v>1165</v>
      </c>
      <c r="AJ1813" s="15" t="s">
        <v>1148</v>
      </c>
      <c r="AK1813" s="15">
        <v>0</v>
      </c>
      <c r="AL1813" t="s">
        <v>3009</v>
      </c>
      <c r="AM1813">
        <v>0</v>
      </c>
      <c r="AN1813">
        <v>3</v>
      </c>
      <c r="AO1813">
        <v>10</v>
      </c>
      <c r="AP1813" t="s">
        <v>1244</v>
      </c>
      <c r="AQ1813" t="s">
        <v>1244</v>
      </c>
      <c r="AR1813" s="15" t="s">
        <v>1155</v>
      </c>
      <c r="AS1813" s="14" t="s">
        <v>3008</v>
      </c>
    </row>
    <row r="1814" spans="1:45" x14ac:dyDescent="0.2">
      <c r="A1814" s="14" t="s">
        <v>1360</v>
      </c>
      <c r="B1814" s="15" t="s">
        <v>1146</v>
      </c>
      <c r="C1814" s="15" t="s">
        <v>1149</v>
      </c>
      <c r="D1814" s="14" t="s">
        <v>1358</v>
      </c>
      <c r="E1814" s="14" t="s">
        <v>1359</v>
      </c>
      <c r="G1814" s="15" t="s">
        <v>1165</v>
      </c>
      <c r="H1814" s="14" t="s">
        <v>1165</v>
      </c>
      <c r="I1814" s="14" t="s">
        <v>3006</v>
      </c>
      <c r="M1814" s="14" t="s">
        <v>1145</v>
      </c>
      <c r="O1814" s="14">
        <v>2007</v>
      </c>
      <c r="U1814" s="14" t="s">
        <v>1246</v>
      </c>
      <c r="V1814" s="9" t="s">
        <v>1247</v>
      </c>
      <c r="W1814" s="14">
        <v>56</v>
      </c>
      <c r="X1814" s="9" t="s">
        <v>1292</v>
      </c>
      <c r="Y1814" s="14" t="s">
        <v>1151</v>
      </c>
      <c r="Z1814" s="14">
        <v>12</v>
      </c>
      <c r="AD1814" s="14" t="s">
        <v>1165</v>
      </c>
      <c r="AF1814" s="14"/>
      <c r="AI1814" s="14" t="s">
        <v>1165</v>
      </c>
      <c r="AJ1814" s="15" t="s">
        <v>1148</v>
      </c>
      <c r="AK1814" s="15">
        <v>91.373000000000005</v>
      </c>
      <c r="AL1814" t="s">
        <v>3009</v>
      </c>
      <c r="AM1814">
        <f>100.388-80.583</f>
        <v>19.805000000000007</v>
      </c>
      <c r="AN1814">
        <v>3</v>
      </c>
      <c r="AO1814">
        <v>10</v>
      </c>
      <c r="AP1814" t="s">
        <v>1244</v>
      </c>
      <c r="AQ1814" t="s">
        <v>1244</v>
      </c>
      <c r="AR1814" s="15" t="s">
        <v>1155</v>
      </c>
      <c r="AS1814" s="14" t="s">
        <v>3007</v>
      </c>
    </row>
    <row r="1815" spans="1:45" x14ac:dyDescent="0.2">
      <c r="A1815" s="14" t="s">
        <v>1360</v>
      </c>
      <c r="B1815" s="15" t="s">
        <v>1146</v>
      </c>
      <c r="C1815" s="15" t="s">
        <v>1149</v>
      </c>
      <c r="D1815" s="14" t="s">
        <v>1358</v>
      </c>
      <c r="E1815" s="14" t="s">
        <v>1359</v>
      </c>
      <c r="G1815" s="15" t="s">
        <v>1165</v>
      </c>
      <c r="H1815" s="14" t="s">
        <v>1165</v>
      </c>
      <c r="I1815" s="14" t="s">
        <v>3006</v>
      </c>
      <c r="M1815" s="14" t="s">
        <v>1145</v>
      </c>
      <c r="O1815" s="14">
        <v>2007</v>
      </c>
      <c r="U1815" s="14" t="s">
        <v>1246</v>
      </c>
      <c r="V1815" s="9" t="s">
        <v>1247</v>
      </c>
      <c r="W1815" s="14">
        <v>56</v>
      </c>
      <c r="X1815" s="9" t="s">
        <v>1292</v>
      </c>
      <c r="Y1815" s="14" t="s">
        <v>1151</v>
      </c>
      <c r="Z1815" s="14">
        <v>0</v>
      </c>
      <c r="AD1815" s="14" t="s">
        <v>1165</v>
      </c>
      <c r="AF1815" s="14"/>
      <c r="AI1815" s="14" t="s">
        <v>1165</v>
      </c>
      <c r="AJ1815" s="15" t="s">
        <v>1148</v>
      </c>
      <c r="AK1815" s="15">
        <v>37.451000000000001</v>
      </c>
      <c r="AL1815" t="s">
        <v>3009</v>
      </c>
      <c r="AM1815">
        <f>66.214-7.573</f>
        <v>58.640999999999998</v>
      </c>
      <c r="AN1815">
        <v>3</v>
      </c>
      <c r="AO1815">
        <v>10</v>
      </c>
      <c r="AP1815" t="s">
        <v>1244</v>
      </c>
      <c r="AQ1815" t="s">
        <v>1244</v>
      </c>
      <c r="AR1815" s="15" t="s">
        <v>1155</v>
      </c>
      <c r="AS1815" s="14" t="s">
        <v>3007</v>
      </c>
    </row>
    <row r="1816" spans="1:45" x14ac:dyDescent="0.2">
      <c r="A1816" s="14" t="s">
        <v>1360</v>
      </c>
      <c r="B1816" s="15" t="s">
        <v>1146</v>
      </c>
      <c r="C1816" s="15" t="s">
        <v>1149</v>
      </c>
      <c r="D1816" s="14" t="s">
        <v>1358</v>
      </c>
      <c r="E1816" s="14" t="s">
        <v>1359</v>
      </c>
      <c r="G1816" s="15" t="s">
        <v>1165</v>
      </c>
      <c r="H1816" s="14" t="s">
        <v>1165</v>
      </c>
      <c r="I1816" s="14" t="s">
        <v>3006</v>
      </c>
      <c r="M1816" s="14" t="s">
        <v>1145</v>
      </c>
      <c r="O1816" s="14">
        <v>2007</v>
      </c>
      <c r="U1816" s="14" t="s">
        <v>1246</v>
      </c>
      <c r="V1816" s="9" t="s">
        <v>1247</v>
      </c>
      <c r="W1816" s="14">
        <v>56</v>
      </c>
      <c r="X1816" s="9" t="s">
        <v>1292</v>
      </c>
      <c r="Y1816" s="14" t="s">
        <v>1151</v>
      </c>
      <c r="Z1816" s="14">
        <v>12</v>
      </c>
      <c r="AD1816" s="14" t="s">
        <v>1165</v>
      </c>
      <c r="AF1816" s="14"/>
      <c r="AI1816" s="14" t="s">
        <v>1165</v>
      </c>
      <c r="AJ1816" s="15" t="s">
        <v>1148</v>
      </c>
      <c r="AK1816" s="15">
        <v>0</v>
      </c>
      <c r="AL1816" t="s">
        <v>3009</v>
      </c>
      <c r="AM1816">
        <v>0</v>
      </c>
      <c r="AN1816">
        <v>3</v>
      </c>
      <c r="AO1816">
        <v>10</v>
      </c>
      <c r="AP1816" t="s">
        <v>1244</v>
      </c>
      <c r="AQ1816" t="s">
        <v>1244</v>
      </c>
      <c r="AR1816" s="15" t="s">
        <v>1155</v>
      </c>
      <c r="AS1816" s="14" t="s">
        <v>3008</v>
      </c>
    </row>
    <row r="1817" spans="1:45" x14ac:dyDescent="0.2">
      <c r="A1817" s="14" t="s">
        <v>1360</v>
      </c>
      <c r="B1817" s="15" t="s">
        <v>1146</v>
      </c>
      <c r="C1817" s="15" t="s">
        <v>1149</v>
      </c>
      <c r="D1817" s="14" t="s">
        <v>1358</v>
      </c>
      <c r="E1817" s="14" t="s">
        <v>1359</v>
      </c>
      <c r="G1817" s="15" t="s">
        <v>1165</v>
      </c>
      <c r="H1817" s="14" t="s">
        <v>1165</v>
      </c>
      <c r="I1817" s="14" t="s">
        <v>3006</v>
      </c>
      <c r="M1817" s="14" t="s">
        <v>1145</v>
      </c>
      <c r="O1817" s="14">
        <v>2007</v>
      </c>
      <c r="U1817" s="14" t="s">
        <v>1246</v>
      </c>
      <c r="V1817" s="9" t="s">
        <v>1247</v>
      </c>
      <c r="W1817" s="14">
        <v>56</v>
      </c>
      <c r="X1817" s="9" t="s">
        <v>1292</v>
      </c>
      <c r="Y1817" s="14" t="s">
        <v>1151</v>
      </c>
      <c r="Z1817" s="14">
        <v>0</v>
      </c>
      <c r="AD1817" s="14" t="s">
        <v>1165</v>
      </c>
      <c r="AF1817" s="14"/>
      <c r="AI1817" s="14" t="s">
        <v>1165</v>
      </c>
      <c r="AJ1817" s="15" t="s">
        <v>1148</v>
      </c>
      <c r="AK1817" s="15">
        <v>0</v>
      </c>
      <c r="AL1817" t="s">
        <v>3009</v>
      </c>
      <c r="AM1817">
        <v>0</v>
      </c>
      <c r="AN1817">
        <v>3</v>
      </c>
      <c r="AO1817">
        <v>10</v>
      </c>
      <c r="AP1817" t="s">
        <v>1244</v>
      </c>
      <c r="AQ1817" t="s">
        <v>1244</v>
      </c>
      <c r="AR1817" s="15" t="s">
        <v>1155</v>
      </c>
      <c r="AS1817" s="14" t="s">
        <v>3008</v>
      </c>
    </row>
    <row r="1818" spans="1:45" x14ac:dyDescent="0.2">
      <c r="A1818" s="14" t="s">
        <v>1360</v>
      </c>
      <c r="B1818" s="15" t="s">
        <v>1146</v>
      </c>
      <c r="C1818" s="15" t="s">
        <v>1149</v>
      </c>
      <c r="D1818" s="14" t="s">
        <v>1358</v>
      </c>
      <c r="E1818" s="14" t="s">
        <v>1359</v>
      </c>
      <c r="G1818" s="15" t="s">
        <v>1165</v>
      </c>
      <c r="H1818" s="14" t="s">
        <v>1165</v>
      </c>
      <c r="I1818" s="14" t="s">
        <v>3006</v>
      </c>
      <c r="M1818" s="14" t="s">
        <v>1145</v>
      </c>
      <c r="O1818" s="14">
        <v>2007</v>
      </c>
      <c r="U1818" s="14" t="s">
        <v>1246</v>
      </c>
      <c r="V1818" s="9" t="s">
        <v>1247</v>
      </c>
      <c r="W1818" s="14">
        <v>0</v>
      </c>
      <c r="X1818" s="9" t="s">
        <v>1295</v>
      </c>
      <c r="Y1818" s="14" t="s">
        <v>1151</v>
      </c>
      <c r="Z1818" s="14">
        <v>12</v>
      </c>
      <c r="AD1818" s="14" t="s">
        <v>1165</v>
      </c>
      <c r="AF1818" s="14"/>
      <c r="AI1818" s="14" t="s">
        <v>1165</v>
      </c>
      <c r="AJ1818" s="15" t="s">
        <v>1148</v>
      </c>
      <c r="AK1818" s="15">
        <v>0</v>
      </c>
      <c r="AL1818" t="s">
        <v>3009</v>
      </c>
      <c r="AM1818">
        <v>0</v>
      </c>
      <c r="AN1818">
        <v>3</v>
      </c>
      <c r="AO1818">
        <v>10</v>
      </c>
      <c r="AP1818" t="s">
        <v>1244</v>
      </c>
      <c r="AQ1818" t="s">
        <v>1244</v>
      </c>
      <c r="AR1818" s="15" t="s">
        <v>1155</v>
      </c>
      <c r="AS1818" s="14" t="s">
        <v>3007</v>
      </c>
    </row>
    <row r="1819" spans="1:45" x14ac:dyDescent="0.2">
      <c r="A1819" s="14" t="s">
        <v>1360</v>
      </c>
      <c r="B1819" s="15" t="s">
        <v>1146</v>
      </c>
      <c r="C1819" s="15" t="s">
        <v>1149</v>
      </c>
      <c r="D1819" s="14" t="s">
        <v>1358</v>
      </c>
      <c r="E1819" s="14" t="s">
        <v>1359</v>
      </c>
      <c r="G1819" s="15" t="s">
        <v>1165</v>
      </c>
      <c r="H1819" s="14" t="s">
        <v>1165</v>
      </c>
      <c r="I1819" s="14" t="s">
        <v>3006</v>
      </c>
      <c r="M1819" s="14" t="s">
        <v>1145</v>
      </c>
      <c r="O1819" s="14">
        <v>2007</v>
      </c>
      <c r="U1819" s="14" t="s">
        <v>1246</v>
      </c>
      <c r="V1819" s="9" t="s">
        <v>1247</v>
      </c>
      <c r="W1819" s="14">
        <v>0</v>
      </c>
      <c r="X1819" s="9" t="s">
        <v>1295</v>
      </c>
      <c r="Y1819" s="14" t="s">
        <v>1151</v>
      </c>
      <c r="Z1819" s="14">
        <v>0</v>
      </c>
      <c r="AD1819" s="14" t="s">
        <v>1165</v>
      </c>
      <c r="AF1819" s="14"/>
      <c r="AI1819" s="14" t="s">
        <v>1165</v>
      </c>
      <c r="AJ1819" s="15" t="s">
        <v>1148</v>
      </c>
      <c r="AK1819" s="15">
        <v>0</v>
      </c>
      <c r="AL1819" t="s">
        <v>3009</v>
      </c>
      <c r="AM1819">
        <v>0</v>
      </c>
      <c r="AN1819">
        <v>3</v>
      </c>
      <c r="AO1819">
        <v>10</v>
      </c>
      <c r="AP1819" t="s">
        <v>1244</v>
      </c>
      <c r="AQ1819" t="s">
        <v>1244</v>
      </c>
      <c r="AR1819" s="15" t="s">
        <v>1155</v>
      </c>
      <c r="AS1819" s="14" t="s">
        <v>3007</v>
      </c>
    </row>
    <row r="1820" spans="1:45" x14ac:dyDescent="0.2">
      <c r="A1820" s="14" t="s">
        <v>1360</v>
      </c>
      <c r="B1820" s="15" t="s">
        <v>1146</v>
      </c>
      <c r="C1820" s="15" t="s">
        <v>1149</v>
      </c>
      <c r="D1820" s="14" t="s">
        <v>1358</v>
      </c>
      <c r="E1820" s="14" t="s">
        <v>1359</v>
      </c>
      <c r="G1820" s="15" t="s">
        <v>1165</v>
      </c>
      <c r="H1820" s="14" t="s">
        <v>1165</v>
      </c>
      <c r="I1820" s="14" t="s">
        <v>3006</v>
      </c>
      <c r="M1820" s="14" t="s">
        <v>1145</v>
      </c>
      <c r="O1820" s="14">
        <v>2007</v>
      </c>
      <c r="U1820" s="14" t="s">
        <v>1246</v>
      </c>
      <c r="V1820" s="9" t="s">
        <v>1247</v>
      </c>
      <c r="W1820" s="14">
        <v>0</v>
      </c>
      <c r="X1820" s="9" t="s">
        <v>1295</v>
      </c>
      <c r="Y1820" s="14" t="s">
        <v>1151</v>
      </c>
      <c r="Z1820" s="14">
        <v>12</v>
      </c>
      <c r="AD1820" s="14" t="s">
        <v>1165</v>
      </c>
      <c r="AF1820" s="14"/>
      <c r="AI1820" s="14" t="s">
        <v>1165</v>
      </c>
      <c r="AJ1820" s="15" t="s">
        <v>1148</v>
      </c>
      <c r="AK1820" s="15">
        <v>0</v>
      </c>
      <c r="AL1820" t="s">
        <v>3009</v>
      </c>
      <c r="AM1820">
        <v>0</v>
      </c>
      <c r="AN1820">
        <v>3</v>
      </c>
      <c r="AO1820">
        <v>10</v>
      </c>
      <c r="AP1820" t="s">
        <v>1244</v>
      </c>
      <c r="AQ1820" t="s">
        <v>1244</v>
      </c>
      <c r="AR1820" s="15" t="s">
        <v>1155</v>
      </c>
      <c r="AS1820" s="14" t="s">
        <v>3008</v>
      </c>
    </row>
    <row r="1821" spans="1:45" x14ac:dyDescent="0.2">
      <c r="A1821" s="14" t="s">
        <v>1360</v>
      </c>
      <c r="B1821" s="15" t="s">
        <v>1146</v>
      </c>
      <c r="C1821" s="15" t="s">
        <v>1149</v>
      </c>
      <c r="D1821" s="14" t="s">
        <v>1358</v>
      </c>
      <c r="E1821" s="14" t="s">
        <v>1359</v>
      </c>
      <c r="G1821" s="15" t="s">
        <v>1165</v>
      </c>
      <c r="H1821" s="14" t="s">
        <v>1165</v>
      </c>
      <c r="I1821" s="14" t="s">
        <v>3006</v>
      </c>
      <c r="M1821" s="14" t="s">
        <v>1145</v>
      </c>
      <c r="O1821" s="14">
        <v>2007</v>
      </c>
      <c r="U1821" s="14" t="s">
        <v>1246</v>
      </c>
      <c r="V1821" s="9" t="s">
        <v>1247</v>
      </c>
      <c r="W1821" s="14">
        <v>0</v>
      </c>
      <c r="X1821" s="9" t="s">
        <v>1295</v>
      </c>
      <c r="Y1821" s="14" t="s">
        <v>1151</v>
      </c>
      <c r="Z1821" s="14">
        <v>0</v>
      </c>
      <c r="AD1821" s="14" t="s">
        <v>1165</v>
      </c>
      <c r="AF1821" s="14"/>
      <c r="AI1821" s="14" t="s">
        <v>1165</v>
      </c>
      <c r="AJ1821" s="15" t="s">
        <v>1148</v>
      </c>
      <c r="AK1821" s="15">
        <v>0</v>
      </c>
      <c r="AL1821" t="s">
        <v>3009</v>
      </c>
      <c r="AM1821">
        <v>0</v>
      </c>
      <c r="AN1821">
        <v>3</v>
      </c>
      <c r="AO1821">
        <v>10</v>
      </c>
      <c r="AP1821" t="s">
        <v>1244</v>
      </c>
      <c r="AQ1821" t="s">
        <v>1244</v>
      </c>
      <c r="AR1821" s="15" t="s">
        <v>1155</v>
      </c>
      <c r="AS1821" s="14" t="s">
        <v>3008</v>
      </c>
    </row>
    <row r="1822" spans="1:45" x14ac:dyDescent="0.2">
      <c r="A1822" s="14" t="s">
        <v>1360</v>
      </c>
      <c r="B1822" s="15" t="s">
        <v>1146</v>
      </c>
      <c r="C1822" s="15" t="s">
        <v>1149</v>
      </c>
      <c r="D1822" s="14" t="s">
        <v>1358</v>
      </c>
      <c r="E1822" s="14" t="s">
        <v>1359</v>
      </c>
      <c r="G1822" s="15" t="s">
        <v>1165</v>
      </c>
      <c r="H1822" s="14" t="s">
        <v>1165</v>
      </c>
      <c r="I1822" s="14" t="s">
        <v>3006</v>
      </c>
      <c r="M1822" s="14" t="s">
        <v>1145</v>
      </c>
      <c r="O1822" s="14">
        <v>2007</v>
      </c>
      <c r="U1822" s="14" t="s">
        <v>1246</v>
      </c>
      <c r="V1822" s="9" t="s">
        <v>1247</v>
      </c>
      <c r="W1822" s="14">
        <v>28</v>
      </c>
      <c r="X1822" s="9" t="s">
        <v>1295</v>
      </c>
      <c r="Y1822" s="14" t="s">
        <v>1151</v>
      </c>
      <c r="Z1822" s="14">
        <v>12</v>
      </c>
      <c r="AD1822" s="14" t="s">
        <v>1165</v>
      </c>
      <c r="AF1822" s="14"/>
      <c r="AI1822" s="14" t="s">
        <v>1165</v>
      </c>
      <c r="AJ1822" s="15" t="s">
        <v>1148</v>
      </c>
      <c r="AK1822" s="15">
        <v>60.98</v>
      </c>
      <c r="AL1822" t="s">
        <v>3009</v>
      </c>
      <c r="AM1822" t="s">
        <v>3010</v>
      </c>
      <c r="AN1822">
        <v>3</v>
      </c>
      <c r="AO1822">
        <v>10</v>
      </c>
      <c r="AP1822" t="s">
        <v>1244</v>
      </c>
      <c r="AQ1822" t="s">
        <v>1244</v>
      </c>
      <c r="AR1822" s="15" t="s">
        <v>1155</v>
      </c>
      <c r="AS1822" s="14" t="s">
        <v>3007</v>
      </c>
    </row>
    <row r="1823" spans="1:45" x14ac:dyDescent="0.2">
      <c r="A1823" s="14" t="s">
        <v>1360</v>
      </c>
      <c r="B1823" s="15" t="s">
        <v>1146</v>
      </c>
      <c r="C1823" s="15" t="s">
        <v>1149</v>
      </c>
      <c r="D1823" s="14" t="s">
        <v>1358</v>
      </c>
      <c r="E1823" s="14" t="s">
        <v>1359</v>
      </c>
      <c r="G1823" s="15" t="s">
        <v>1165</v>
      </c>
      <c r="H1823" s="14" t="s">
        <v>1165</v>
      </c>
      <c r="I1823" s="14" t="s">
        <v>3006</v>
      </c>
      <c r="M1823" s="14" t="s">
        <v>1145</v>
      </c>
      <c r="O1823" s="14">
        <v>2007</v>
      </c>
      <c r="U1823" s="14" t="s">
        <v>1246</v>
      </c>
      <c r="V1823" s="9" t="s">
        <v>1247</v>
      </c>
      <c r="W1823" s="14">
        <v>28</v>
      </c>
      <c r="X1823" s="9" t="s">
        <v>1295</v>
      </c>
      <c r="Y1823" s="14" t="s">
        <v>1151</v>
      </c>
      <c r="Z1823" s="14">
        <v>0</v>
      </c>
      <c r="AD1823" s="14" t="s">
        <v>1165</v>
      </c>
      <c r="AF1823" s="14"/>
      <c r="AI1823" s="14" t="s">
        <v>1165</v>
      </c>
      <c r="AJ1823" s="15" t="s">
        <v>1148</v>
      </c>
      <c r="AK1823" s="15">
        <v>50.783999999999999</v>
      </c>
      <c r="AL1823" t="s">
        <v>3009</v>
      </c>
      <c r="AM1823" t="s">
        <v>3010</v>
      </c>
      <c r="AN1823">
        <v>3</v>
      </c>
      <c r="AO1823">
        <v>10</v>
      </c>
      <c r="AP1823" t="s">
        <v>1244</v>
      </c>
      <c r="AQ1823" t="s">
        <v>1244</v>
      </c>
      <c r="AR1823" s="15" t="s">
        <v>1155</v>
      </c>
      <c r="AS1823" s="14" t="s">
        <v>3007</v>
      </c>
    </row>
    <row r="1824" spans="1:45" x14ac:dyDescent="0.2">
      <c r="A1824" s="14" t="s">
        <v>1360</v>
      </c>
      <c r="B1824" s="15" t="s">
        <v>1146</v>
      </c>
      <c r="C1824" s="15" t="s">
        <v>1149</v>
      </c>
      <c r="D1824" s="14" t="s">
        <v>1358</v>
      </c>
      <c r="E1824" s="14" t="s">
        <v>1359</v>
      </c>
      <c r="G1824" s="15" t="s">
        <v>1165</v>
      </c>
      <c r="H1824" s="14" t="s">
        <v>1165</v>
      </c>
      <c r="I1824" s="14" t="s">
        <v>3006</v>
      </c>
      <c r="M1824" s="14" t="s">
        <v>1145</v>
      </c>
      <c r="O1824" s="14">
        <v>2007</v>
      </c>
      <c r="U1824" s="14" t="s">
        <v>1246</v>
      </c>
      <c r="V1824" s="9" t="s">
        <v>1247</v>
      </c>
      <c r="W1824" s="14">
        <v>28</v>
      </c>
      <c r="X1824" s="9" t="s">
        <v>1295</v>
      </c>
      <c r="Y1824" s="14" t="s">
        <v>1151</v>
      </c>
      <c r="Z1824" s="14">
        <v>12</v>
      </c>
      <c r="AD1824" s="14" t="s">
        <v>1165</v>
      </c>
      <c r="AF1824" s="14"/>
      <c r="AI1824" s="14" t="s">
        <v>1165</v>
      </c>
      <c r="AJ1824" s="15" t="s">
        <v>1148</v>
      </c>
      <c r="AK1824" s="15">
        <v>0</v>
      </c>
      <c r="AL1824" t="s">
        <v>3009</v>
      </c>
      <c r="AM1824">
        <v>0</v>
      </c>
      <c r="AN1824">
        <v>3</v>
      </c>
      <c r="AO1824">
        <v>10</v>
      </c>
      <c r="AP1824" t="s">
        <v>1244</v>
      </c>
      <c r="AQ1824" t="s">
        <v>1244</v>
      </c>
      <c r="AR1824" s="15" t="s">
        <v>1155</v>
      </c>
      <c r="AS1824" s="14" t="s">
        <v>3008</v>
      </c>
    </row>
    <row r="1825" spans="1:45" x14ac:dyDescent="0.2">
      <c r="A1825" s="14" t="s">
        <v>1360</v>
      </c>
      <c r="B1825" s="15" t="s">
        <v>1146</v>
      </c>
      <c r="C1825" s="15" t="s">
        <v>1149</v>
      </c>
      <c r="D1825" s="14" t="s">
        <v>1358</v>
      </c>
      <c r="E1825" s="14" t="s">
        <v>1359</v>
      </c>
      <c r="G1825" s="15" t="s">
        <v>1165</v>
      </c>
      <c r="H1825" s="14" t="s">
        <v>1165</v>
      </c>
      <c r="I1825" s="14" t="s">
        <v>3006</v>
      </c>
      <c r="M1825" s="14" t="s">
        <v>1145</v>
      </c>
      <c r="O1825" s="14">
        <v>2007</v>
      </c>
      <c r="U1825" s="14" t="s">
        <v>1246</v>
      </c>
      <c r="V1825" s="9" t="s">
        <v>1247</v>
      </c>
      <c r="W1825" s="14">
        <v>28</v>
      </c>
      <c r="X1825" s="9" t="s">
        <v>1295</v>
      </c>
      <c r="Y1825" s="14" t="s">
        <v>1151</v>
      </c>
      <c r="Z1825" s="14">
        <v>0</v>
      </c>
      <c r="AD1825" s="14" t="s">
        <v>1165</v>
      </c>
      <c r="AF1825" s="14"/>
      <c r="AI1825" s="14" t="s">
        <v>1165</v>
      </c>
      <c r="AJ1825" s="15" t="s">
        <v>1148</v>
      </c>
      <c r="AK1825" s="15">
        <v>0</v>
      </c>
      <c r="AL1825" t="s">
        <v>3009</v>
      </c>
      <c r="AM1825">
        <v>0</v>
      </c>
      <c r="AN1825">
        <v>3</v>
      </c>
      <c r="AO1825">
        <v>10</v>
      </c>
      <c r="AP1825" t="s">
        <v>1244</v>
      </c>
      <c r="AQ1825" t="s">
        <v>1244</v>
      </c>
      <c r="AR1825" s="15" t="s">
        <v>1155</v>
      </c>
      <c r="AS1825" s="14" t="s">
        <v>3008</v>
      </c>
    </row>
    <row r="1826" spans="1:45" x14ac:dyDescent="0.2">
      <c r="A1826" s="14" t="s">
        <v>1360</v>
      </c>
      <c r="B1826" s="15" t="s">
        <v>1146</v>
      </c>
      <c r="C1826" s="15" t="s">
        <v>1149</v>
      </c>
      <c r="D1826" s="14" t="s">
        <v>1358</v>
      </c>
      <c r="E1826" s="14" t="s">
        <v>1359</v>
      </c>
      <c r="G1826" s="15" t="s">
        <v>1165</v>
      </c>
      <c r="H1826" s="14" t="s">
        <v>1165</v>
      </c>
      <c r="I1826" s="14" t="s">
        <v>3006</v>
      </c>
      <c r="M1826" s="14" t="s">
        <v>1145</v>
      </c>
      <c r="O1826" s="14">
        <v>2007</v>
      </c>
      <c r="U1826" s="14" t="s">
        <v>1246</v>
      </c>
      <c r="V1826" s="9" t="s">
        <v>1247</v>
      </c>
      <c r="W1826" s="14">
        <v>56</v>
      </c>
      <c r="X1826" s="9" t="s">
        <v>1295</v>
      </c>
      <c r="Y1826" s="14" t="s">
        <v>1151</v>
      </c>
      <c r="Z1826" s="14">
        <v>12</v>
      </c>
      <c r="AD1826" s="14" t="s">
        <v>1165</v>
      </c>
      <c r="AF1826" s="14"/>
      <c r="AI1826" s="14" t="s">
        <v>1165</v>
      </c>
      <c r="AJ1826" s="15" t="s">
        <v>1148</v>
      </c>
      <c r="AK1826" s="15">
        <v>98.626999999999995</v>
      </c>
      <c r="AL1826" t="s">
        <v>3009</v>
      </c>
      <c r="AM1826" t="s">
        <v>3010</v>
      </c>
      <c r="AN1826">
        <v>3</v>
      </c>
      <c r="AO1826">
        <v>10</v>
      </c>
      <c r="AP1826" t="s">
        <v>1244</v>
      </c>
      <c r="AQ1826" t="s">
        <v>1244</v>
      </c>
      <c r="AR1826" s="15" t="s">
        <v>1155</v>
      </c>
      <c r="AS1826" s="14" t="s">
        <v>3007</v>
      </c>
    </row>
    <row r="1827" spans="1:45" x14ac:dyDescent="0.2">
      <c r="A1827" s="14" t="s">
        <v>1360</v>
      </c>
      <c r="B1827" s="15" t="s">
        <v>1146</v>
      </c>
      <c r="C1827" s="15" t="s">
        <v>1149</v>
      </c>
      <c r="D1827" s="14" t="s">
        <v>1358</v>
      </c>
      <c r="E1827" s="14" t="s">
        <v>1359</v>
      </c>
      <c r="G1827" s="15" t="s">
        <v>1165</v>
      </c>
      <c r="H1827" s="14" t="s">
        <v>1165</v>
      </c>
      <c r="I1827" s="14" t="s">
        <v>3006</v>
      </c>
      <c r="M1827" s="14" t="s">
        <v>1145</v>
      </c>
      <c r="O1827" s="14">
        <v>2007</v>
      </c>
      <c r="U1827" s="14" t="s">
        <v>1246</v>
      </c>
      <c r="V1827" s="9" t="s">
        <v>1247</v>
      </c>
      <c r="W1827" s="14">
        <v>56</v>
      </c>
      <c r="X1827" s="9" t="s">
        <v>1295</v>
      </c>
      <c r="Y1827" s="14" t="s">
        <v>1151</v>
      </c>
      <c r="Z1827" s="14">
        <v>0</v>
      </c>
      <c r="AD1827" s="14" t="s">
        <v>1165</v>
      </c>
      <c r="AF1827" s="14"/>
      <c r="AI1827" s="14" t="s">
        <v>1165</v>
      </c>
      <c r="AJ1827" s="15" t="s">
        <v>1148</v>
      </c>
      <c r="AK1827" s="15">
        <v>84.902000000000001</v>
      </c>
      <c r="AL1827" t="s">
        <v>3009</v>
      </c>
      <c r="AM1827" t="s">
        <v>3010</v>
      </c>
      <c r="AN1827">
        <v>3</v>
      </c>
      <c r="AO1827">
        <v>10</v>
      </c>
      <c r="AP1827" t="s">
        <v>1244</v>
      </c>
      <c r="AQ1827" t="s">
        <v>1244</v>
      </c>
      <c r="AR1827" s="15" t="s">
        <v>1155</v>
      </c>
      <c r="AS1827" s="14" t="s">
        <v>3007</v>
      </c>
    </row>
    <row r="1828" spans="1:45" x14ac:dyDescent="0.2">
      <c r="A1828" s="14" t="s">
        <v>1360</v>
      </c>
      <c r="B1828" s="15" t="s">
        <v>1146</v>
      </c>
      <c r="C1828" s="15" t="s">
        <v>1149</v>
      </c>
      <c r="D1828" s="14" t="s">
        <v>1358</v>
      </c>
      <c r="E1828" s="14" t="s">
        <v>1359</v>
      </c>
      <c r="G1828" s="15" t="s">
        <v>1165</v>
      </c>
      <c r="H1828" s="14" t="s">
        <v>1165</v>
      </c>
      <c r="I1828" s="14" t="s">
        <v>3006</v>
      </c>
      <c r="M1828" s="14" t="s">
        <v>1145</v>
      </c>
      <c r="O1828" s="14">
        <v>2007</v>
      </c>
      <c r="U1828" s="14" t="s">
        <v>1246</v>
      </c>
      <c r="V1828" s="9" t="s">
        <v>1247</v>
      </c>
      <c r="W1828" s="14">
        <v>56</v>
      </c>
      <c r="X1828" s="9" t="s">
        <v>1295</v>
      </c>
      <c r="Y1828" s="14" t="s">
        <v>1151</v>
      </c>
      <c r="Z1828" s="14">
        <v>12</v>
      </c>
      <c r="AD1828" s="14" t="s">
        <v>1165</v>
      </c>
      <c r="AF1828" s="14"/>
      <c r="AI1828" s="14" t="s">
        <v>1165</v>
      </c>
      <c r="AJ1828" s="15" t="s">
        <v>1148</v>
      </c>
      <c r="AK1828" s="15">
        <v>0</v>
      </c>
      <c r="AL1828" t="s">
        <v>3009</v>
      </c>
      <c r="AM1828">
        <v>0</v>
      </c>
      <c r="AN1828">
        <v>3</v>
      </c>
      <c r="AO1828">
        <v>10</v>
      </c>
      <c r="AP1828" t="s">
        <v>1244</v>
      </c>
      <c r="AQ1828" t="s">
        <v>1244</v>
      </c>
      <c r="AR1828" s="15" t="s">
        <v>1155</v>
      </c>
      <c r="AS1828" s="14" t="s">
        <v>3008</v>
      </c>
    </row>
    <row r="1829" spans="1:45" x14ac:dyDescent="0.2">
      <c r="A1829" s="14" t="s">
        <v>1360</v>
      </c>
      <c r="B1829" s="15" t="s">
        <v>1146</v>
      </c>
      <c r="C1829" s="15" t="s">
        <v>1149</v>
      </c>
      <c r="D1829" s="14" t="s">
        <v>1358</v>
      </c>
      <c r="E1829" s="14" t="s">
        <v>1359</v>
      </c>
      <c r="G1829" s="15" t="s">
        <v>1165</v>
      </c>
      <c r="H1829" s="14" t="s">
        <v>1165</v>
      </c>
      <c r="I1829" s="14" t="s">
        <v>3006</v>
      </c>
      <c r="M1829" s="14" t="s">
        <v>1145</v>
      </c>
      <c r="O1829" s="14">
        <v>2007</v>
      </c>
      <c r="U1829" s="14" t="s">
        <v>1246</v>
      </c>
      <c r="V1829" s="9" t="s">
        <v>1247</v>
      </c>
      <c r="W1829" s="14">
        <v>56</v>
      </c>
      <c r="X1829" s="9" t="s">
        <v>1295</v>
      </c>
      <c r="Y1829" s="14" t="s">
        <v>1151</v>
      </c>
      <c r="Z1829" s="14">
        <v>0</v>
      </c>
      <c r="AD1829" s="14" t="s">
        <v>1165</v>
      </c>
      <c r="AF1829" s="14"/>
      <c r="AI1829" s="14" t="s">
        <v>1165</v>
      </c>
      <c r="AJ1829" s="15" t="s">
        <v>1148</v>
      </c>
      <c r="AK1829" s="15">
        <v>0</v>
      </c>
      <c r="AL1829" t="s">
        <v>3009</v>
      </c>
      <c r="AM1829">
        <v>0</v>
      </c>
      <c r="AN1829">
        <v>3</v>
      </c>
      <c r="AO1829">
        <v>10</v>
      </c>
      <c r="AP1829" t="s">
        <v>1244</v>
      </c>
      <c r="AQ1829" t="s">
        <v>1244</v>
      </c>
      <c r="AR1829" s="15" t="s">
        <v>1155</v>
      </c>
      <c r="AS1829" s="14" t="s">
        <v>3008</v>
      </c>
    </row>
    <row r="1830" spans="1:45" x14ac:dyDescent="0.2">
      <c r="A1830" s="14" t="s">
        <v>1360</v>
      </c>
      <c r="B1830" s="15" t="s">
        <v>1146</v>
      </c>
      <c r="C1830" s="15" t="s">
        <v>1149</v>
      </c>
      <c r="D1830" s="14" t="s">
        <v>1358</v>
      </c>
      <c r="E1830" s="14" t="s">
        <v>1359</v>
      </c>
      <c r="G1830" s="15" t="s">
        <v>1165</v>
      </c>
      <c r="H1830" s="14" t="s">
        <v>1165</v>
      </c>
      <c r="I1830" s="14" t="s">
        <v>3011</v>
      </c>
      <c r="M1830" s="14" t="s">
        <v>1145</v>
      </c>
      <c r="O1830" s="14">
        <v>2007</v>
      </c>
      <c r="U1830" s="14" t="s">
        <v>1246</v>
      </c>
      <c r="V1830" s="9" t="s">
        <v>1247</v>
      </c>
      <c r="W1830" s="14">
        <v>0</v>
      </c>
      <c r="X1830" s="9" t="s">
        <v>1292</v>
      </c>
      <c r="Y1830" s="14" t="s">
        <v>1151</v>
      </c>
      <c r="Z1830" s="14">
        <v>12</v>
      </c>
      <c r="AD1830" s="14" t="s">
        <v>1165</v>
      </c>
      <c r="AF1830" s="14"/>
      <c r="AI1830" s="14" t="s">
        <v>1165</v>
      </c>
      <c r="AJ1830" s="15" t="s">
        <v>1148</v>
      </c>
      <c r="AK1830" s="15">
        <v>0</v>
      </c>
      <c r="AL1830" t="s">
        <v>3009</v>
      </c>
      <c r="AM1830">
        <v>0</v>
      </c>
      <c r="AN1830">
        <v>3</v>
      </c>
      <c r="AO1830">
        <v>10</v>
      </c>
      <c r="AP1830" t="s">
        <v>1244</v>
      </c>
      <c r="AQ1830" t="s">
        <v>1244</v>
      </c>
      <c r="AR1830" s="15" t="s">
        <v>1155</v>
      </c>
      <c r="AS1830" s="14" t="s">
        <v>3007</v>
      </c>
    </row>
    <row r="1831" spans="1:45" x14ac:dyDescent="0.2">
      <c r="A1831" s="14" t="s">
        <v>1360</v>
      </c>
      <c r="B1831" s="15" t="s">
        <v>1146</v>
      </c>
      <c r="C1831" s="15" t="s">
        <v>1149</v>
      </c>
      <c r="D1831" s="14" t="s">
        <v>1358</v>
      </c>
      <c r="E1831" s="14" t="s">
        <v>1359</v>
      </c>
      <c r="G1831" s="15" t="s">
        <v>1165</v>
      </c>
      <c r="H1831" s="14" t="s">
        <v>1165</v>
      </c>
      <c r="I1831" s="14" t="s">
        <v>3011</v>
      </c>
      <c r="M1831" s="14" t="s">
        <v>1145</v>
      </c>
      <c r="O1831" s="14">
        <v>2007</v>
      </c>
      <c r="U1831" s="14" t="s">
        <v>1246</v>
      </c>
      <c r="V1831" s="9" t="s">
        <v>1247</v>
      </c>
      <c r="W1831" s="14">
        <v>0</v>
      </c>
      <c r="X1831" s="9" t="s">
        <v>1292</v>
      </c>
      <c r="Y1831" s="14" t="s">
        <v>1151</v>
      </c>
      <c r="Z1831" s="14">
        <v>0</v>
      </c>
      <c r="AD1831" s="14" t="s">
        <v>1165</v>
      </c>
      <c r="AF1831" s="14"/>
      <c r="AI1831" s="14" t="s">
        <v>1165</v>
      </c>
      <c r="AJ1831" s="15" t="s">
        <v>1148</v>
      </c>
      <c r="AK1831" s="15">
        <v>0</v>
      </c>
      <c r="AL1831" t="s">
        <v>3009</v>
      </c>
      <c r="AM1831">
        <v>0</v>
      </c>
      <c r="AN1831">
        <v>3</v>
      </c>
      <c r="AO1831">
        <v>10</v>
      </c>
      <c r="AP1831" t="s">
        <v>1244</v>
      </c>
      <c r="AQ1831" t="s">
        <v>1244</v>
      </c>
      <c r="AR1831" s="15" t="s">
        <v>1155</v>
      </c>
      <c r="AS1831" s="14" t="s">
        <v>3007</v>
      </c>
    </row>
    <row r="1832" spans="1:45" x14ac:dyDescent="0.2">
      <c r="A1832" s="14" t="s">
        <v>1360</v>
      </c>
      <c r="B1832" s="15" t="s">
        <v>1146</v>
      </c>
      <c r="C1832" s="15" t="s">
        <v>1149</v>
      </c>
      <c r="D1832" s="14" t="s">
        <v>1358</v>
      </c>
      <c r="E1832" s="14" t="s">
        <v>1359</v>
      </c>
      <c r="G1832" s="15" t="s">
        <v>1165</v>
      </c>
      <c r="H1832" s="14" t="s">
        <v>1165</v>
      </c>
      <c r="I1832" s="14" t="s">
        <v>3011</v>
      </c>
      <c r="M1832" s="14" t="s">
        <v>1145</v>
      </c>
      <c r="O1832" s="14">
        <v>2007</v>
      </c>
      <c r="U1832" s="14" t="s">
        <v>1246</v>
      </c>
      <c r="V1832" s="9" t="s">
        <v>1247</v>
      </c>
      <c r="W1832" s="14">
        <v>0</v>
      </c>
      <c r="X1832" s="9" t="s">
        <v>1292</v>
      </c>
      <c r="Y1832" s="14" t="s">
        <v>1151</v>
      </c>
      <c r="Z1832" s="14">
        <v>12</v>
      </c>
      <c r="AD1832" s="14" t="s">
        <v>1165</v>
      </c>
      <c r="AF1832" s="14"/>
      <c r="AI1832" s="14" t="s">
        <v>1165</v>
      </c>
      <c r="AJ1832" s="15" t="s">
        <v>1148</v>
      </c>
      <c r="AK1832" s="15">
        <v>4.0380000000000003</v>
      </c>
      <c r="AL1832" t="s">
        <v>3009</v>
      </c>
      <c r="AM1832" t="s">
        <v>3003</v>
      </c>
      <c r="AN1832">
        <v>3</v>
      </c>
      <c r="AO1832">
        <v>10</v>
      </c>
      <c r="AP1832" t="s">
        <v>1244</v>
      </c>
      <c r="AQ1832" t="s">
        <v>1244</v>
      </c>
      <c r="AR1832" s="15" t="s">
        <v>1155</v>
      </c>
      <c r="AS1832" s="14" t="s">
        <v>3008</v>
      </c>
    </row>
    <row r="1833" spans="1:45" x14ac:dyDescent="0.2">
      <c r="A1833" s="14" t="s">
        <v>1360</v>
      </c>
      <c r="B1833" s="15" t="s">
        <v>1146</v>
      </c>
      <c r="C1833" s="15" t="s">
        <v>1149</v>
      </c>
      <c r="D1833" s="14" t="s">
        <v>1358</v>
      </c>
      <c r="E1833" s="14" t="s">
        <v>1359</v>
      </c>
      <c r="G1833" s="15" t="s">
        <v>1165</v>
      </c>
      <c r="H1833" s="14" t="s">
        <v>1165</v>
      </c>
      <c r="I1833" s="14" t="s">
        <v>3011</v>
      </c>
      <c r="M1833" s="14" t="s">
        <v>1145</v>
      </c>
      <c r="O1833" s="14">
        <v>2007</v>
      </c>
      <c r="U1833" s="14" t="s">
        <v>1246</v>
      </c>
      <c r="V1833" s="9" t="s">
        <v>1247</v>
      </c>
      <c r="W1833" s="14">
        <v>0</v>
      </c>
      <c r="X1833" s="9" t="s">
        <v>1292</v>
      </c>
      <c r="Y1833" s="14" t="s">
        <v>1151</v>
      </c>
      <c r="Z1833" s="14">
        <v>0</v>
      </c>
      <c r="AD1833" s="14" t="s">
        <v>1165</v>
      </c>
      <c r="AF1833" s="14"/>
      <c r="AI1833" s="14" t="s">
        <v>1165</v>
      </c>
      <c r="AJ1833" s="15" t="s">
        <v>1148</v>
      </c>
      <c r="AK1833" s="15">
        <v>0</v>
      </c>
      <c r="AL1833" t="s">
        <v>3009</v>
      </c>
      <c r="AM1833">
        <v>0</v>
      </c>
      <c r="AN1833">
        <v>3</v>
      </c>
      <c r="AO1833">
        <v>10</v>
      </c>
      <c r="AP1833" t="s">
        <v>1244</v>
      </c>
      <c r="AQ1833" t="s">
        <v>1244</v>
      </c>
      <c r="AR1833" s="15" t="s">
        <v>1155</v>
      </c>
      <c r="AS1833" s="14" t="s">
        <v>3008</v>
      </c>
    </row>
    <row r="1834" spans="1:45" x14ac:dyDescent="0.2">
      <c r="A1834" s="14" t="s">
        <v>1360</v>
      </c>
      <c r="B1834" s="15" t="s">
        <v>1146</v>
      </c>
      <c r="C1834" s="15" t="s">
        <v>1149</v>
      </c>
      <c r="D1834" s="14" t="s">
        <v>1358</v>
      </c>
      <c r="E1834" s="14" t="s">
        <v>1359</v>
      </c>
      <c r="G1834" s="15" t="s">
        <v>1165</v>
      </c>
      <c r="H1834" s="14" t="s">
        <v>1165</v>
      </c>
      <c r="I1834" s="14" t="s">
        <v>3011</v>
      </c>
      <c r="M1834" s="14" t="s">
        <v>1145</v>
      </c>
      <c r="O1834" s="14">
        <v>2007</v>
      </c>
      <c r="U1834" s="14" t="s">
        <v>1246</v>
      </c>
      <c r="V1834" s="9" t="s">
        <v>1247</v>
      </c>
      <c r="W1834" s="14">
        <v>28</v>
      </c>
      <c r="X1834" s="9" t="s">
        <v>1292</v>
      </c>
      <c r="Y1834" s="14" t="s">
        <v>1151</v>
      </c>
      <c r="Z1834" s="14">
        <v>12</v>
      </c>
      <c r="AD1834" s="14" t="s">
        <v>1165</v>
      </c>
      <c r="AF1834" s="14"/>
      <c r="AI1834" s="14" t="s">
        <v>1165</v>
      </c>
      <c r="AJ1834" s="15" t="s">
        <v>1148</v>
      </c>
      <c r="AK1834" s="15">
        <v>50.192</v>
      </c>
      <c r="AL1834" t="s">
        <v>3009</v>
      </c>
      <c r="AM1834">
        <f>55.962-44.423</f>
        <v>11.539000000000001</v>
      </c>
      <c r="AN1834">
        <v>3</v>
      </c>
      <c r="AO1834">
        <v>10</v>
      </c>
      <c r="AP1834" t="s">
        <v>1244</v>
      </c>
      <c r="AQ1834" t="s">
        <v>1244</v>
      </c>
      <c r="AR1834" s="15" t="s">
        <v>1155</v>
      </c>
      <c r="AS1834" s="14" t="s">
        <v>3007</v>
      </c>
    </row>
    <row r="1835" spans="1:45" x14ac:dyDescent="0.2">
      <c r="A1835" s="14" t="s">
        <v>1360</v>
      </c>
      <c r="B1835" s="15" t="s">
        <v>1146</v>
      </c>
      <c r="C1835" s="15" t="s">
        <v>1149</v>
      </c>
      <c r="D1835" s="14" t="s">
        <v>1358</v>
      </c>
      <c r="E1835" s="14" t="s">
        <v>1359</v>
      </c>
      <c r="G1835" s="15" t="s">
        <v>1165</v>
      </c>
      <c r="H1835" s="14" t="s">
        <v>1165</v>
      </c>
      <c r="I1835" s="14" t="s">
        <v>3011</v>
      </c>
      <c r="M1835" s="14" t="s">
        <v>1145</v>
      </c>
      <c r="O1835" s="14">
        <v>2007</v>
      </c>
      <c r="U1835" s="14" t="s">
        <v>1246</v>
      </c>
      <c r="V1835" s="9" t="s">
        <v>1247</v>
      </c>
      <c r="W1835" s="14">
        <v>28</v>
      </c>
      <c r="X1835" s="9" t="s">
        <v>1292</v>
      </c>
      <c r="Y1835" s="14" t="s">
        <v>1151</v>
      </c>
      <c r="Z1835" s="14">
        <v>0</v>
      </c>
      <c r="AD1835" s="14" t="s">
        <v>1165</v>
      </c>
      <c r="AF1835" s="14"/>
      <c r="AI1835" s="14" t="s">
        <v>1165</v>
      </c>
      <c r="AJ1835" s="15" t="s">
        <v>1148</v>
      </c>
      <c r="AK1835" s="15">
        <v>0</v>
      </c>
      <c r="AL1835" t="s">
        <v>3009</v>
      </c>
      <c r="AM1835">
        <v>0</v>
      </c>
      <c r="AN1835">
        <v>3</v>
      </c>
      <c r="AO1835">
        <v>10</v>
      </c>
      <c r="AP1835" t="s">
        <v>1244</v>
      </c>
      <c r="AQ1835" t="s">
        <v>1244</v>
      </c>
      <c r="AR1835" s="15" t="s">
        <v>1155</v>
      </c>
      <c r="AS1835" s="14" t="s">
        <v>3007</v>
      </c>
    </row>
    <row r="1836" spans="1:45" x14ac:dyDescent="0.2">
      <c r="A1836" s="14" t="s">
        <v>1360</v>
      </c>
      <c r="B1836" s="15" t="s">
        <v>1146</v>
      </c>
      <c r="C1836" s="15" t="s">
        <v>1149</v>
      </c>
      <c r="D1836" s="14" t="s">
        <v>1358</v>
      </c>
      <c r="E1836" s="14" t="s">
        <v>1359</v>
      </c>
      <c r="G1836" s="15" t="s">
        <v>1165</v>
      </c>
      <c r="H1836" s="14" t="s">
        <v>1165</v>
      </c>
      <c r="I1836" s="14" t="s">
        <v>3011</v>
      </c>
      <c r="M1836" s="14" t="s">
        <v>1145</v>
      </c>
      <c r="O1836" s="14">
        <v>2007</v>
      </c>
      <c r="U1836" s="14" t="s">
        <v>1246</v>
      </c>
      <c r="V1836" s="9" t="s">
        <v>1247</v>
      </c>
      <c r="W1836" s="14">
        <v>28</v>
      </c>
      <c r="X1836" s="9" t="s">
        <v>1292</v>
      </c>
      <c r="Y1836" s="14" t="s">
        <v>1151</v>
      </c>
      <c r="Z1836" s="14">
        <v>12</v>
      </c>
      <c r="AD1836" s="14" t="s">
        <v>1165</v>
      </c>
      <c r="AF1836" s="14"/>
      <c r="AI1836" s="14" t="s">
        <v>1165</v>
      </c>
      <c r="AJ1836" s="15" t="s">
        <v>1148</v>
      </c>
      <c r="AK1836" s="15">
        <v>0</v>
      </c>
      <c r="AL1836" t="s">
        <v>3009</v>
      </c>
      <c r="AM1836">
        <v>0</v>
      </c>
      <c r="AN1836">
        <v>3</v>
      </c>
      <c r="AO1836">
        <v>10</v>
      </c>
      <c r="AP1836" t="s">
        <v>1244</v>
      </c>
      <c r="AQ1836" t="s">
        <v>1244</v>
      </c>
      <c r="AR1836" s="15" t="s">
        <v>1155</v>
      </c>
      <c r="AS1836" s="14" t="s">
        <v>3008</v>
      </c>
    </row>
    <row r="1837" spans="1:45" x14ac:dyDescent="0.2">
      <c r="A1837" s="14" t="s">
        <v>1360</v>
      </c>
      <c r="B1837" s="15" t="s">
        <v>1146</v>
      </c>
      <c r="C1837" s="15" t="s">
        <v>1149</v>
      </c>
      <c r="D1837" s="14" t="s">
        <v>1358</v>
      </c>
      <c r="E1837" s="14" t="s">
        <v>1359</v>
      </c>
      <c r="G1837" s="15" t="s">
        <v>1165</v>
      </c>
      <c r="H1837" s="14" t="s">
        <v>1165</v>
      </c>
      <c r="I1837" s="14" t="s">
        <v>3011</v>
      </c>
      <c r="M1837" s="14" t="s">
        <v>1145</v>
      </c>
      <c r="O1837" s="14">
        <v>2007</v>
      </c>
      <c r="U1837" s="14" t="s">
        <v>1246</v>
      </c>
      <c r="V1837" s="9" t="s">
        <v>1247</v>
      </c>
      <c r="W1837" s="14">
        <v>28</v>
      </c>
      <c r="X1837" s="9" t="s">
        <v>1292</v>
      </c>
      <c r="Y1837" s="14" t="s">
        <v>1151</v>
      </c>
      <c r="Z1837" s="14">
        <v>0</v>
      </c>
      <c r="AD1837" s="14" t="s">
        <v>1165</v>
      </c>
      <c r="AF1837" s="14"/>
      <c r="AI1837" s="14" t="s">
        <v>1165</v>
      </c>
      <c r="AJ1837" s="15" t="s">
        <v>1148</v>
      </c>
      <c r="AK1837" s="15">
        <v>0</v>
      </c>
      <c r="AL1837" t="s">
        <v>3009</v>
      </c>
      <c r="AM1837">
        <v>0</v>
      </c>
      <c r="AN1837">
        <v>3</v>
      </c>
      <c r="AO1837">
        <v>10</v>
      </c>
      <c r="AP1837" t="s">
        <v>1244</v>
      </c>
      <c r="AQ1837" t="s">
        <v>1244</v>
      </c>
      <c r="AR1837" s="15" t="s">
        <v>1155</v>
      </c>
      <c r="AS1837" s="14" t="s">
        <v>3008</v>
      </c>
    </row>
    <row r="1838" spans="1:45" x14ac:dyDescent="0.2">
      <c r="A1838" s="14" t="s">
        <v>1360</v>
      </c>
      <c r="B1838" s="15" t="s">
        <v>1146</v>
      </c>
      <c r="C1838" s="15" t="s">
        <v>1149</v>
      </c>
      <c r="D1838" s="14" t="s">
        <v>1358</v>
      </c>
      <c r="E1838" s="14" t="s">
        <v>1359</v>
      </c>
      <c r="G1838" s="15" t="s">
        <v>1165</v>
      </c>
      <c r="H1838" s="14" t="s">
        <v>1165</v>
      </c>
      <c r="I1838" s="14" t="s">
        <v>3011</v>
      </c>
      <c r="M1838" s="14" t="s">
        <v>1145</v>
      </c>
      <c r="O1838" s="14">
        <v>2007</v>
      </c>
      <c r="U1838" s="14" t="s">
        <v>1246</v>
      </c>
      <c r="V1838" s="9" t="s">
        <v>1247</v>
      </c>
      <c r="W1838" s="14">
        <v>56</v>
      </c>
      <c r="X1838" s="9" t="s">
        <v>1292</v>
      </c>
      <c r="Y1838" s="14" t="s">
        <v>1151</v>
      </c>
      <c r="Z1838" s="14">
        <v>12</v>
      </c>
      <c r="AD1838" s="14" t="s">
        <v>1165</v>
      </c>
      <c r="AF1838" s="14"/>
      <c r="AI1838" s="14" t="s">
        <v>1165</v>
      </c>
      <c r="AJ1838" s="15" t="s">
        <v>1148</v>
      </c>
      <c r="AK1838" s="15">
        <v>83.653999999999996</v>
      </c>
      <c r="AL1838" t="s">
        <v>3009</v>
      </c>
      <c r="AM1838">
        <f>99.231-62.5</f>
        <v>36.730999999999995</v>
      </c>
      <c r="AN1838">
        <v>3</v>
      </c>
      <c r="AO1838">
        <v>10</v>
      </c>
      <c r="AP1838" t="s">
        <v>1244</v>
      </c>
      <c r="AQ1838" t="s">
        <v>1244</v>
      </c>
      <c r="AR1838" s="15" t="s">
        <v>1155</v>
      </c>
      <c r="AS1838" s="14" t="s">
        <v>3007</v>
      </c>
    </row>
    <row r="1839" spans="1:45" x14ac:dyDescent="0.2">
      <c r="A1839" s="14" t="s">
        <v>1360</v>
      </c>
      <c r="B1839" s="15" t="s">
        <v>1146</v>
      </c>
      <c r="C1839" s="15" t="s">
        <v>1149</v>
      </c>
      <c r="D1839" s="14" t="s">
        <v>1358</v>
      </c>
      <c r="E1839" s="14" t="s">
        <v>1359</v>
      </c>
      <c r="G1839" s="15" t="s">
        <v>1165</v>
      </c>
      <c r="H1839" s="14" t="s">
        <v>1165</v>
      </c>
      <c r="I1839" s="14" t="s">
        <v>3011</v>
      </c>
      <c r="M1839" s="14" t="s">
        <v>1145</v>
      </c>
      <c r="O1839" s="14">
        <v>2007</v>
      </c>
      <c r="U1839" s="14" t="s">
        <v>1246</v>
      </c>
      <c r="V1839" s="9" t="s">
        <v>1247</v>
      </c>
      <c r="W1839" s="14">
        <v>56</v>
      </c>
      <c r="X1839" s="9" t="s">
        <v>1292</v>
      </c>
      <c r="Y1839" s="14" t="s">
        <v>1151</v>
      </c>
      <c r="Z1839" s="14">
        <v>0</v>
      </c>
      <c r="AD1839" s="14" t="s">
        <v>1165</v>
      </c>
      <c r="AF1839" s="14"/>
      <c r="AI1839" s="14" t="s">
        <v>1165</v>
      </c>
      <c r="AJ1839" s="15" t="s">
        <v>1148</v>
      </c>
      <c r="AK1839" s="15">
        <v>23.654</v>
      </c>
      <c r="AL1839" t="s">
        <v>3009</v>
      </c>
      <c r="AM1839">
        <f>35.192-11.731</f>
        <v>23.460999999999999</v>
      </c>
      <c r="AN1839">
        <v>3</v>
      </c>
      <c r="AO1839">
        <v>10</v>
      </c>
      <c r="AP1839" t="s">
        <v>1244</v>
      </c>
      <c r="AQ1839" t="s">
        <v>1244</v>
      </c>
      <c r="AR1839" s="15" t="s">
        <v>1155</v>
      </c>
      <c r="AS1839" s="14" t="s">
        <v>3007</v>
      </c>
    </row>
    <row r="1840" spans="1:45" x14ac:dyDescent="0.2">
      <c r="A1840" s="14" t="s">
        <v>1360</v>
      </c>
      <c r="B1840" s="15" t="s">
        <v>1146</v>
      </c>
      <c r="C1840" s="15" t="s">
        <v>1149</v>
      </c>
      <c r="D1840" s="14" t="s">
        <v>1358</v>
      </c>
      <c r="E1840" s="14" t="s">
        <v>1359</v>
      </c>
      <c r="G1840" s="15" t="s">
        <v>1165</v>
      </c>
      <c r="H1840" s="14" t="s">
        <v>1165</v>
      </c>
      <c r="I1840" s="14" t="s">
        <v>3011</v>
      </c>
      <c r="M1840" s="14" t="s">
        <v>1145</v>
      </c>
      <c r="O1840" s="14">
        <v>2007</v>
      </c>
      <c r="U1840" s="14" t="s">
        <v>1246</v>
      </c>
      <c r="V1840" s="9" t="s">
        <v>1247</v>
      </c>
      <c r="W1840" s="14">
        <v>56</v>
      </c>
      <c r="X1840" s="9" t="s">
        <v>1292</v>
      </c>
      <c r="Y1840" s="14" t="s">
        <v>1151</v>
      </c>
      <c r="Z1840" s="14">
        <v>12</v>
      </c>
      <c r="AD1840" s="14" t="s">
        <v>1165</v>
      </c>
      <c r="AF1840" s="14"/>
      <c r="AI1840" s="14" t="s">
        <v>1165</v>
      </c>
      <c r="AJ1840" s="15" t="s">
        <v>1148</v>
      </c>
      <c r="AK1840" s="15">
        <v>0</v>
      </c>
      <c r="AL1840" t="s">
        <v>3009</v>
      </c>
      <c r="AM1840">
        <v>0</v>
      </c>
      <c r="AN1840">
        <v>3</v>
      </c>
      <c r="AO1840">
        <v>10</v>
      </c>
      <c r="AP1840" t="s">
        <v>1244</v>
      </c>
      <c r="AQ1840" t="s">
        <v>1244</v>
      </c>
      <c r="AR1840" s="15" t="s">
        <v>1155</v>
      </c>
      <c r="AS1840" s="14" t="s">
        <v>3008</v>
      </c>
    </row>
    <row r="1841" spans="1:45" x14ac:dyDescent="0.2">
      <c r="A1841" s="14" t="s">
        <v>1360</v>
      </c>
      <c r="B1841" s="15" t="s">
        <v>1146</v>
      </c>
      <c r="C1841" s="15" t="s">
        <v>1149</v>
      </c>
      <c r="D1841" s="14" t="s">
        <v>1358</v>
      </c>
      <c r="E1841" s="14" t="s">
        <v>1359</v>
      </c>
      <c r="G1841" s="15" t="s">
        <v>1165</v>
      </c>
      <c r="H1841" s="14" t="s">
        <v>1165</v>
      </c>
      <c r="I1841" s="14" t="s">
        <v>3011</v>
      </c>
      <c r="M1841" s="14" t="s">
        <v>1145</v>
      </c>
      <c r="O1841" s="14">
        <v>2007</v>
      </c>
      <c r="U1841" s="14" t="s">
        <v>1246</v>
      </c>
      <c r="V1841" s="9" t="s">
        <v>1247</v>
      </c>
      <c r="W1841" s="14">
        <v>56</v>
      </c>
      <c r="X1841" s="9" t="s">
        <v>1292</v>
      </c>
      <c r="Y1841" s="14" t="s">
        <v>1151</v>
      </c>
      <c r="Z1841" s="14">
        <v>0</v>
      </c>
      <c r="AD1841" s="14" t="s">
        <v>1165</v>
      </c>
      <c r="AF1841" s="14"/>
      <c r="AI1841" s="14" t="s">
        <v>1165</v>
      </c>
      <c r="AJ1841" s="15" t="s">
        <v>1148</v>
      </c>
      <c r="AK1841" s="15">
        <v>0</v>
      </c>
      <c r="AL1841" t="s">
        <v>3009</v>
      </c>
      <c r="AM1841">
        <v>0</v>
      </c>
      <c r="AN1841">
        <v>3</v>
      </c>
      <c r="AO1841">
        <v>10</v>
      </c>
      <c r="AP1841" t="s">
        <v>1244</v>
      </c>
      <c r="AQ1841" t="s">
        <v>1244</v>
      </c>
      <c r="AR1841" s="15" t="s">
        <v>1155</v>
      </c>
      <c r="AS1841" s="14" t="s">
        <v>3008</v>
      </c>
    </row>
    <row r="1842" spans="1:45" x14ac:dyDescent="0.2">
      <c r="A1842" s="14" t="s">
        <v>1360</v>
      </c>
      <c r="B1842" s="15" t="s">
        <v>1146</v>
      </c>
      <c r="C1842" s="15" t="s">
        <v>1149</v>
      </c>
      <c r="D1842" s="14" t="s">
        <v>1358</v>
      </c>
      <c r="E1842" s="14" t="s">
        <v>1359</v>
      </c>
      <c r="G1842" s="15" t="s">
        <v>1165</v>
      </c>
      <c r="H1842" s="14" t="s">
        <v>1165</v>
      </c>
      <c r="I1842" s="14" t="s">
        <v>3011</v>
      </c>
      <c r="M1842" s="14" t="s">
        <v>1145</v>
      </c>
      <c r="O1842" s="14">
        <v>2007</v>
      </c>
      <c r="U1842" s="14" t="s">
        <v>1246</v>
      </c>
      <c r="V1842" s="9" t="s">
        <v>1247</v>
      </c>
      <c r="W1842" s="14">
        <v>0</v>
      </c>
      <c r="X1842" s="9" t="s">
        <v>1295</v>
      </c>
      <c r="Y1842" s="14" t="s">
        <v>1151</v>
      </c>
      <c r="Z1842" s="14">
        <v>12</v>
      </c>
      <c r="AD1842" s="14" t="s">
        <v>1165</v>
      </c>
      <c r="AF1842" s="14"/>
      <c r="AI1842" s="14" t="s">
        <v>1165</v>
      </c>
      <c r="AJ1842" s="15" t="s">
        <v>1148</v>
      </c>
      <c r="AK1842" s="15">
        <v>0</v>
      </c>
      <c r="AL1842" t="s">
        <v>3009</v>
      </c>
      <c r="AM1842">
        <v>0</v>
      </c>
      <c r="AN1842">
        <v>3</v>
      </c>
      <c r="AO1842">
        <v>10</v>
      </c>
      <c r="AP1842" t="s">
        <v>1244</v>
      </c>
      <c r="AQ1842" t="s">
        <v>1244</v>
      </c>
      <c r="AR1842" s="15" t="s">
        <v>1155</v>
      </c>
      <c r="AS1842" s="14" t="s">
        <v>3007</v>
      </c>
    </row>
    <row r="1843" spans="1:45" x14ac:dyDescent="0.2">
      <c r="A1843" s="14" t="s">
        <v>1360</v>
      </c>
      <c r="B1843" s="15" t="s">
        <v>1146</v>
      </c>
      <c r="C1843" s="15" t="s">
        <v>1149</v>
      </c>
      <c r="D1843" s="14" t="s">
        <v>1358</v>
      </c>
      <c r="E1843" s="14" t="s">
        <v>1359</v>
      </c>
      <c r="G1843" s="15" t="s">
        <v>1165</v>
      </c>
      <c r="H1843" s="14" t="s">
        <v>1165</v>
      </c>
      <c r="I1843" s="14" t="s">
        <v>3011</v>
      </c>
      <c r="M1843" s="14" t="s">
        <v>1145</v>
      </c>
      <c r="O1843" s="14">
        <v>2007</v>
      </c>
      <c r="U1843" s="14" t="s">
        <v>1246</v>
      </c>
      <c r="V1843" s="9" t="s">
        <v>1247</v>
      </c>
      <c r="W1843" s="14">
        <v>0</v>
      </c>
      <c r="X1843" s="9" t="s">
        <v>1295</v>
      </c>
      <c r="Y1843" s="14" t="s">
        <v>1151</v>
      </c>
      <c r="Z1843" s="14">
        <v>0</v>
      </c>
      <c r="AD1843" s="14" t="s">
        <v>1165</v>
      </c>
      <c r="AF1843" s="14"/>
      <c r="AI1843" s="14" t="s">
        <v>1165</v>
      </c>
      <c r="AJ1843" s="15" t="s">
        <v>1148</v>
      </c>
      <c r="AK1843" s="15">
        <v>3.4620000000000002</v>
      </c>
      <c r="AL1843" t="s">
        <v>3009</v>
      </c>
      <c r="AM1843">
        <v>0</v>
      </c>
      <c r="AN1843">
        <v>3</v>
      </c>
      <c r="AO1843">
        <v>10</v>
      </c>
      <c r="AP1843" t="s">
        <v>1244</v>
      </c>
      <c r="AQ1843" t="s">
        <v>1244</v>
      </c>
      <c r="AR1843" s="15" t="s">
        <v>1155</v>
      </c>
      <c r="AS1843" s="14" t="s">
        <v>3007</v>
      </c>
    </row>
    <row r="1844" spans="1:45" x14ac:dyDescent="0.2">
      <c r="A1844" s="14" t="s">
        <v>1360</v>
      </c>
      <c r="B1844" s="15" t="s">
        <v>1146</v>
      </c>
      <c r="C1844" s="15" t="s">
        <v>1149</v>
      </c>
      <c r="D1844" s="14" t="s">
        <v>1358</v>
      </c>
      <c r="E1844" s="14" t="s">
        <v>1359</v>
      </c>
      <c r="G1844" s="15" t="s">
        <v>1165</v>
      </c>
      <c r="H1844" s="14" t="s">
        <v>1165</v>
      </c>
      <c r="I1844" s="14" t="s">
        <v>3011</v>
      </c>
      <c r="M1844" s="14" t="s">
        <v>1145</v>
      </c>
      <c r="O1844" s="14">
        <v>2007</v>
      </c>
      <c r="U1844" s="14" t="s">
        <v>1246</v>
      </c>
      <c r="V1844" s="9" t="s">
        <v>1247</v>
      </c>
      <c r="W1844" s="14">
        <v>0</v>
      </c>
      <c r="X1844" s="9" t="s">
        <v>1295</v>
      </c>
      <c r="Y1844" s="14" t="s">
        <v>1151</v>
      </c>
      <c r="Z1844" s="14">
        <v>12</v>
      </c>
      <c r="AD1844" s="14" t="s">
        <v>1165</v>
      </c>
      <c r="AF1844" s="14"/>
      <c r="AI1844" s="14" t="s">
        <v>1165</v>
      </c>
      <c r="AJ1844" s="15" t="s">
        <v>1148</v>
      </c>
      <c r="AK1844" s="15">
        <v>0</v>
      </c>
      <c r="AL1844" t="s">
        <v>3009</v>
      </c>
      <c r="AM1844">
        <v>0</v>
      </c>
      <c r="AN1844">
        <v>3</v>
      </c>
      <c r="AO1844">
        <v>10</v>
      </c>
      <c r="AP1844" t="s">
        <v>1244</v>
      </c>
      <c r="AQ1844" t="s">
        <v>1244</v>
      </c>
      <c r="AR1844" s="15" t="s">
        <v>1155</v>
      </c>
      <c r="AS1844" s="14" t="s">
        <v>3008</v>
      </c>
    </row>
    <row r="1845" spans="1:45" x14ac:dyDescent="0.2">
      <c r="A1845" s="14" t="s">
        <v>1360</v>
      </c>
      <c r="B1845" s="15" t="s">
        <v>1146</v>
      </c>
      <c r="C1845" s="15" t="s">
        <v>1149</v>
      </c>
      <c r="D1845" s="14" t="s">
        <v>1358</v>
      </c>
      <c r="E1845" s="14" t="s">
        <v>1359</v>
      </c>
      <c r="G1845" s="15" t="s">
        <v>1165</v>
      </c>
      <c r="H1845" s="14" t="s">
        <v>1165</v>
      </c>
      <c r="I1845" s="14" t="s">
        <v>3011</v>
      </c>
      <c r="M1845" s="14" t="s">
        <v>1145</v>
      </c>
      <c r="O1845" s="14">
        <v>2007</v>
      </c>
      <c r="U1845" s="14" t="s">
        <v>1246</v>
      </c>
      <c r="V1845" s="9" t="s">
        <v>1247</v>
      </c>
      <c r="W1845" s="14">
        <v>0</v>
      </c>
      <c r="X1845" s="9" t="s">
        <v>1295</v>
      </c>
      <c r="Y1845" s="14" t="s">
        <v>1151</v>
      </c>
      <c r="Z1845" s="14">
        <v>0</v>
      </c>
      <c r="AD1845" s="14" t="s">
        <v>1165</v>
      </c>
      <c r="AF1845" s="14"/>
      <c r="AI1845" s="14" t="s">
        <v>1165</v>
      </c>
      <c r="AJ1845" s="15" t="s">
        <v>1148</v>
      </c>
      <c r="AK1845" s="15">
        <v>0</v>
      </c>
      <c r="AL1845" t="s">
        <v>3009</v>
      </c>
      <c r="AM1845">
        <v>0</v>
      </c>
      <c r="AN1845">
        <v>3</v>
      </c>
      <c r="AO1845">
        <v>10</v>
      </c>
      <c r="AP1845" t="s">
        <v>1244</v>
      </c>
      <c r="AQ1845" t="s">
        <v>1244</v>
      </c>
      <c r="AR1845" s="15" t="s">
        <v>1155</v>
      </c>
      <c r="AS1845" s="14" t="s">
        <v>3008</v>
      </c>
    </row>
    <row r="1846" spans="1:45" x14ac:dyDescent="0.2">
      <c r="A1846" s="14" t="s">
        <v>1360</v>
      </c>
      <c r="B1846" s="15" t="s">
        <v>1146</v>
      </c>
      <c r="C1846" s="15" t="s">
        <v>1149</v>
      </c>
      <c r="D1846" s="14" t="s">
        <v>1358</v>
      </c>
      <c r="E1846" s="14" t="s">
        <v>1359</v>
      </c>
      <c r="G1846" s="15" t="s">
        <v>1165</v>
      </c>
      <c r="H1846" s="14" t="s">
        <v>1165</v>
      </c>
      <c r="I1846" s="14" t="s">
        <v>3011</v>
      </c>
      <c r="M1846" s="14" t="s">
        <v>1145</v>
      </c>
      <c r="O1846" s="14">
        <v>2007</v>
      </c>
      <c r="U1846" s="14" t="s">
        <v>1246</v>
      </c>
      <c r="V1846" s="9" t="s">
        <v>1247</v>
      </c>
      <c r="W1846" s="14">
        <v>28</v>
      </c>
      <c r="X1846" s="9" t="s">
        <v>1295</v>
      </c>
      <c r="Y1846" s="14" t="s">
        <v>1151</v>
      </c>
      <c r="Z1846" s="14">
        <v>12</v>
      </c>
      <c r="AD1846" s="14" t="s">
        <v>1165</v>
      </c>
      <c r="AF1846" s="14"/>
      <c r="AI1846" s="14" t="s">
        <v>1165</v>
      </c>
      <c r="AJ1846" s="15" t="s">
        <v>1148</v>
      </c>
      <c r="AK1846" s="15">
        <v>86.923000000000002</v>
      </c>
      <c r="AL1846" t="s">
        <v>3009</v>
      </c>
      <c r="AM1846">
        <v>0</v>
      </c>
      <c r="AN1846">
        <v>3</v>
      </c>
      <c r="AO1846">
        <v>10</v>
      </c>
      <c r="AP1846" t="s">
        <v>1244</v>
      </c>
      <c r="AQ1846" t="s">
        <v>1244</v>
      </c>
      <c r="AR1846" s="15" t="s">
        <v>1155</v>
      </c>
      <c r="AS1846" s="14" t="s">
        <v>3007</v>
      </c>
    </row>
    <row r="1847" spans="1:45" x14ac:dyDescent="0.2">
      <c r="A1847" s="14" t="s">
        <v>1360</v>
      </c>
      <c r="B1847" s="15" t="s">
        <v>1146</v>
      </c>
      <c r="C1847" s="15" t="s">
        <v>1149</v>
      </c>
      <c r="D1847" s="14" t="s">
        <v>1358</v>
      </c>
      <c r="E1847" s="14" t="s">
        <v>1359</v>
      </c>
      <c r="G1847" s="15" t="s">
        <v>1165</v>
      </c>
      <c r="H1847" s="14" t="s">
        <v>1165</v>
      </c>
      <c r="I1847" s="14" t="s">
        <v>3011</v>
      </c>
      <c r="M1847" s="14" t="s">
        <v>1145</v>
      </c>
      <c r="O1847" s="14">
        <v>2007</v>
      </c>
      <c r="U1847" s="14" t="s">
        <v>1246</v>
      </c>
      <c r="V1847" s="9" t="s">
        <v>1247</v>
      </c>
      <c r="W1847" s="14">
        <v>28</v>
      </c>
      <c r="X1847" s="9" t="s">
        <v>1295</v>
      </c>
      <c r="Y1847" s="14" t="s">
        <v>1151</v>
      </c>
      <c r="Z1847" s="14">
        <v>0</v>
      </c>
      <c r="AD1847" s="14" t="s">
        <v>1165</v>
      </c>
      <c r="AF1847" s="14"/>
      <c r="AI1847" s="14" t="s">
        <v>1165</v>
      </c>
      <c r="AJ1847" s="15" t="s">
        <v>1148</v>
      </c>
      <c r="AK1847" s="15">
        <v>97.114999999999995</v>
      </c>
      <c r="AL1847" t="s">
        <v>3009</v>
      </c>
      <c r="AM1847">
        <v>0</v>
      </c>
      <c r="AN1847">
        <v>3</v>
      </c>
      <c r="AO1847">
        <v>10</v>
      </c>
      <c r="AP1847" t="s">
        <v>1244</v>
      </c>
      <c r="AQ1847" t="s">
        <v>1244</v>
      </c>
      <c r="AR1847" s="15" t="s">
        <v>1155</v>
      </c>
      <c r="AS1847" s="14" t="s">
        <v>3007</v>
      </c>
    </row>
    <row r="1848" spans="1:45" x14ac:dyDescent="0.2">
      <c r="A1848" s="14" t="s">
        <v>1360</v>
      </c>
      <c r="B1848" s="15" t="s">
        <v>1146</v>
      </c>
      <c r="C1848" s="15" t="s">
        <v>1149</v>
      </c>
      <c r="D1848" s="14" t="s">
        <v>1358</v>
      </c>
      <c r="E1848" s="14" t="s">
        <v>1359</v>
      </c>
      <c r="G1848" s="15" t="s">
        <v>1165</v>
      </c>
      <c r="H1848" s="14" t="s">
        <v>1165</v>
      </c>
      <c r="I1848" s="14" t="s">
        <v>3011</v>
      </c>
      <c r="M1848" s="14" t="s">
        <v>1145</v>
      </c>
      <c r="O1848" s="14">
        <v>2007</v>
      </c>
      <c r="U1848" s="14" t="s">
        <v>1246</v>
      </c>
      <c r="V1848" s="9" t="s">
        <v>1247</v>
      </c>
      <c r="W1848" s="14">
        <v>28</v>
      </c>
      <c r="X1848" s="9" t="s">
        <v>1295</v>
      </c>
      <c r="Y1848" s="14" t="s">
        <v>1151</v>
      </c>
      <c r="Z1848" s="14">
        <v>12</v>
      </c>
      <c r="AD1848" s="14" t="s">
        <v>1165</v>
      </c>
      <c r="AF1848" s="14"/>
      <c r="AI1848" s="14" t="s">
        <v>1165</v>
      </c>
      <c r="AJ1848" s="15" t="s">
        <v>1148</v>
      </c>
      <c r="AK1848" s="15">
        <v>0</v>
      </c>
      <c r="AL1848" t="s">
        <v>3009</v>
      </c>
      <c r="AM1848">
        <v>0</v>
      </c>
      <c r="AN1848">
        <v>3</v>
      </c>
      <c r="AO1848">
        <v>10</v>
      </c>
      <c r="AP1848" t="s">
        <v>1244</v>
      </c>
      <c r="AQ1848" t="s">
        <v>1244</v>
      </c>
      <c r="AR1848" s="15" t="s">
        <v>1155</v>
      </c>
      <c r="AS1848" s="14" t="s">
        <v>3008</v>
      </c>
    </row>
    <row r="1849" spans="1:45" x14ac:dyDescent="0.2">
      <c r="A1849" s="14" t="s">
        <v>1360</v>
      </c>
      <c r="B1849" s="15" t="s">
        <v>1146</v>
      </c>
      <c r="C1849" s="15" t="s">
        <v>1149</v>
      </c>
      <c r="D1849" s="14" t="s">
        <v>1358</v>
      </c>
      <c r="E1849" s="14" t="s">
        <v>1359</v>
      </c>
      <c r="G1849" s="15" t="s">
        <v>1165</v>
      </c>
      <c r="H1849" s="14" t="s">
        <v>1165</v>
      </c>
      <c r="I1849" s="14" t="s">
        <v>3011</v>
      </c>
      <c r="M1849" s="14" t="s">
        <v>1145</v>
      </c>
      <c r="O1849" s="14">
        <v>2007</v>
      </c>
      <c r="U1849" s="14" t="s">
        <v>1246</v>
      </c>
      <c r="V1849" s="9" t="s">
        <v>1247</v>
      </c>
      <c r="W1849" s="14">
        <v>28</v>
      </c>
      <c r="X1849" s="9" t="s">
        <v>1295</v>
      </c>
      <c r="Y1849" s="14" t="s">
        <v>1151</v>
      </c>
      <c r="Z1849" s="14">
        <v>0</v>
      </c>
      <c r="AD1849" s="14" t="s">
        <v>1165</v>
      </c>
      <c r="AF1849" s="14"/>
      <c r="AI1849" s="14" t="s">
        <v>1165</v>
      </c>
      <c r="AJ1849" s="15" t="s">
        <v>1148</v>
      </c>
      <c r="AK1849" s="15">
        <v>25.962</v>
      </c>
      <c r="AL1849" t="s">
        <v>3009</v>
      </c>
      <c r="AM1849">
        <f>38.077-15.192</f>
        <v>22.884999999999998</v>
      </c>
      <c r="AN1849">
        <v>3</v>
      </c>
      <c r="AO1849">
        <v>10</v>
      </c>
      <c r="AP1849" t="s">
        <v>1244</v>
      </c>
      <c r="AQ1849" t="s">
        <v>1244</v>
      </c>
      <c r="AR1849" s="15" t="s">
        <v>1155</v>
      </c>
      <c r="AS1849" s="14" t="s">
        <v>3008</v>
      </c>
    </row>
    <row r="1850" spans="1:45" x14ac:dyDescent="0.2">
      <c r="A1850" s="14" t="s">
        <v>1360</v>
      </c>
      <c r="B1850" s="15" t="s">
        <v>1146</v>
      </c>
      <c r="C1850" s="15" t="s">
        <v>1149</v>
      </c>
      <c r="D1850" s="14" t="s">
        <v>1358</v>
      </c>
      <c r="E1850" s="14" t="s">
        <v>1359</v>
      </c>
      <c r="G1850" s="15" t="s">
        <v>1165</v>
      </c>
      <c r="H1850" s="14" t="s">
        <v>1165</v>
      </c>
      <c r="I1850" s="14" t="s">
        <v>3011</v>
      </c>
      <c r="M1850" s="14" t="s">
        <v>1145</v>
      </c>
      <c r="O1850" s="14">
        <v>2007</v>
      </c>
      <c r="U1850" s="14" t="s">
        <v>1246</v>
      </c>
      <c r="V1850" s="9" t="s">
        <v>1247</v>
      </c>
      <c r="W1850" s="14">
        <v>56</v>
      </c>
      <c r="X1850" s="9" t="s">
        <v>1295</v>
      </c>
      <c r="Y1850" s="14" t="s">
        <v>1151</v>
      </c>
      <c r="Z1850" s="14">
        <v>12</v>
      </c>
      <c r="AD1850" s="14" t="s">
        <v>1165</v>
      </c>
      <c r="AF1850" s="14"/>
      <c r="AI1850" s="14" t="s">
        <v>1165</v>
      </c>
      <c r="AJ1850" s="15" t="s">
        <v>1148</v>
      </c>
      <c r="AK1850" s="15">
        <v>100</v>
      </c>
      <c r="AL1850" t="s">
        <v>3009</v>
      </c>
      <c r="AM1850">
        <v>0</v>
      </c>
      <c r="AN1850">
        <v>3</v>
      </c>
      <c r="AO1850">
        <v>10</v>
      </c>
      <c r="AP1850" t="s">
        <v>1244</v>
      </c>
      <c r="AQ1850" t="s">
        <v>1244</v>
      </c>
      <c r="AR1850" s="15" t="s">
        <v>1155</v>
      </c>
      <c r="AS1850" s="14" t="s">
        <v>3007</v>
      </c>
    </row>
    <row r="1851" spans="1:45" x14ac:dyDescent="0.2">
      <c r="A1851" s="14" t="s">
        <v>1360</v>
      </c>
      <c r="B1851" s="15" t="s">
        <v>1146</v>
      </c>
      <c r="C1851" s="15" t="s">
        <v>1149</v>
      </c>
      <c r="D1851" s="14" t="s">
        <v>1358</v>
      </c>
      <c r="E1851" s="14" t="s">
        <v>1359</v>
      </c>
      <c r="G1851" s="15" t="s">
        <v>1165</v>
      </c>
      <c r="H1851" s="14" t="s">
        <v>1165</v>
      </c>
      <c r="I1851" s="14" t="s">
        <v>3011</v>
      </c>
      <c r="M1851" s="14" t="s">
        <v>1145</v>
      </c>
      <c r="O1851" s="14">
        <v>2007</v>
      </c>
      <c r="U1851" s="14" t="s">
        <v>1246</v>
      </c>
      <c r="V1851" s="9" t="s">
        <v>1247</v>
      </c>
      <c r="W1851" s="14">
        <v>56</v>
      </c>
      <c r="X1851" s="9" t="s">
        <v>1295</v>
      </c>
      <c r="Y1851" s="14" t="s">
        <v>1151</v>
      </c>
      <c r="Z1851" s="14">
        <v>0</v>
      </c>
      <c r="AD1851" s="14" t="s">
        <v>1165</v>
      </c>
      <c r="AF1851" s="14"/>
      <c r="AI1851" s="14" t="s">
        <v>1165</v>
      </c>
      <c r="AJ1851" s="15" t="s">
        <v>1148</v>
      </c>
      <c r="AK1851" s="15">
        <v>100</v>
      </c>
      <c r="AL1851" t="s">
        <v>3009</v>
      </c>
      <c r="AM1851">
        <v>0</v>
      </c>
      <c r="AN1851">
        <v>3</v>
      </c>
      <c r="AO1851">
        <v>10</v>
      </c>
      <c r="AP1851" t="s">
        <v>1244</v>
      </c>
      <c r="AQ1851" t="s">
        <v>1244</v>
      </c>
      <c r="AR1851" s="15" t="s">
        <v>1155</v>
      </c>
      <c r="AS1851" s="14" t="s">
        <v>3007</v>
      </c>
    </row>
    <row r="1852" spans="1:45" x14ac:dyDescent="0.2">
      <c r="A1852" s="14" t="s">
        <v>1360</v>
      </c>
      <c r="B1852" s="15" t="s">
        <v>1146</v>
      </c>
      <c r="C1852" s="15" t="s">
        <v>1149</v>
      </c>
      <c r="D1852" s="14" t="s">
        <v>1358</v>
      </c>
      <c r="E1852" s="14" t="s">
        <v>1359</v>
      </c>
      <c r="G1852" s="15" t="s">
        <v>1165</v>
      </c>
      <c r="H1852" s="14" t="s">
        <v>1165</v>
      </c>
      <c r="I1852" s="14" t="s">
        <v>3011</v>
      </c>
      <c r="M1852" s="14" t="s">
        <v>1145</v>
      </c>
      <c r="O1852" s="14">
        <v>2007</v>
      </c>
      <c r="U1852" s="14" t="s">
        <v>1246</v>
      </c>
      <c r="V1852" s="9" t="s">
        <v>1247</v>
      </c>
      <c r="W1852" s="14">
        <v>56</v>
      </c>
      <c r="X1852" s="9" t="s">
        <v>1295</v>
      </c>
      <c r="Y1852" s="14" t="s">
        <v>1151</v>
      </c>
      <c r="Z1852" s="14">
        <v>12</v>
      </c>
      <c r="AD1852" s="14" t="s">
        <v>1165</v>
      </c>
      <c r="AF1852" s="14"/>
      <c r="AI1852" s="14" t="s">
        <v>1165</v>
      </c>
      <c r="AJ1852" s="15" t="s">
        <v>1148</v>
      </c>
      <c r="AK1852" s="15">
        <v>3.6539999999999999</v>
      </c>
      <c r="AL1852" t="s">
        <v>3009</v>
      </c>
      <c r="AM1852" t="s">
        <v>3003</v>
      </c>
      <c r="AN1852">
        <v>3</v>
      </c>
      <c r="AO1852">
        <v>10</v>
      </c>
      <c r="AP1852" t="s">
        <v>1244</v>
      </c>
      <c r="AQ1852" t="s">
        <v>1244</v>
      </c>
      <c r="AR1852" s="15" t="s">
        <v>1155</v>
      </c>
      <c r="AS1852" s="14" t="s">
        <v>3008</v>
      </c>
    </row>
    <row r="1853" spans="1:45" x14ac:dyDescent="0.2">
      <c r="A1853" s="14" t="s">
        <v>1360</v>
      </c>
      <c r="B1853" s="15" t="s">
        <v>1146</v>
      </c>
      <c r="C1853" s="15" t="s">
        <v>1149</v>
      </c>
      <c r="D1853" s="14" t="s">
        <v>1358</v>
      </c>
      <c r="E1853" s="14" t="s">
        <v>1359</v>
      </c>
      <c r="G1853" s="15" t="s">
        <v>1165</v>
      </c>
      <c r="H1853" s="14" t="s">
        <v>1165</v>
      </c>
      <c r="I1853" s="14" t="s">
        <v>3011</v>
      </c>
      <c r="M1853" s="14" t="s">
        <v>1145</v>
      </c>
      <c r="O1853" s="14">
        <v>2007</v>
      </c>
      <c r="U1853" s="14" t="s">
        <v>1246</v>
      </c>
      <c r="V1853" s="9" t="s">
        <v>1247</v>
      </c>
      <c r="W1853" s="14">
        <v>56</v>
      </c>
      <c r="X1853" s="9" t="s">
        <v>1295</v>
      </c>
      <c r="Y1853" s="14" t="s">
        <v>1151</v>
      </c>
      <c r="Z1853" s="14">
        <v>0</v>
      </c>
      <c r="AD1853" s="14" t="s">
        <v>1165</v>
      </c>
      <c r="AF1853" s="14"/>
      <c r="AI1853" s="14" t="s">
        <v>1165</v>
      </c>
      <c r="AJ1853" s="15" t="s">
        <v>1148</v>
      </c>
      <c r="AK1853" s="15">
        <v>35.962000000000003</v>
      </c>
      <c r="AL1853" t="s">
        <v>3009</v>
      </c>
      <c r="AM1853">
        <f>42.5-31.346</f>
        <v>11.154</v>
      </c>
      <c r="AN1853">
        <v>3</v>
      </c>
      <c r="AO1853">
        <v>10</v>
      </c>
      <c r="AP1853" t="s">
        <v>1244</v>
      </c>
      <c r="AQ1853" t="s">
        <v>1244</v>
      </c>
      <c r="AR1853" s="15" t="s">
        <v>1155</v>
      </c>
      <c r="AS1853" s="14" t="s">
        <v>3008</v>
      </c>
    </row>
    <row r="1854" spans="1:45" x14ac:dyDescent="0.2">
      <c r="A1854" t="s">
        <v>1365</v>
      </c>
      <c r="B1854" s="15" t="s">
        <v>1146</v>
      </c>
      <c r="C1854" s="15" t="s">
        <v>1149</v>
      </c>
      <c r="D1854" s="14" t="s">
        <v>459</v>
      </c>
      <c r="E1854" s="14" t="s">
        <v>1364</v>
      </c>
      <c r="G1854" s="15" t="s">
        <v>153</v>
      </c>
      <c r="H1854" s="14" t="s">
        <v>1165</v>
      </c>
      <c r="I1854" s="14" t="s">
        <v>3012</v>
      </c>
      <c r="J1854">
        <v>37.75</v>
      </c>
      <c r="K1854">
        <v>30.55</v>
      </c>
      <c r="L1854">
        <v>997</v>
      </c>
      <c r="M1854" s="14" t="s">
        <v>1145</v>
      </c>
      <c r="O1854" s="14">
        <v>2008</v>
      </c>
      <c r="Q1854" t="s">
        <v>1329</v>
      </c>
      <c r="T1854" t="s">
        <v>3013</v>
      </c>
      <c r="U1854" s="14" t="s">
        <v>95</v>
      </c>
      <c r="V1854" s="9" t="s">
        <v>1313</v>
      </c>
      <c r="W1854" s="14">
        <v>150</v>
      </c>
      <c r="X1854" s="9" t="s">
        <v>1261</v>
      </c>
      <c r="Y1854" s="14" t="s">
        <v>3014</v>
      </c>
      <c r="AA1854" t="s">
        <v>3015</v>
      </c>
      <c r="AB1854">
        <v>15000</v>
      </c>
      <c r="AC1854">
        <v>1.0416699999999999E-2</v>
      </c>
      <c r="AD1854" s="14" t="s">
        <v>1165</v>
      </c>
      <c r="AF1854" t="s">
        <v>153</v>
      </c>
      <c r="AG1854" t="s">
        <v>1160</v>
      </c>
      <c r="AH1854">
        <v>1440</v>
      </c>
      <c r="AI1854" s="14" t="s">
        <v>153</v>
      </c>
      <c r="AJ1854" s="15" t="s">
        <v>1148</v>
      </c>
      <c r="AK1854" s="15">
        <v>84</v>
      </c>
      <c r="AN1854">
        <v>3</v>
      </c>
      <c r="AO1854">
        <v>25</v>
      </c>
      <c r="AP1854">
        <v>30</v>
      </c>
      <c r="AQ1854" t="s">
        <v>3016</v>
      </c>
      <c r="AR1854" s="15" t="s">
        <v>3005</v>
      </c>
      <c r="AS1854" s="14" t="s">
        <v>3017</v>
      </c>
    </row>
    <row r="1855" spans="1:45" x14ac:dyDescent="0.2">
      <c r="A1855" t="s">
        <v>1365</v>
      </c>
      <c r="B1855" s="15" t="s">
        <v>1146</v>
      </c>
      <c r="C1855" s="15" t="s">
        <v>1149</v>
      </c>
      <c r="D1855" s="14" t="s">
        <v>459</v>
      </c>
      <c r="E1855" s="14" t="s">
        <v>1364</v>
      </c>
      <c r="G1855" s="15" t="s">
        <v>153</v>
      </c>
      <c r="H1855" s="14" t="s">
        <v>1165</v>
      </c>
      <c r="I1855" s="14" t="s">
        <v>3012</v>
      </c>
      <c r="J1855">
        <v>37.75</v>
      </c>
      <c r="K1855">
        <v>30.55</v>
      </c>
      <c r="L1855">
        <v>997</v>
      </c>
      <c r="M1855" s="14" t="s">
        <v>1145</v>
      </c>
      <c r="O1855" s="14">
        <v>2008</v>
      </c>
      <c r="Q1855" t="s">
        <v>1329</v>
      </c>
      <c r="T1855" t="s">
        <v>3013</v>
      </c>
      <c r="U1855" s="14" t="s">
        <v>95</v>
      </c>
      <c r="V1855" s="9" t="s">
        <v>1313</v>
      </c>
      <c r="W1855" s="14">
        <v>150</v>
      </c>
      <c r="X1855" s="9" t="s">
        <v>1261</v>
      </c>
      <c r="Y1855" s="14" t="s">
        <v>3014</v>
      </c>
      <c r="AA1855" t="s">
        <v>3018</v>
      </c>
      <c r="AD1855" s="14" t="s">
        <v>1165</v>
      </c>
      <c r="AF1855" t="s">
        <v>153</v>
      </c>
      <c r="AG1855" t="s">
        <v>1160</v>
      </c>
      <c r="AH1855">
        <v>1440</v>
      </c>
      <c r="AI1855" s="14" t="s">
        <v>153</v>
      </c>
      <c r="AJ1855" s="15" t="s">
        <v>1148</v>
      </c>
      <c r="AK1855" s="15">
        <v>84</v>
      </c>
      <c r="AN1855">
        <v>3</v>
      </c>
      <c r="AO1855">
        <v>25</v>
      </c>
      <c r="AP1855">
        <v>30</v>
      </c>
      <c r="AQ1855" t="s">
        <v>3016</v>
      </c>
      <c r="AR1855" s="15" t="s">
        <v>3005</v>
      </c>
      <c r="AS1855" s="14" t="s">
        <v>3019</v>
      </c>
    </row>
    <row r="1856" spans="1:45" x14ac:dyDescent="0.2">
      <c r="A1856" t="s">
        <v>1365</v>
      </c>
      <c r="B1856" s="15" t="s">
        <v>1146</v>
      </c>
      <c r="C1856" s="15" t="s">
        <v>1149</v>
      </c>
      <c r="D1856" s="14" t="s">
        <v>459</v>
      </c>
      <c r="E1856" s="14" t="s">
        <v>1364</v>
      </c>
      <c r="G1856" s="15" t="s">
        <v>153</v>
      </c>
      <c r="H1856" s="14" t="s">
        <v>1165</v>
      </c>
      <c r="I1856" s="14" t="s">
        <v>3012</v>
      </c>
      <c r="J1856">
        <v>37.75</v>
      </c>
      <c r="K1856">
        <v>30.55</v>
      </c>
      <c r="L1856">
        <v>997</v>
      </c>
      <c r="M1856" s="14" t="s">
        <v>1145</v>
      </c>
      <c r="O1856" s="14">
        <v>2008</v>
      </c>
      <c r="Q1856" t="s">
        <v>1329</v>
      </c>
      <c r="T1856" t="s">
        <v>3013</v>
      </c>
      <c r="U1856" s="14" t="s">
        <v>95</v>
      </c>
      <c r="V1856" s="9" t="s">
        <v>1313</v>
      </c>
      <c r="W1856" s="14">
        <v>150</v>
      </c>
      <c r="X1856" s="9" t="s">
        <v>1261</v>
      </c>
      <c r="Y1856" s="14" t="s">
        <v>3014</v>
      </c>
      <c r="AA1856" t="s">
        <v>3020</v>
      </c>
      <c r="AB1856">
        <v>15000</v>
      </c>
      <c r="AC1856">
        <v>1.0416699999999999E-2</v>
      </c>
      <c r="AD1856" s="14" t="s">
        <v>1165</v>
      </c>
      <c r="AF1856" t="s">
        <v>153</v>
      </c>
      <c r="AG1856" t="s">
        <v>1160</v>
      </c>
      <c r="AH1856">
        <v>1440</v>
      </c>
      <c r="AI1856" s="14" t="s">
        <v>153</v>
      </c>
      <c r="AJ1856" s="15" t="s">
        <v>1148</v>
      </c>
      <c r="AK1856" s="15">
        <v>68</v>
      </c>
      <c r="AN1856">
        <v>3</v>
      </c>
      <c r="AO1856">
        <v>25</v>
      </c>
      <c r="AP1856">
        <v>30</v>
      </c>
      <c r="AQ1856" t="s">
        <v>3016</v>
      </c>
      <c r="AR1856" s="15" t="s">
        <v>3005</v>
      </c>
      <c r="AS1856" s="14" t="s">
        <v>3021</v>
      </c>
    </row>
    <row r="1857" spans="1:45" x14ac:dyDescent="0.2">
      <c r="A1857" t="s">
        <v>1365</v>
      </c>
      <c r="B1857" s="15" t="s">
        <v>1146</v>
      </c>
      <c r="C1857" s="15" t="s">
        <v>1149</v>
      </c>
      <c r="D1857" s="14" t="s">
        <v>459</v>
      </c>
      <c r="E1857" s="14" t="s">
        <v>1364</v>
      </c>
      <c r="G1857" s="15" t="s">
        <v>153</v>
      </c>
      <c r="H1857" s="14" t="s">
        <v>1165</v>
      </c>
      <c r="I1857" s="14" t="s">
        <v>3012</v>
      </c>
      <c r="J1857">
        <v>37.75</v>
      </c>
      <c r="K1857">
        <v>30.55</v>
      </c>
      <c r="L1857">
        <v>997</v>
      </c>
      <c r="M1857" s="14" t="s">
        <v>1145</v>
      </c>
      <c r="O1857" s="14">
        <v>2008</v>
      </c>
      <c r="Q1857" t="s">
        <v>1329</v>
      </c>
      <c r="T1857" t="s">
        <v>3013</v>
      </c>
      <c r="U1857" s="14" t="s">
        <v>95</v>
      </c>
      <c r="V1857" s="9" t="s">
        <v>1313</v>
      </c>
      <c r="W1857" s="14">
        <v>150</v>
      </c>
      <c r="X1857" s="9" t="s">
        <v>1261</v>
      </c>
      <c r="Y1857" s="14" t="s">
        <v>3014</v>
      </c>
      <c r="AA1857" t="s">
        <v>3022</v>
      </c>
      <c r="AB1857">
        <v>300000</v>
      </c>
      <c r="AC1857">
        <v>1.3888899999999999E-2</v>
      </c>
      <c r="AD1857" s="14" t="s">
        <v>1165</v>
      </c>
      <c r="AF1857" t="s">
        <v>153</v>
      </c>
      <c r="AG1857" t="s">
        <v>1160</v>
      </c>
      <c r="AH1857">
        <v>1440</v>
      </c>
      <c r="AI1857" s="14" t="s">
        <v>153</v>
      </c>
      <c r="AJ1857" s="15" t="s">
        <v>1148</v>
      </c>
      <c r="AK1857" s="15">
        <v>100</v>
      </c>
      <c r="AN1857">
        <v>3</v>
      </c>
      <c r="AO1857">
        <v>25</v>
      </c>
      <c r="AP1857">
        <v>30</v>
      </c>
      <c r="AQ1857" t="s">
        <v>3016</v>
      </c>
      <c r="AR1857" s="15" t="s">
        <v>3005</v>
      </c>
      <c r="AS1857" s="14" t="s">
        <v>3021</v>
      </c>
    </row>
    <row r="1858" spans="1:45" x14ac:dyDescent="0.2">
      <c r="A1858" t="s">
        <v>1365</v>
      </c>
      <c r="B1858" s="15" t="s">
        <v>1146</v>
      </c>
      <c r="C1858" s="15" t="s">
        <v>1149</v>
      </c>
      <c r="D1858" s="14" t="s">
        <v>459</v>
      </c>
      <c r="E1858" s="14" t="s">
        <v>1364</v>
      </c>
      <c r="G1858" s="15" t="s">
        <v>153</v>
      </c>
      <c r="H1858" s="14" t="s">
        <v>1165</v>
      </c>
      <c r="I1858" s="14" t="s">
        <v>3012</v>
      </c>
      <c r="J1858">
        <v>37.75</v>
      </c>
      <c r="K1858">
        <v>30.55</v>
      </c>
      <c r="L1858">
        <v>997</v>
      </c>
      <c r="M1858" s="14" t="s">
        <v>1145</v>
      </c>
      <c r="O1858" s="14">
        <v>2008</v>
      </c>
      <c r="Q1858" t="s">
        <v>1329</v>
      </c>
      <c r="T1858" t="s">
        <v>3013</v>
      </c>
      <c r="U1858" s="14" t="s">
        <v>95</v>
      </c>
      <c r="V1858" s="9" t="s">
        <v>1313</v>
      </c>
      <c r="W1858" s="14">
        <v>150</v>
      </c>
      <c r="X1858" s="9" t="s">
        <v>1261</v>
      </c>
      <c r="Y1858" s="14" t="s">
        <v>3014</v>
      </c>
      <c r="AA1858" t="s">
        <v>3023</v>
      </c>
      <c r="AC1858">
        <v>1.0416699999999999E-2</v>
      </c>
      <c r="AD1858" s="14" t="s">
        <v>1165</v>
      </c>
      <c r="AF1858" t="s">
        <v>153</v>
      </c>
      <c r="AG1858" t="s">
        <v>1160</v>
      </c>
      <c r="AH1858">
        <v>1440</v>
      </c>
      <c r="AI1858" s="14" t="s">
        <v>153</v>
      </c>
      <c r="AJ1858" s="15" t="s">
        <v>1148</v>
      </c>
      <c r="AK1858" s="15">
        <v>69.3</v>
      </c>
      <c r="AN1858">
        <v>3</v>
      </c>
      <c r="AO1858">
        <v>25</v>
      </c>
      <c r="AP1858">
        <v>30</v>
      </c>
      <c r="AQ1858" t="s">
        <v>3016</v>
      </c>
      <c r="AR1858" s="15" t="s">
        <v>3005</v>
      </c>
      <c r="AS1858" s="14" t="s">
        <v>3024</v>
      </c>
    </row>
    <row r="1859" spans="1:45" x14ac:dyDescent="0.2">
      <c r="A1859" t="s">
        <v>1365</v>
      </c>
      <c r="B1859" s="15" t="s">
        <v>1146</v>
      </c>
      <c r="C1859" s="15" t="s">
        <v>1149</v>
      </c>
      <c r="D1859" s="14" t="s">
        <v>459</v>
      </c>
      <c r="E1859" s="14" t="s">
        <v>1364</v>
      </c>
      <c r="G1859" s="15" t="s">
        <v>153</v>
      </c>
      <c r="H1859" s="14" t="s">
        <v>1165</v>
      </c>
      <c r="I1859" s="14" t="s">
        <v>3012</v>
      </c>
      <c r="J1859">
        <v>37.75</v>
      </c>
      <c r="K1859">
        <v>30.55</v>
      </c>
      <c r="L1859">
        <v>997</v>
      </c>
      <c r="M1859" s="14" t="s">
        <v>1145</v>
      </c>
      <c r="O1859" s="14">
        <v>2008</v>
      </c>
      <c r="Q1859" t="s">
        <v>1329</v>
      </c>
      <c r="T1859" t="s">
        <v>3013</v>
      </c>
      <c r="U1859" s="14" t="s">
        <v>95</v>
      </c>
      <c r="V1859" s="9" t="s">
        <v>1313</v>
      </c>
      <c r="W1859" s="14">
        <v>150</v>
      </c>
      <c r="X1859" s="9" t="s">
        <v>1261</v>
      </c>
      <c r="Y1859" s="14" t="s">
        <v>3014</v>
      </c>
      <c r="AC1859">
        <v>1.0416699999999999E-2</v>
      </c>
      <c r="AD1859" s="14" t="s">
        <v>1165</v>
      </c>
      <c r="AF1859" t="s">
        <v>153</v>
      </c>
      <c r="AG1859" t="s">
        <v>1160</v>
      </c>
      <c r="AH1859">
        <v>1440</v>
      </c>
      <c r="AI1859" s="14" t="s">
        <v>153</v>
      </c>
      <c r="AJ1859" s="15" t="s">
        <v>1148</v>
      </c>
      <c r="AK1859" s="15">
        <v>66.7</v>
      </c>
      <c r="AN1859">
        <v>3</v>
      </c>
      <c r="AO1859">
        <v>25</v>
      </c>
      <c r="AP1859">
        <v>30</v>
      </c>
      <c r="AQ1859" t="s">
        <v>3016</v>
      </c>
      <c r="AR1859" s="15" t="s">
        <v>3005</v>
      </c>
      <c r="AS1859" s="14" t="s">
        <v>3025</v>
      </c>
    </row>
    <row r="1860" spans="1:45" x14ac:dyDescent="0.2">
      <c r="A1860" t="s">
        <v>1375</v>
      </c>
      <c r="B1860" s="15" t="s">
        <v>1146</v>
      </c>
      <c r="C1860" s="15" t="s">
        <v>1149</v>
      </c>
      <c r="D1860" s="14" t="s">
        <v>755</v>
      </c>
      <c r="E1860" s="14" t="s">
        <v>1374</v>
      </c>
      <c r="G1860" s="15" t="s">
        <v>1165</v>
      </c>
      <c r="H1860" s="14" t="s">
        <v>1165</v>
      </c>
      <c r="I1860" s="14" t="s">
        <v>3026</v>
      </c>
      <c r="M1860" s="14" t="s">
        <v>1145</v>
      </c>
      <c r="Q1860" t="s">
        <v>1329</v>
      </c>
      <c r="T1860">
        <v>5</v>
      </c>
      <c r="U1860" s="14" t="s">
        <v>95</v>
      </c>
      <c r="X1860" s="9" t="s">
        <v>3027</v>
      </c>
      <c r="Z1860">
        <v>12</v>
      </c>
      <c r="AA1860" t="s">
        <v>1251</v>
      </c>
      <c r="AB1860" s="19">
        <v>0.5</v>
      </c>
      <c r="AC1860">
        <v>3.4722199999999998E-3</v>
      </c>
      <c r="AD1860" s="14" t="s">
        <v>1165</v>
      </c>
      <c r="AF1860" t="s">
        <v>1165</v>
      </c>
      <c r="AJ1860" s="15" t="s">
        <v>1148</v>
      </c>
      <c r="AK1860" s="15">
        <v>59</v>
      </c>
      <c r="AL1860" t="s">
        <v>1321</v>
      </c>
      <c r="AM1860">
        <v>0.03</v>
      </c>
      <c r="AN1860">
        <v>4</v>
      </c>
      <c r="AO1860">
        <v>25</v>
      </c>
      <c r="AP1860">
        <v>60</v>
      </c>
      <c r="AQ1860" t="s">
        <v>3016</v>
      </c>
      <c r="AR1860" s="15" t="s">
        <v>3005</v>
      </c>
      <c r="AS1860" s="14" t="s">
        <v>3028</v>
      </c>
    </row>
    <row r="1861" spans="1:45" x14ac:dyDescent="0.2">
      <c r="A1861" t="s">
        <v>1375</v>
      </c>
      <c r="B1861" s="15" t="s">
        <v>1146</v>
      </c>
      <c r="C1861" s="15" t="s">
        <v>1149</v>
      </c>
      <c r="D1861" s="14" t="s">
        <v>755</v>
      </c>
      <c r="E1861" s="14" t="s">
        <v>1374</v>
      </c>
      <c r="G1861" s="15" t="s">
        <v>1165</v>
      </c>
      <c r="H1861" s="14" t="s">
        <v>1165</v>
      </c>
      <c r="I1861" s="14" t="s">
        <v>3026</v>
      </c>
      <c r="M1861" s="14" t="s">
        <v>1145</v>
      </c>
      <c r="Q1861" t="s">
        <v>1329</v>
      </c>
      <c r="T1861">
        <v>5</v>
      </c>
      <c r="U1861" s="14" t="s">
        <v>95</v>
      </c>
      <c r="X1861" s="9" t="s">
        <v>3027</v>
      </c>
      <c r="Z1861">
        <v>12</v>
      </c>
      <c r="AA1861" t="s">
        <v>1251</v>
      </c>
      <c r="AB1861" s="19">
        <v>0.5</v>
      </c>
      <c r="AC1861">
        <v>3.4722199999999998E-3</v>
      </c>
      <c r="AD1861" s="14" t="s">
        <v>1165</v>
      </c>
      <c r="AF1861" t="s">
        <v>1165</v>
      </c>
      <c r="AJ1861" s="15" t="s">
        <v>1278</v>
      </c>
      <c r="AK1861" s="15">
        <v>0.92</v>
      </c>
      <c r="AL1861" t="s">
        <v>1321</v>
      </c>
      <c r="AM1861">
        <v>0.03</v>
      </c>
      <c r="AN1861">
        <v>4</v>
      </c>
      <c r="AO1861">
        <v>25</v>
      </c>
      <c r="AP1861">
        <v>60</v>
      </c>
      <c r="AQ1861" t="s">
        <v>3016</v>
      </c>
      <c r="AR1861" s="15" t="s">
        <v>3005</v>
      </c>
      <c r="AS1861" s="14" t="s">
        <v>3028</v>
      </c>
    </row>
    <row r="1862" spans="1:45" x14ac:dyDescent="0.2">
      <c r="A1862" t="s">
        <v>1375</v>
      </c>
      <c r="B1862" s="15" t="s">
        <v>1146</v>
      </c>
      <c r="C1862" s="15" t="s">
        <v>1149</v>
      </c>
      <c r="D1862" s="14" t="s">
        <v>755</v>
      </c>
      <c r="E1862" s="14" t="s">
        <v>1374</v>
      </c>
      <c r="G1862" s="15" t="s">
        <v>1165</v>
      </c>
      <c r="H1862" s="14" t="s">
        <v>1165</v>
      </c>
      <c r="I1862" s="14" t="s">
        <v>3026</v>
      </c>
      <c r="M1862" s="14" t="s">
        <v>1145</v>
      </c>
      <c r="Q1862" t="s">
        <v>1329</v>
      </c>
      <c r="T1862">
        <v>5</v>
      </c>
      <c r="U1862" s="14" t="s">
        <v>95</v>
      </c>
      <c r="X1862" s="9" t="s">
        <v>3027</v>
      </c>
      <c r="Z1862">
        <v>12</v>
      </c>
      <c r="AA1862" t="s">
        <v>1251</v>
      </c>
      <c r="AB1862" s="19">
        <v>0.5</v>
      </c>
      <c r="AC1862">
        <v>6.9444399999999996E-3</v>
      </c>
      <c r="AD1862" s="14" t="s">
        <v>1165</v>
      </c>
      <c r="AF1862" t="s">
        <v>1165</v>
      </c>
      <c r="AJ1862" s="15" t="s">
        <v>1148</v>
      </c>
      <c r="AK1862" s="15">
        <v>61</v>
      </c>
      <c r="AL1862" t="s">
        <v>1321</v>
      </c>
      <c r="AM1862">
        <v>0.03</v>
      </c>
      <c r="AN1862">
        <v>4</v>
      </c>
      <c r="AO1862">
        <v>25</v>
      </c>
      <c r="AP1862">
        <v>60</v>
      </c>
      <c r="AQ1862" t="s">
        <v>3016</v>
      </c>
      <c r="AR1862" s="15" t="s">
        <v>3005</v>
      </c>
      <c r="AS1862" s="14" t="s">
        <v>3028</v>
      </c>
    </row>
    <row r="1863" spans="1:45" x14ac:dyDescent="0.2">
      <c r="A1863" t="s">
        <v>1375</v>
      </c>
      <c r="B1863" s="15" t="s">
        <v>1146</v>
      </c>
      <c r="C1863" s="15" t="s">
        <v>1149</v>
      </c>
      <c r="D1863" s="14" t="s">
        <v>755</v>
      </c>
      <c r="E1863" s="14" t="s">
        <v>1374</v>
      </c>
      <c r="G1863" s="15" t="s">
        <v>1165</v>
      </c>
      <c r="H1863" s="14" t="s">
        <v>1165</v>
      </c>
      <c r="I1863" s="14" t="s">
        <v>3026</v>
      </c>
      <c r="M1863" s="14" t="s">
        <v>1145</v>
      </c>
      <c r="Q1863" t="s">
        <v>1329</v>
      </c>
      <c r="T1863">
        <v>5</v>
      </c>
      <c r="U1863" s="14" t="s">
        <v>95</v>
      </c>
      <c r="X1863" s="9" t="s">
        <v>3027</v>
      </c>
      <c r="Z1863">
        <v>12</v>
      </c>
      <c r="AA1863" t="s">
        <v>1251</v>
      </c>
      <c r="AB1863" s="19">
        <v>0.5</v>
      </c>
      <c r="AC1863">
        <v>6.9444399999999996E-3</v>
      </c>
      <c r="AD1863" s="14" t="s">
        <v>1165</v>
      </c>
      <c r="AF1863" t="s">
        <v>1165</v>
      </c>
      <c r="AJ1863" s="15" t="s">
        <v>1278</v>
      </c>
      <c r="AK1863" s="15">
        <v>0.97</v>
      </c>
      <c r="AL1863" t="s">
        <v>1321</v>
      </c>
      <c r="AM1863">
        <v>0.03</v>
      </c>
      <c r="AN1863">
        <v>4</v>
      </c>
      <c r="AO1863">
        <v>25</v>
      </c>
      <c r="AP1863">
        <v>60</v>
      </c>
      <c r="AQ1863" t="s">
        <v>3016</v>
      </c>
      <c r="AR1863" s="15" t="s">
        <v>3005</v>
      </c>
      <c r="AS1863" s="14" t="s">
        <v>3028</v>
      </c>
    </row>
    <row r="1864" spans="1:45" x14ac:dyDescent="0.2">
      <c r="A1864" t="s">
        <v>1375</v>
      </c>
      <c r="B1864" s="15" t="s">
        <v>1146</v>
      </c>
      <c r="C1864" s="15" t="s">
        <v>1149</v>
      </c>
      <c r="D1864" s="14" t="s">
        <v>755</v>
      </c>
      <c r="E1864" s="14" t="s">
        <v>1374</v>
      </c>
      <c r="G1864" s="15" t="s">
        <v>1165</v>
      </c>
      <c r="H1864" s="14" t="s">
        <v>1165</v>
      </c>
      <c r="I1864" s="14" t="s">
        <v>3026</v>
      </c>
      <c r="M1864" s="14" t="s">
        <v>1145</v>
      </c>
      <c r="Q1864" t="s">
        <v>1329</v>
      </c>
      <c r="T1864">
        <v>5</v>
      </c>
      <c r="U1864" s="14" t="s">
        <v>95</v>
      </c>
      <c r="X1864" s="9" t="s">
        <v>3027</v>
      </c>
      <c r="Z1864">
        <v>12</v>
      </c>
      <c r="AA1864" t="s">
        <v>1251</v>
      </c>
      <c r="AB1864" s="19">
        <v>0.98</v>
      </c>
      <c r="AC1864">
        <v>3.4722199999999998E-3</v>
      </c>
      <c r="AD1864" s="14" t="s">
        <v>1165</v>
      </c>
      <c r="AF1864" t="s">
        <v>1165</v>
      </c>
      <c r="AJ1864" s="15" t="s">
        <v>1148</v>
      </c>
      <c r="AK1864" s="15">
        <v>63</v>
      </c>
      <c r="AL1864" t="s">
        <v>1321</v>
      </c>
      <c r="AM1864">
        <v>0.03</v>
      </c>
      <c r="AN1864">
        <v>4</v>
      </c>
      <c r="AO1864">
        <v>25</v>
      </c>
      <c r="AP1864">
        <v>60</v>
      </c>
      <c r="AQ1864" t="s">
        <v>3016</v>
      </c>
      <c r="AR1864" s="15" t="s">
        <v>3005</v>
      </c>
      <c r="AS1864" s="14" t="s">
        <v>3028</v>
      </c>
    </row>
    <row r="1865" spans="1:45" x14ac:dyDescent="0.2">
      <c r="A1865" t="s">
        <v>1375</v>
      </c>
      <c r="B1865" s="15" t="s">
        <v>1146</v>
      </c>
      <c r="C1865" s="15" t="s">
        <v>1149</v>
      </c>
      <c r="D1865" s="14" t="s">
        <v>755</v>
      </c>
      <c r="E1865" s="14" t="s">
        <v>1374</v>
      </c>
      <c r="G1865" s="15" t="s">
        <v>1165</v>
      </c>
      <c r="H1865" s="14" t="s">
        <v>1165</v>
      </c>
      <c r="I1865" s="14" t="s">
        <v>3026</v>
      </c>
      <c r="M1865" s="14" t="s">
        <v>1145</v>
      </c>
      <c r="Q1865" t="s">
        <v>1329</v>
      </c>
      <c r="T1865">
        <v>5</v>
      </c>
      <c r="U1865" s="14" t="s">
        <v>95</v>
      </c>
      <c r="X1865" s="9" t="s">
        <v>3027</v>
      </c>
      <c r="Z1865">
        <v>12</v>
      </c>
      <c r="AA1865" t="s">
        <v>1251</v>
      </c>
      <c r="AB1865" s="19">
        <v>0.98</v>
      </c>
      <c r="AC1865">
        <v>3.4722199999999998E-3</v>
      </c>
      <c r="AD1865" s="14" t="s">
        <v>1165</v>
      </c>
      <c r="AF1865" t="s">
        <v>1165</v>
      </c>
      <c r="AJ1865" s="15" t="s">
        <v>1278</v>
      </c>
      <c r="AK1865" s="15">
        <v>1.04</v>
      </c>
      <c r="AL1865" t="s">
        <v>1321</v>
      </c>
      <c r="AM1865">
        <v>0.03</v>
      </c>
      <c r="AN1865">
        <v>4</v>
      </c>
      <c r="AO1865">
        <v>25</v>
      </c>
      <c r="AP1865">
        <v>60</v>
      </c>
      <c r="AQ1865" t="s">
        <v>3016</v>
      </c>
      <c r="AR1865" s="15" t="s">
        <v>3005</v>
      </c>
      <c r="AS1865" s="14" t="s">
        <v>3028</v>
      </c>
    </row>
    <row r="1866" spans="1:45" x14ac:dyDescent="0.2">
      <c r="A1866" t="s">
        <v>1375</v>
      </c>
      <c r="B1866" s="15" t="s">
        <v>1146</v>
      </c>
      <c r="C1866" s="15" t="s">
        <v>1149</v>
      </c>
      <c r="D1866" s="14" t="s">
        <v>755</v>
      </c>
      <c r="E1866" s="14" t="s">
        <v>1374</v>
      </c>
      <c r="G1866" s="15" t="s">
        <v>1165</v>
      </c>
      <c r="H1866" s="14" t="s">
        <v>1165</v>
      </c>
      <c r="I1866" s="14" t="s">
        <v>3026</v>
      </c>
      <c r="M1866" s="14" t="s">
        <v>1145</v>
      </c>
      <c r="Q1866" t="s">
        <v>1329</v>
      </c>
      <c r="T1866">
        <v>5</v>
      </c>
      <c r="U1866" s="14" t="s">
        <v>95</v>
      </c>
      <c r="X1866" s="9" t="s">
        <v>3027</v>
      </c>
      <c r="Z1866">
        <v>12</v>
      </c>
      <c r="AA1866" t="s">
        <v>1251</v>
      </c>
      <c r="AB1866" s="19">
        <v>0.98</v>
      </c>
      <c r="AC1866">
        <v>6.9444399999999996E-3</v>
      </c>
      <c r="AD1866" s="14" t="s">
        <v>1165</v>
      </c>
      <c r="AF1866" t="s">
        <v>1165</v>
      </c>
      <c r="AJ1866" s="15" t="s">
        <v>1148</v>
      </c>
      <c r="AK1866" s="15">
        <v>71</v>
      </c>
      <c r="AL1866" t="s">
        <v>1321</v>
      </c>
      <c r="AM1866">
        <v>0.03</v>
      </c>
      <c r="AN1866">
        <v>4</v>
      </c>
      <c r="AO1866">
        <v>25</v>
      </c>
      <c r="AP1866">
        <v>60</v>
      </c>
      <c r="AQ1866" t="s">
        <v>3016</v>
      </c>
      <c r="AR1866" s="15" t="s">
        <v>3005</v>
      </c>
      <c r="AS1866" s="14" t="s">
        <v>3028</v>
      </c>
    </row>
    <row r="1867" spans="1:45" x14ac:dyDescent="0.2">
      <c r="A1867" t="s">
        <v>1375</v>
      </c>
      <c r="B1867" s="15" t="s">
        <v>1146</v>
      </c>
      <c r="C1867" s="15" t="s">
        <v>1149</v>
      </c>
      <c r="D1867" s="14" t="s">
        <v>755</v>
      </c>
      <c r="E1867" s="14" t="s">
        <v>1374</v>
      </c>
      <c r="G1867" s="15" t="s">
        <v>1165</v>
      </c>
      <c r="H1867" s="14" t="s">
        <v>1165</v>
      </c>
      <c r="I1867" s="14" t="s">
        <v>3026</v>
      </c>
      <c r="M1867" s="14" t="s">
        <v>1145</v>
      </c>
      <c r="Q1867" t="s">
        <v>1329</v>
      </c>
      <c r="T1867">
        <v>5</v>
      </c>
      <c r="U1867" s="14" t="s">
        <v>95</v>
      </c>
      <c r="X1867" s="9" t="s">
        <v>3027</v>
      </c>
      <c r="Z1867">
        <v>12</v>
      </c>
      <c r="AA1867" t="s">
        <v>1251</v>
      </c>
      <c r="AB1867" s="19">
        <v>0.98</v>
      </c>
      <c r="AC1867">
        <v>6.9444399999999996E-3</v>
      </c>
      <c r="AD1867" s="14" t="s">
        <v>1165</v>
      </c>
      <c r="AF1867" t="s">
        <v>1165</v>
      </c>
      <c r="AJ1867" s="15" t="s">
        <v>1278</v>
      </c>
      <c r="AK1867" s="15">
        <v>1.1499999999999999</v>
      </c>
      <c r="AL1867" t="s">
        <v>1321</v>
      </c>
      <c r="AM1867">
        <v>0.03</v>
      </c>
      <c r="AN1867">
        <v>4</v>
      </c>
      <c r="AO1867">
        <v>25</v>
      </c>
      <c r="AP1867">
        <v>60</v>
      </c>
      <c r="AQ1867" t="s">
        <v>3016</v>
      </c>
      <c r="AR1867" s="15" t="s">
        <v>3005</v>
      </c>
      <c r="AS1867" s="14" t="s">
        <v>3028</v>
      </c>
    </row>
    <row r="1868" spans="1:45" x14ac:dyDescent="0.2">
      <c r="A1868" t="s">
        <v>1375</v>
      </c>
      <c r="B1868" s="15" t="s">
        <v>1146</v>
      </c>
      <c r="C1868" s="15" t="s">
        <v>1149</v>
      </c>
      <c r="D1868" s="14" t="s">
        <v>755</v>
      </c>
      <c r="E1868" s="14" t="s">
        <v>1374</v>
      </c>
      <c r="G1868" s="15" t="s">
        <v>1165</v>
      </c>
      <c r="H1868" s="14" t="s">
        <v>1165</v>
      </c>
      <c r="I1868" s="14" t="s">
        <v>3026</v>
      </c>
      <c r="M1868" s="14" t="s">
        <v>1145</v>
      </c>
      <c r="Q1868" t="s">
        <v>1329</v>
      </c>
      <c r="T1868">
        <v>5</v>
      </c>
      <c r="U1868" s="14" t="s">
        <v>1147</v>
      </c>
      <c r="X1868" s="9" t="s">
        <v>3027</v>
      </c>
      <c r="Z1868">
        <v>12</v>
      </c>
      <c r="AB1868" s="19"/>
      <c r="AD1868" s="14" t="s">
        <v>1165</v>
      </c>
      <c r="AF1868" t="s">
        <v>1165</v>
      </c>
      <c r="AJ1868" s="15" t="s">
        <v>1148</v>
      </c>
      <c r="AK1868" s="15">
        <v>55</v>
      </c>
      <c r="AL1868" t="s">
        <v>1321</v>
      </c>
      <c r="AM1868">
        <v>0.03</v>
      </c>
      <c r="AN1868">
        <v>4</v>
      </c>
      <c r="AO1868">
        <v>25</v>
      </c>
      <c r="AP1868">
        <v>60</v>
      </c>
      <c r="AQ1868" t="s">
        <v>3016</v>
      </c>
      <c r="AR1868" s="15" t="s">
        <v>3005</v>
      </c>
      <c r="AS1868" s="14"/>
    </row>
    <row r="1869" spans="1:45" x14ac:dyDescent="0.2">
      <c r="A1869" t="s">
        <v>1375</v>
      </c>
      <c r="B1869" s="15" t="s">
        <v>1146</v>
      </c>
      <c r="C1869" s="15" t="s">
        <v>1149</v>
      </c>
      <c r="D1869" s="14" t="s">
        <v>755</v>
      </c>
      <c r="E1869" s="14" t="s">
        <v>1374</v>
      </c>
      <c r="G1869" s="15" t="s">
        <v>1165</v>
      </c>
      <c r="H1869" s="14" t="s">
        <v>1165</v>
      </c>
      <c r="I1869" s="14" t="s">
        <v>3026</v>
      </c>
      <c r="M1869" s="14" t="s">
        <v>1145</v>
      </c>
      <c r="Q1869" t="s">
        <v>1329</v>
      </c>
      <c r="T1869">
        <v>5</v>
      </c>
      <c r="U1869" s="14" t="s">
        <v>1147</v>
      </c>
      <c r="X1869" s="9" t="s">
        <v>3027</v>
      </c>
      <c r="Z1869">
        <v>12</v>
      </c>
      <c r="AB1869" s="19"/>
      <c r="AD1869" s="14" t="s">
        <v>1165</v>
      </c>
      <c r="AF1869" t="s">
        <v>1165</v>
      </c>
      <c r="AJ1869" s="15" t="s">
        <v>1278</v>
      </c>
      <c r="AK1869" s="15">
        <v>0.81</v>
      </c>
      <c r="AL1869" t="s">
        <v>1321</v>
      </c>
      <c r="AM1869">
        <v>0.03</v>
      </c>
      <c r="AN1869">
        <v>4</v>
      </c>
      <c r="AO1869">
        <v>25</v>
      </c>
      <c r="AP1869">
        <v>60</v>
      </c>
      <c r="AQ1869" t="s">
        <v>3016</v>
      </c>
      <c r="AR1869" s="15" t="s">
        <v>3005</v>
      </c>
      <c r="AS1869" s="14"/>
    </row>
    <row r="1870" spans="1:45" x14ac:dyDescent="0.2">
      <c r="A1870" t="s">
        <v>1375</v>
      </c>
      <c r="B1870" s="15" t="s">
        <v>1146</v>
      </c>
      <c r="C1870" s="15" t="s">
        <v>1149</v>
      </c>
      <c r="D1870" s="14" t="s">
        <v>755</v>
      </c>
      <c r="E1870" s="14" t="s">
        <v>1374</v>
      </c>
      <c r="G1870" s="15" t="s">
        <v>1165</v>
      </c>
      <c r="H1870" s="14" t="s">
        <v>1165</v>
      </c>
      <c r="I1870" s="14" t="s">
        <v>3026</v>
      </c>
      <c r="M1870" s="14" t="s">
        <v>1145</v>
      </c>
      <c r="Q1870" t="s">
        <v>1329</v>
      </c>
      <c r="T1870">
        <v>5</v>
      </c>
      <c r="U1870" s="14" t="s">
        <v>1268</v>
      </c>
      <c r="X1870" s="9" t="s">
        <v>3027</v>
      </c>
      <c r="Z1870">
        <v>12</v>
      </c>
      <c r="AA1870" t="s">
        <v>1159</v>
      </c>
      <c r="AB1870" s="20">
        <v>100</v>
      </c>
      <c r="AC1870">
        <v>3</v>
      </c>
      <c r="AD1870" s="14" t="s">
        <v>1165</v>
      </c>
      <c r="AF1870" t="s">
        <v>1165</v>
      </c>
      <c r="AJ1870" s="15" t="s">
        <v>1148</v>
      </c>
      <c r="AK1870" s="15">
        <v>58</v>
      </c>
      <c r="AL1870" t="s">
        <v>1321</v>
      </c>
      <c r="AM1870">
        <v>0.03</v>
      </c>
      <c r="AN1870">
        <v>4</v>
      </c>
      <c r="AO1870">
        <v>25</v>
      </c>
      <c r="AP1870">
        <v>60</v>
      </c>
      <c r="AQ1870" t="s">
        <v>3016</v>
      </c>
      <c r="AR1870" s="15" t="s">
        <v>3005</v>
      </c>
      <c r="AS1870" s="14"/>
    </row>
    <row r="1871" spans="1:45" x14ac:dyDescent="0.2">
      <c r="A1871" t="s">
        <v>1375</v>
      </c>
      <c r="B1871" s="15" t="s">
        <v>1146</v>
      </c>
      <c r="C1871" s="15" t="s">
        <v>1149</v>
      </c>
      <c r="D1871" s="14" t="s">
        <v>755</v>
      </c>
      <c r="E1871" s="14" t="s">
        <v>1374</v>
      </c>
      <c r="G1871" s="15" t="s">
        <v>1165</v>
      </c>
      <c r="H1871" s="14" t="s">
        <v>1165</v>
      </c>
      <c r="I1871" s="14" t="s">
        <v>3026</v>
      </c>
      <c r="M1871" s="14" t="s">
        <v>1145</v>
      </c>
      <c r="Q1871" t="s">
        <v>1329</v>
      </c>
      <c r="T1871">
        <v>5</v>
      </c>
      <c r="U1871" s="14" t="s">
        <v>1268</v>
      </c>
      <c r="X1871" s="9" t="s">
        <v>3027</v>
      </c>
      <c r="Z1871">
        <v>12</v>
      </c>
      <c r="AA1871" t="s">
        <v>1159</v>
      </c>
      <c r="AB1871" s="20">
        <v>100</v>
      </c>
      <c r="AC1871">
        <v>3</v>
      </c>
      <c r="AD1871" s="14" t="s">
        <v>1165</v>
      </c>
      <c r="AF1871" t="s">
        <v>1165</v>
      </c>
      <c r="AJ1871" s="15" t="s">
        <v>1278</v>
      </c>
      <c r="AK1871" s="15">
        <v>0.84</v>
      </c>
      <c r="AL1871" t="s">
        <v>1321</v>
      </c>
      <c r="AM1871">
        <v>0.04</v>
      </c>
      <c r="AN1871">
        <v>4</v>
      </c>
      <c r="AO1871">
        <v>25</v>
      </c>
      <c r="AP1871">
        <v>60</v>
      </c>
      <c r="AQ1871" t="s">
        <v>3016</v>
      </c>
      <c r="AR1871" s="15" t="s">
        <v>3005</v>
      </c>
      <c r="AS1871" s="14"/>
    </row>
    <row r="1872" spans="1:45" x14ac:dyDescent="0.2">
      <c r="A1872" t="s">
        <v>1375</v>
      </c>
      <c r="B1872" s="15" t="s">
        <v>1146</v>
      </c>
      <c r="C1872" s="15" t="s">
        <v>1149</v>
      </c>
      <c r="D1872" s="14" t="s">
        <v>755</v>
      </c>
      <c r="E1872" s="14" t="s">
        <v>1374</v>
      </c>
      <c r="G1872" s="15" t="s">
        <v>1165</v>
      </c>
      <c r="H1872" s="14" t="s">
        <v>1165</v>
      </c>
      <c r="I1872" s="14" t="s">
        <v>3026</v>
      </c>
      <c r="M1872" s="14" t="s">
        <v>1145</v>
      </c>
      <c r="Q1872" t="s">
        <v>1329</v>
      </c>
      <c r="T1872">
        <v>5</v>
      </c>
      <c r="U1872" s="14" t="s">
        <v>1268</v>
      </c>
      <c r="X1872" s="9" t="s">
        <v>3027</v>
      </c>
      <c r="Z1872">
        <v>12</v>
      </c>
      <c r="AA1872" t="s">
        <v>1159</v>
      </c>
      <c r="AB1872" s="20">
        <v>200</v>
      </c>
      <c r="AC1872">
        <v>3</v>
      </c>
      <c r="AD1872" s="14" t="s">
        <v>1165</v>
      </c>
      <c r="AF1872" t="s">
        <v>1165</v>
      </c>
      <c r="AJ1872" s="15" t="s">
        <v>1148</v>
      </c>
      <c r="AK1872" s="15">
        <v>62</v>
      </c>
      <c r="AL1872" t="s">
        <v>1321</v>
      </c>
      <c r="AM1872">
        <v>0.03</v>
      </c>
      <c r="AN1872">
        <v>4</v>
      </c>
      <c r="AO1872">
        <v>25</v>
      </c>
      <c r="AP1872">
        <v>60</v>
      </c>
      <c r="AQ1872" t="s">
        <v>3016</v>
      </c>
      <c r="AR1872" s="15" t="s">
        <v>3005</v>
      </c>
      <c r="AS1872" s="14"/>
    </row>
    <row r="1873" spans="1:45" x14ac:dyDescent="0.2">
      <c r="A1873" t="s">
        <v>1375</v>
      </c>
      <c r="B1873" s="15" t="s">
        <v>1146</v>
      </c>
      <c r="C1873" s="15" t="s">
        <v>1149</v>
      </c>
      <c r="D1873" s="14" t="s">
        <v>755</v>
      </c>
      <c r="E1873" s="14" t="s">
        <v>1374</v>
      </c>
      <c r="G1873" s="15" t="s">
        <v>1165</v>
      </c>
      <c r="H1873" s="14" t="s">
        <v>1165</v>
      </c>
      <c r="I1873" s="14" t="s">
        <v>3026</v>
      </c>
      <c r="M1873" s="14" t="s">
        <v>1145</v>
      </c>
      <c r="Q1873" t="s">
        <v>1329</v>
      </c>
      <c r="T1873">
        <v>5</v>
      </c>
      <c r="U1873" s="14" t="s">
        <v>1268</v>
      </c>
      <c r="X1873" s="9" t="s">
        <v>3027</v>
      </c>
      <c r="Z1873">
        <v>12</v>
      </c>
      <c r="AA1873" t="s">
        <v>1159</v>
      </c>
      <c r="AB1873" s="20">
        <v>200</v>
      </c>
      <c r="AC1873">
        <v>3</v>
      </c>
      <c r="AD1873" s="14" t="s">
        <v>1165</v>
      </c>
      <c r="AF1873" t="s">
        <v>1165</v>
      </c>
      <c r="AJ1873" s="15" t="s">
        <v>1278</v>
      </c>
      <c r="AK1873" s="15">
        <v>1.01</v>
      </c>
      <c r="AL1873" t="s">
        <v>1321</v>
      </c>
      <c r="AM1873">
        <v>0.04</v>
      </c>
      <c r="AN1873">
        <v>4</v>
      </c>
      <c r="AO1873">
        <v>25</v>
      </c>
      <c r="AP1873">
        <v>60</v>
      </c>
      <c r="AQ1873" t="s">
        <v>3016</v>
      </c>
      <c r="AR1873" s="15" t="s">
        <v>3005</v>
      </c>
      <c r="AS1873" s="14"/>
    </row>
    <row r="1874" spans="1:45" x14ac:dyDescent="0.2">
      <c r="A1874" t="s">
        <v>1375</v>
      </c>
      <c r="B1874" s="15" t="s">
        <v>1146</v>
      </c>
      <c r="C1874" s="15" t="s">
        <v>1149</v>
      </c>
      <c r="D1874" s="14" t="s">
        <v>755</v>
      </c>
      <c r="E1874" s="14" t="s">
        <v>1374</v>
      </c>
      <c r="G1874" s="15" t="s">
        <v>1165</v>
      </c>
      <c r="H1874" s="14" t="s">
        <v>1165</v>
      </c>
      <c r="I1874" s="14" t="s">
        <v>3026</v>
      </c>
      <c r="M1874" s="14" t="s">
        <v>1145</v>
      </c>
      <c r="Q1874" t="s">
        <v>1329</v>
      </c>
      <c r="T1874">
        <v>5</v>
      </c>
      <c r="U1874" s="14" t="s">
        <v>1268</v>
      </c>
      <c r="X1874" s="9" t="s">
        <v>3027</v>
      </c>
      <c r="Z1874">
        <v>12</v>
      </c>
      <c r="AA1874" t="s">
        <v>1159</v>
      </c>
      <c r="AB1874" s="20">
        <v>300</v>
      </c>
      <c r="AC1874">
        <v>3</v>
      </c>
      <c r="AD1874" s="14" t="s">
        <v>1165</v>
      </c>
      <c r="AF1874" t="s">
        <v>1165</v>
      </c>
      <c r="AJ1874" s="15" t="s">
        <v>1148</v>
      </c>
      <c r="AK1874" s="15">
        <v>72</v>
      </c>
      <c r="AL1874" t="s">
        <v>1321</v>
      </c>
      <c r="AM1874">
        <v>0.03</v>
      </c>
      <c r="AN1874">
        <v>4</v>
      </c>
      <c r="AO1874">
        <v>25</v>
      </c>
      <c r="AP1874">
        <v>60</v>
      </c>
      <c r="AQ1874" t="s">
        <v>3016</v>
      </c>
      <c r="AR1874" s="15" t="s">
        <v>3005</v>
      </c>
      <c r="AS1874" s="14"/>
    </row>
    <row r="1875" spans="1:45" x14ac:dyDescent="0.2">
      <c r="A1875" t="s">
        <v>1375</v>
      </c>
      <c r="B1875" s="15" t="s">
        <v>1146</v>
      </c>
      <c r="C1875" s="15" t="s">
        <v>1149</v>
      </c>
      <c r="D1875" s="14" t="s">
        <v>755</v>
      </c>
      <c r="E1875" s="14" t="s">
        <v>1374</v>
      </c>
      <c r="G1875" s="15" t="s">
        <v>1165</v>
      </c>
      <c r="H1875" s="14" t="s">
        <v>1165</v>
      </c>
      <c r="I1875" s="14" t="s">
        <v>3026</v>
      </c>
      <c r="M1875" s="14" t="s">
        <v>1145</v>
      </c>
      <c r="Q1875" t="s">
        <v>1329</v>
      </c>
      <c r="T1875">
        <v>5</v>
      </c>
      <c r="U1875" s="14" t="s">
        <v>1268</v>
      </c>
      <c r="X1875" s="9" t="s">
        <v>3027</v>
      </c>
      <c r="Z1875">
        <v>12</v>
      </c>
      <c r="AA1875" t="s">
        <v>1159</v>
      </c>
      <c r="AB1875" s="20">
        <v>300</v>
      </c>
      <c r="AC1875">
        <v>3</v>
      </c>
      <c r="AD1875" s="14" t="s">
        <v>1165</v>
      </c>
      <c r="AF1875" t="s">
        <v>1165</v>
      </c>
      <c r="AJ1875" s="15" t="s">
        <v>1278</v>
      </c>
      <c r="AK1875" s="15">
        <v>1.17</v>
      </c>
      <c r="AL1875" t="s">
        <v>1321</v>
      </c>
      <c r="AM1875">
        <v>0.04</v>
      </c>
      <c r="AN1875">
        <v>4</v>
      </c>
      <c r="AO1875">
        <v>25</v>
      </c>
      <c r="AP1875">
        <v>60</v>
      </c>
      <c r="AQ1875" t="s">
        <v>3016</v>
      </c>
      <c r="AR1875" s="15" t="s">
        <v>3005</v>
      </c>
      <c r="AS1875" s="14"/>
    </row>
    <row r="1876" spans="1:45" x14ac:dyDescent="0.2">
      <c r="A1876" t="s">
        <v>1375</v>
      </c>
      <c r="B1876" s="15" t="s">
        <v>1146</v>
      </c>
      <c r="C1876" s="15" t="s">
        <v>1149</v>
      </c>
      <c r="D1876" s="14" t="s">
        <v>755</v>
      </c>
      <c r="E1876" s="14" t="s">
        <v>1374</v>
      </c>
      <c r="G1876" s="15" t="s">
        <v>1165</v>
      </c>
      <c r="H1876" s="14" t="s">
        <v>1165</v>
      </c>
      <c r="I1876" s="14" t="s">
        <v>3026</v>
      </c>
      <c r="M1876" s="14" t="s">
        <v>1145</v>
      </c>
      <c r="Q1876" t="s">
        <v>1329</v>
      </c>
      <c r="T1876">
        <v>5</v>
      </c>
      <c r="U1876" s="14" t="s">
        <v>1268</v>
      </c>
      <c r="X1876" s="9" t="s">
        <v>3027</v>
      </c>
      <c r="Z1876">
        <v>12</v>
      </c>
      <c r="AA1876" t="s">
        <v>1159</v>
      </c>
      <c r="AB1876" s="20">
        <v>400</v>
      </c>
      <c r="AC1876">
        <v>3</v>
      </c>
      <c r="AD1876" s="14" t="s">
        <v>1165</v>
      </c>
      <c r="AF1876" t="s">
        <v>1165</v>
      </c>
      <c r="AJ1876" s="15" t="s">
        <v>1148</v>
      </c>
      <c r="AK1876" s="15">
        <v>76</v>
      </c>
      <c r="AL1876" t="s">
        <v>1321</v>
      </c>
      <c r="AM1876">
        <v>0.03</v>
      </c>
      <c r="AN1876">
        <v>4</v>
      </c>
      <c r="AO1876">
        <v>25</v>
      </c>
      <c r="AP1876">
        <v>60</v>
      </c>
      <c r="AQ1876" t="s">
        <v>3016</v>
      </c>
      <c r="AR1876" s="15" t="s">
        <v>3005</v>
      </c>
      <c r="AS1876" s="14"/>
    </row>
    <row r="1877" spans="1:45" x14ac:dyDescent="0.2">
      <c r="A1877" t="s">
        <v>1375</v>
      </c>
      <c r="B1877" s="15" t="s">
        <v>1146</v>
      </c>
      <c r="C1877" s="15" t="s">
        <v>1149</v>
      </c>
      <c r="D1877" s="14" t="s">
        <v>755</v>
      </c>
      <c r="E1877" s="14" t="s">
        <v>1374</v>
      </c>
      <c r="G1877" s="15" t="s">
        <v>1165</v>
      </c>
      <c r="H1877" s="14" t="s">
        <v>1165</v>
      </c>
      <c r="I1877" s="14" t="s">
        <v>3026</v>
      </c>
      <c r="M1877" s="14" t="s">
        <v>1145</v>
      </c>
      <c r="Q1877" t="s">
        <v>1329</v>
      </c>
      <c r="T1877">
        <v>5</v>
      </c>
      <c r="U1877" s="14" t="s">
        <v>1268</v>
      </c>
      <c r="X1877" s="9" t="s">
        <v>3027</v>
      </c>
      <c r="Z1877">
        <v>12</v>
      </c>
      <c r="AA1877" t="s">
        <v>1159</v>
      </c>
      <c r="AB1877" s="20">
        <v>400</v>
      </c>
      <c r="AC1877">
        <v>3</v>
      </c>
      <c r="AD1877" s="14" t="s">
        <v>1165</v>
      </c>
      <c r="AF1877" t="s">
        <v>1165</v>
      </c>
      <c r="AJ1877" s="15" t="s">
        <v>1278</v>
      </c>
      <c r="AK1877" s="15">
        <v>1.37</v>
      </c>
      <c r="AL1877" t="s">
        <v>1321</v>
      </c>
      <c r="AM1877">
        <v>0.04</v>
      </c>
      <c r="AN1877">
        <v>4</v>
      </c>
      <c r="AO1877">
        <v>25</v>
      </c>
      <c r="AP1877">
        <v>60</v>
      </c>
      <c r="AQ1877" t="s">
        <v>3016</v>
      </c>
      <c r="AR1877" s="15" t="s">
        <v>3005</v>
      </c>
      <c r="AS1877" s="14"/>
    </row>
    <row r="1878" spans="1:45" x14ac:dyDescent="0.2">
      <c r="A1878" t="s">
        <v>1375</v>
      </c>
      <c r="B1878" s="15" t="s">
        <v>1146</v>
      </c>
      <c r="C1878" s="15" t="s">
        <v>1149</v>
      </c>
      <c r="D1878" s="14" t="s">
        <v>755</v>
      </c>
      <c r="E1878" s="14" t="s">
        <v>1374</v>
      </c>
      <c r="G1878" s="15" t="s">
        <v>1165</v>
      </c>
      <c r="H1878" s="14" t="s">
        <v>1165</v>
      </c>
      <c r="I1878" s="14" t="s">
        <v>3026</v>
      </c>
      <c r="M1878" s="14" t="s">
        <v>1145</v>
      </c>
      <c r="Q1878" t="s">
        <v>1329</v>
      </c>
      <c r="T1878">
        <v>5</v>
      </c>
      <c r="U1878" s="14" t="s">
        <v>1268</v>
      </c>
      <c r="X1878" s="9" t="s">
        <v>3027</v>
      </c>
      <c r="Z1878">
        <v>12</v>
      </c>
      <c r="AA1878" t="s">
        <v>1159</v>
      </c>
      <c r="AB1878" s="20">
        <v>500</v>
      </c>
      <c r="AC1878">
        <v>3</v>
      </c>
      <c r="AD1878" s="14" t="s">
        <v>1165</v>
      </c>
      <c r="AF1878" t="s">
        <v>1165</v>
      </c>
      <c r="AJ1878" s="15" t="s">
        <v>1148</v>
      </c>
      <c r="AK1878" s="15">
        <v>81</v>
      </c>
      <c r="AL1878" t="s">
        <v>1321</v>
      </c>
      <c r="AM1878">
        <v>0.03</v>
      </c>
      <c r="AN1878">
        <v>4</v>
      </c>
      <c r="AO1878">
        <v>25</v>
      </c>
      <c r="AP1878">
        <v>60</v>
      </c>
      <c r="AQ1878" t="s">
        <v>3016</v>
      </c>
      <c r="AR1878" s="15" t="s">
        <v>3005</v>
      </c>
      <c r="AS1878" s="14"/>
    </row>
    <row r="1879" spans="1:45" x14ac:dyDescent="0.2">
      <c r="A1879" t="s">
        <v>1375</v>
      </c>
      <c r="B1879" s="15" t="s">
        <v>1146</v>
      </c>
      <c r="C1879" s="15" t="s">
        <v>1149</v>
      </c>
      <c r="D1879" s="14" t="s">
        <v>755</v>
      </c>
      <c r="E1879" s="14" t="s">
        <v>1374</v>
      </c>
      <c r="G1879" s="15" t="s">
        <v>1165</v>
      </c>
      <c r="H1879" s="14" t="s">
        <v>1165</v>
      </c>
      <c r="I1879" s="14" t="s">
        <v>3026</v>
      </c>
      <c r="M1879" s="14" t="s">
        <v>1145</v>
      </c>
      <c r="Q1879" t="s">
        <v>1329</v>
      </c>
      <c r="T1879">
        <v>5</v>
      </c>
      <c r="U1879" s="14" t="s">
        <v>1268</v>
      </c>
      <c r="X1879" s="9" t="s">
        <v>3027</v>
      </c>
      <c r="Z1879">
        <v>12</v>
      </c>
      <c r="AA1879" t="s">
        <v>1159</v>
      </c>
      <c r="AB1879" s="20">
        <v>500</v>
      </c>
      <c r="AC1879">
        <v>3</v>
      </c>
      <c r="AD1879" s="14" t="s">
        <v>1165</v>
      </c>
      <c r="AF1879" t="s">
        <v>1165</v>
      </c>
      <c r="AJ1879" s="15" t="s">
        <v>1278</v>
      </c>
      <c r="AK1879" s="15">
        <v>1.46</v>
      </c>
      <c r="AL1879" t="s">
        <v>1321</v>
      </c>
      <c r="AM1879">
        <v>0.04</v>
      </c>
      <c r="AN1879">
        <v>4</v>
      </c>
      <c r="AO1879">
        <v>25</v>
      </c>
      <c r="AP1879">
        <v>60</v>
      </c>
      <c r="AQ1879" t="s">
        <v>3016</v>
      </c>
      <c r="AR1879" s="15" t="s">
        <v>3005</v>
      </c>
      <c r="AS1879" s="14"/>
    </row>
    <row r="1880" spans="1:45" x14ac:dyDescent="0.2">
      <c r="A1880" t="s">
        <v>1375</v>
      </c>
      <c r="B1880" s="15" t="s">
        <v>1146</v>
      </c>
      <c r="C1880" s="15" t="s">
        <v>1149</v>
      </c>
      <c r="D1880" s="14" t="s">
        <v>755</v>
      </c>
      <c r="E1880" s="14" t="s">
        <v>1374</v>
      </c>
      <c r="G1880" s="15" t="s">
        <v>1165</v>
      </c>
      <c r="H1880" s="14" t="s">
        <v>1165</v>
      </c>
      <c r="I1880" s="14" t="s">
        <v>3026</v>
      </c>
      <c r="M1880" s="14" t="s">
        <v>1145</v>
      </c>
      <c r="Q1880" t="s">
        <v>1329</v>
      </c>
      <c r="T1880">
        <v>5</v>
      </c>
      <c r="U1880" s="14" t="s">
        <v>1268</v>
      </c>
      <c r="X1880" s="9" t="s">
        <v>3027</v>
      </c>
      <c r="Z1880">
        <v>12</v>
      </c>
      <c r="AA1880" t="s">
        <v>1159</v>
      </c>
      <c r="AB1880" s="20">
        <v>0</v>
      </c>
      <c r="AC1880">
        <v>3</v>
      </c>
      <c r="AD1880" s="14" t="s">
        <v>1165</v>
      </c>
      <c r="AF1880" t="s">
        <v>1165</v>
      </c>
      <c r="AJ1880" s="15" t="s">
        <v>1148</v>
      </c>
      <c r="AK1880" s="15">
        <v>55</v>
      </c>
      <c r="AL1880" t="s">
        <v>1321</v>
      </c>
      <c r="AM1880">
        <v>0.03</v>
      </c>
      <c r="AN1880">
        <v>4</v>
      </c>
      <c r="AO1880">
        <v>25</v>
      </c>
      <c r="AP1880">
        <v>60</v>
      </c>
      <c r="AQ1880" t="s">
        <v>3016</v>
      </c>
      <c r="AR1880" s="15" t="s">
        <v>3005</v>
      </c>
      <c r="AS1880" s="14"/>
    </row>
    <row r="1881" spans="1:45" x14ac:dyDescent="0.2">
      <c r="A1881" t="s">
        <v>1375</v>
      </c>
      <c r="B1881" s="15" t="s">
        <v>1146</v>
      </c>
      <c r="C1881" s="15" t="s">
        <v>1149</v>
      </c>
      <c r="D1881" s="14" t="s">
        <v>755</v>
      </c>
      <c r="E1881" s="14" t="s">
        <v>1374</v>
      </c>
      <c r="G1881" s="15" t="s">
        <v>1165</v>
      </c>
      <c r="H1881" s="14" t="s">
        <v>1165</v>
      </c>
      <c r="I1881" s="14" t="s">
        <v>3026</v>
      </c>
      <c r="M1881" s="14" t="s">
        <v>1145</v>
      </c>
      <c r="Q1881" t="s">
        <v>1329</v>
      </c>
      <c r="T1881">
        <v>5</v>
      </c>
      <c r="U1881" s="14" t="s">
        <v>1268</v>
      </c>
      <c r="X1881" s="9" t="s">
        <v>3027</v>
      </c>
      <c r="Z1881">
        <v>12</v>
      </c>
      <c r="AA1881" t="s">
        <v>1159</v>
      </c>
      <c r="AB1881" s="20">
        <v>0</v>
      </c>
      <c r="AC1881">
        <v>3</v>
      </c>
      <c r="AD1881" s="14" t="s">
        <v>1165</v>
      </c>
      <c r="AF1881" t="s">
        <v>1165</v>
      </c>
      <c r="AJ1881" s="15" t="s">
        <v>1278</v>
      </c>
      <c r="AK1881" s="15">
        <v>0.81</v>
      </c>
      <c r="AL1881" t="s">
        <v>1321</v>
      </c>
      <c r="AM1881">
        <v>0.04</v>
      </c>
      <c r="AN1881">
        <v>4</v>
      </c>
      <c r="AO1881">
        <v>25</v>
      </c>
      <c r="AP1881">
        <v>60</v>
      </c>
      <c r="AQ1881" t="s">
        <v>3016</v>
      </c>
      <c r="AR1881" s="15" t="s">
        <v>3005</v>
      </c>
      <c r="AS1881" s="14"/>
    </row>
    <row r="1882" spans="1:45" x14ac:dyDescent="0.2">
      <c r="A1882" t="s">
        <v>1375</v>
      </c>
      <c r="B1882" s="15" t="s">
        <v>1146</v>
      </c>
      <c r="C1882" s="15" t="s">
        <v>1149</v>
      </c>
      <c r="D1882" s="14" t="s">
        <v>755</v>
      </c>
      <c r="E1882" s="14" t="s">
        <v>1374</v>
      </c>
      <c r="G1882" s="15" t="s">
        <v>1165</v>
      </c>
      <c r="H1882" s="14" t="s">
        <v>1165</v>
      </c>
      <c r="I1882" s="14" t="s">
        <v>3026</v>
      </c>
      <c r="M1882" s="14" t="s">
        <v>1145</v>
      </c>
      <c r="Q1882" t="s">
        <v>1329</v>
      </c>
      <c r="T1882">
        <v>5</v>
      </c>
      <c r="U1882" s="14" t="s">
        <v>100</v>
      </c>
      <c r="X1882" s="9" t="s">
        <v>3027</v>
      </c>
      <c r="Z1882">
        <v>12</v>
      </c>
      <c r="AB1882" s="20"/>
      <c r="AD1882" s="14" t="s">
        <v>153</v>
      </c>
      <c r="AE1882" t="s">
        <v>1214</v>
      </c>
      <c r="AF1882" t="s">
        <v>1165</v>
      </c>
      <c r="AG1882" t="s">
        <v>3029</v>
      </c>
      <c r="AH1882">
        <v>5</v>
      </c>
      <c r="AJ1882" s="15" t="s">
        <v>1148</v>
      </c>
      <c r="AK1882" s="15">
        <v>55</v>
      </c>
      <c r="AL1882" t="s">
        <v>1321</v>
      </c>
      <c r="AM1882">
        <v>0.02</v>
      </c>
      <c r="AN1882">
        <v>4</v>
      </c>
      <c r="AO1882">
        <v>25</v>
      </c>
      <c r="AP1882">
        <v>60</v>
      </c>
      <c r="AQ1882" t="s">
        <v>3016</v>
      </c>
      <c r="AR1882" s="15" t="s">
        <v>3005</v>
      </c>
      <c r="AS1882" s="14"/>
    </row>
    <row r="1883" spans="1:45" x14ac:dyDescent="0.2">
      <c r="A1883" t="s">
        <v>1375</v>
      </c>
      <c r="B1883" s="15" t="s">
        <v>1146</v>
      </c>
      <c r="C1883" s="15" t="s">
        <v>1149</v>
      </c>
      <c r="D1883" s="14" t="s">
        <v>755</v>
      </c>
      <c r="E1883" s="14" t="s">
        <v>1374</v>
      </c>
      <c r="G1883" s="15" t="s">
        <v>1165</v>
      </c>
      <c r="H1883" s="14" t="s">
        <v>1165</v>
      </c>
      <c r="I1883" s="14" t="s">
        <v>3026</v>
      </c>
      <c r="M1883" s="14" t="s">
        <v>1145</v>
      </c>
      <c r="Q1883" t="s">
        <v>1329</v>
      </c>
      <c r="T1883">
        <v>5</v>
      </c>
      <c r="U1883" s="14" t="s">
        <v>100</v>
      </c>
      <c r="X1883" s="9" t="s">
        <v>3027</v>
      </c>
      <c r="Z1883">
        <v>12</v>
      </c>
      <c r="AB1883" s="20"/>
      <c r="AD1883" s="14" t="s">
        <v>153</v>
      </c>
      <c r="AE1883" t="s">
        <v>1214</v>
      </c>
      <c r="AF1883" t="s">
        <v>1165</v>
      </c>
      <c r="AG1883" t="s">
        <v>3029</v>
      </c>
      <c r="AH1883">
        <v>5</v>
      </c>
      <c r="AJ1883" s="15" t="s">
        <v>1278</v>
      </c>
      <c r="AK1883" s="15">
        <v>0.83</v>
      </c>
      <c r="AL1883" t="s">
        <v>1321</v>
      </c>
      <c r="AM1883">
        <v>0.03</v>
      </c>
      <c r="AN1883">
        <v>4</v>
      </c>
      <c r="AO1883">
        <v>25</v>
      </c>
      <c r="AP1883">
        <v>60</v>
      </c>
      <c r="AQ1883" t="s">
        <v>3016</v>
      </c>
      <c r="AR1883" s="15" t="s">
        <v>3005</v>
      </c>
      <c r="AS1883" s="14"/>
    </row>
    <row r="1884" spans="1:45" x14ac:dyDescent="0.2">
      <c r="A1884" t="s">
        <v>1375</v>
      </c>
      <c r="B1884" s="15" t="s">
        <v>1146</v>
      </c>
      <c r="C1884" s="15" t="s">
        <v>1149</v>
      </c>
      <c r="D1884" s="14" t="s">
        <v>755</v>
      </c>
      <c r="E1884" s="14" t="s">
        <v>1374</v>
      </c>
      <c r="G1884" s="15" t="s">
        <v>1165</v>
      </c>
      <c r="H1884" s="14" t="s">
        <v>1165</v>
      </c>
      <c r="I1884" s="14" t="s">
        <v>3026</v>
      </c>
      <c r="M1884" s="14" t="s">
        <v>1145</v>
      </c>
      <c r="Q1884" t="s">
        <v>1329</v>
      </c>
      <c r="T1884">
        <v>5</v>
      </c>
      <c r="U1884" s="14" t="s">
        <v>100</v>
      </c>
      <c r="X1884" s="9" t="s">
        <v>3027</v>
      </c>
      <c r="Z1884">
        <v>12</v>
      </c>
      <c r="AB1884" s="20"/>
      <c r="AD1884" s="14" t="s">
        <v>153</v>
      </c>
      <c r="AE1884" t="s">
        <v>1214</v>
      </c>
      <c r="AF1884" t="s">
        <v>1165</v>
      </c>
      <c r="AG1884" t="s">
        <v>3029</v>
      </c>
      <c r="AH1884">
        <v>10</v>
      </c>
      <c r="AJ1884" s="15" t="s">
        <v>1148</v>
      </c>
      <c r="AK1884" s="15">
        <v>57</v>
      </c>
      <c r="AL1884" t="s">
        <v>1321</v>
      </c>
      <c r="AM1884">
        <v>0.02</v>
      </c>
      <c r="AN1884">
        <v>4</v>
      </c>
      <c r="AO1884">
        <v>25</v>
      </c>
      <c r="AP1884">
        <v>60</v>
      </c>
      <c r="AQ1884" t="s">
        <v>3016</v>
      </c>
      <c r="AR1884" s="15" t="s">
        <v>3005</v>
      </c>
      <c r="AS1884" s="14"/>
    </row>
    <row r="1885" spans="1:45" x14ac:dyDescent="0.2">
      <c r="A1885" t="s">
        <v>1375</v>
      </c>
      <c r="B1885" s="15" t="s">
        <v>1146</v>
      </c>
      <c r="C1885" s="15" t="s">
        <v>1149</v>
      </c>
      <c r="D1885" s="14" t="s">
        <v>755</v>
      </c>
      <c r="E1885" s="14" t="s">
        <v>1374</v>
      </c>
      <c r="G1885" s="15" t="s">
        <v>1165</v>
      </c>
      <c r="H1885" s="14" t="s">
        <v>1165</v>
      </c>
      <c r="I1885" s="14" t="s">
        <v>3026</v>
      </c>
      <c r="M1885" s="14" t="s">
        <v>1145</v>
      </c>
      <c r="Q1885" t="s">
        <v>1329</v>
      </c>
      <c r="T1885">
        <v>5</v>
      </c>
      <c r="U1885" s="14" t="s">
        <v>100</v>
      </c>
      <c r="X1885" s="9" t="s">
        <v>3027</v>
      </c>
      <c r="Z1885">
        <v>12</v>
      </c>
      <c r="AB1885" s="20"/>
      <c r="AD1885" s="14" t="s">
        <v>153</v>
      </c>
      <c r="AE1885" t="s">
        <v>1214</v>
      </c>
      <c r="AF1885" t="s">
        <v>1165</v>
      </c>
      <c r="AG1885" t="s">
        <v>3029</v>
      </c>
      <c r="AH1885">
        <v>10</v>
      </c>
      <c r="AJ1885" s="15" t="s">
        <v>1278</v>
      </c>
      <c r="AK1885" s="15">
        <v>0.9</v>
      </c>
      <c r="AL1885" t="s">
        <v>1321</v>
      </c>
      <c r="AM1885">
        <v>0.03</v>
      </c>
      <c r="AN1885">
        <v>4</v>
      </c>
      <c r="AO1885">
        <v>25</v>
      </c>
      <c r="AP1885">
        <v>60</v>
      </c>
      <c r="AQ1885" t="s">
        <v>3016</v>
      </c>
      <c r="AR1885" s="15" t="s">
        <v>3005</v>
      </c>
      <c r="AS1885" s="14"/>
    </row>
    <row r="1886" spans="1:45" x14ac:dyDescent="0.2">
      <c r="A1886" t="s">
        <v>1375</v>
      </c>
      <c r="B1886" s="15" t="s">
        <v>1146</v>
      </c>
      <c r="C1886" s="15" t="s">
        <v>1149</v>
      </c>
      <c r="D1886" s="14" t="s">
        <v>755</v>
      </c>
      <c r="E1886" s="14" t="s">
        <v>1374</v>
      </c>
      <c r="G1886" s="15" t="s">
        <v>1165</v>
      </c>
      <c r="H1886" s="14" t="s">
        <v>1165</v>
      </c>
      <c r="I1886" s="14" t="s">
        <v>3026</v>
      </c>
      <c r="M1886" s="14" t="s">
        <v>1145</v>
      </c>
      <c r="Q1886" t="s">
        <v>1329</v>
      </c>
      <c r="T1886">
        <v>5</v>
      </c>
      <c r="U1886" s="14" t="s">
        <v>100</v>
      </c>
      <c r="X1886" s="9" t="s">
        <v>3027</v>
      </c>
      <c r="Z1886">
        <v>12</v>
      </c>
      <c r="AB1886" s="20"/>
      <c r="AD1886" s="14" t="s">
        <v>153</v>
      </c>
      <c r="AE1886" t="s">
        <v>1214</v>
      </c>
      <c r="AF1886" t="s">
        <v>1165</v>
      </c>
      <c r="AG1886" t="s">
        <v>3030</v>
      </c>
      <c r="AH1886">
        <v>5</v>
      </c>
      <c r="AJ1886" s="15" t="s">
        <v>1148</v>
      </c>
      <c r="AK1886" s="15">
        <v>63</v>
      </c>
      <c r="AL1886" t="s">
        <v>1321</v>
      </c>
      <c r="AM1886">
        <v>0.02</v>
      </c>
      <c r="AN1886">
        <v>4</v>
      </c>
      <c r="AO1886">
        <v>25</v>
      </c>
      <c r="AP1886">
        <v>60</v>
      </c>
      <c r="AQ1886" t="s">
        <v>3016</v>
      </c>
      <c r="AR1886" s="15" t="s">
        <v>3005</v>
      </c>
      <c r="AS1886" s="14"/>
    </row>
    <row r="1887" spans="1:45" x14ac:dyDescent="0.2">
      <c r="A1887" t="s">
        <v>1375</v>
      </c>
      <c r="B1887" s="15" t="s">
        <v>1146</v>
      </c>
      <c r="C1887" s="15" t="s">
        <v>1149</v>
      </c>
      <c r="D1887" s="14" t="s">
        <v>755</v>
      </c>
      <c r="E1887" s="14" t="s">
        <v>1374</v>
      </c>
      <c r="G1887" s="15" t="s">
        <v>1165</v>
      </c>
      <c r="H1887" s="14" t="s">
        <v>1165</v>
      </c>
      <c r="I1887" s="14" t="s">
        <v>3026</v>
      </c>
      <c r="M1887" s="14" t="s">
        <v>1145</v>
      </c>
      <c r="Q1887" t="s">
        <v>1329</v>
      </c>
      <c r="T1887">
        <v>5</v>
      </c>
      <c r="U1887" s="14" t="s">
        <v>100</v>
      </c>
      <c r="X1887" s="9" t="s">
        <v>3027</v>
      </c>
      <c r="Z1887">
        <v>12</v>
      </c>
      <c r="AB1887" s="20"/>
      <c r="AD1887" s="14" t="s">
        <v>153</v>
      </c>
      <c r="AE1887" t="s">
        <v>1214</v>
      </c>
      <c r="AF1887" t="s">
        <v>1165</v>
      </c>
      <c r="AG1887" t="s">
        <v>3030</v>
      </c>
      <c r="AH1887">
        <v>5</v>
      </c>
      <c r="AJ1887" s="15" t="s">
        <v>1278</v>
      </c>
      <c r="AK1887" s="15">
        <v>1.0900000000000001</v>
      </c>
      <c r="AL1887" t="s">
        <v>1321</v>
      </c>
      <c r="AM1887">
        <v>0.03</v>
      </c>
      <c r="AN1887">
        <v>4</v>
      </c>
      <c r="AO1887">
        <v>25</v>
      </c>
      <c r="AP1887">
        <v>60</v>
      </c>
      <c r="AQ1887" t="s">
        <v>3016</v>
      </c>
      <c r="AR1887" s="15" t="s">
        <v>3005</v>
      </c>
      <c r="AS1887" s="14"/>
    </row>
    <row r="1888" spans="1:45" x14ac:dyDescent="0.2">
      <c r="A1888" t="s">
        <v>1375</v>
      </c>
      <c r="B1888" s="15" t="s">
        <v>1146</v>
      </c>
      <c r="C1888" s="15" t="s">
        <v>1149</v>
      </c>
      <c r="D1888" s="14" t="s">
        <v>755</v>
      </c>
      <c r="E1888" s="14" t="s">
        <v>1374</v>
      </c>
      <c r="G1888" s="15" t="s">
        <v>1165</v>
      </c>
      <c r="H1888" s="14" t="s">
        <v>1165</v>
      </c>
      <c r="I1888" s="14" t="s">
        <v>3026</v>
      </c>
      <c r="M1888" s="14" t="s">
        <v>1145</v>
      </c>
      <c r="Q1888" t="s">
        <v>1329</v>
      </c>
      <c r="T1888">
        <v>5</v>
      </c>
      <c r="U1888" s="14" t="s">
        <v>100</v>
      </c>
      <c r="X1888" s="9" t="s">
        <v>3027</v>
      </c>
      <c r="Z1888">
        <v>12</v>
      </c>
      <c r="AB1888" s="20"/>
      <c r="AD1888" s="14" t="s">
        <v>153</v>
      </c>
      <c r="AE1888" t="s">
        <v>1214</v>
      </c>
      <c r="AF1888" t="s">
        <v>1165</v>
      </c>
      <c r="AG1888" t="s">
        <v>3030</v>
      </c>
      <c r="AH1888">
        <v>10</v>
      </c>
      <c r="AJ1888" s="15" t="s">
        <v>1148</v>
      </c>
      <c r="AK1888" s="15">
        <v>52</v>
      </c>
      <c r="AL1888" t="s">
        <v>1321</v>
      </c>
      <c r="AM1888">
        <v>0.02</v>
      </c>
      <c r="AN1888">
        <v>4</v>
      </c>
      <c r="AO1888">
        <v>25</v>
      </c>
      <c r="AP1888">
        <v>60</v>
      </c>
      <c r="AQ1888" t="s">
        <v>3016</v>
      </c>
      <c r="AR1888" s="15" t="s">
        <v>3005</v>
      </c>
      <c r="AS1888" s="14"/>
    </row>
    <row r="1889" spans="1:45" x14ac:dyDescent="0.2">
      <c r="A1889" t="s">
        <v>1375</v>
      </c>
      <c r="B1889" s="15" t="s">
        <v>1146</v>
      </c>
      <c r="C1889" s="15" t="s">
        <v>1149</v>
      </c>
      <c r="D1889" s="14" t="s">
        <v>755</v>
      </c>
      <c r="E1889" s="14" t="s">
        <v>1374</v>
      </c>
      <c r="G1889" s="15" t="s">
        <v>1165</v>
      </c>
      <c r="H1889" s="14" t="s">
        <v>1165</v>
      </c>
      <c r="I1889" s="14" t="s">
        <v>3026</v>
      </c>
      <c r="M1889" s="14" t="s">
        <v>1145</v>
      </c>
      <c r="Q1889" t="s">
        <v>1329</v>
      </c>
      <c r="T1889">
        <v>5</v>
      </c>
      <c r="U1889" s="14" t="s">
        <v>100</v>
      </c>
      <c r="X1889" s="9" t="s">
        <v>3027</v>
      </c>
      <c r="Z1889">
        <v>12</v>
      </c>
      <c r="AB1889" s="20"/>
      <c r="AD1889" s="14" t="s">
        <v>153</v>
      </c>
      <c r="AE1889" t="s">
        <v>1214</v>
      </c>
      <c r="AF1889" t="s">
        <v>1165</v>
      </c>
      <c r="AG1889" t="s">
        <v>3030</v>
      </c>
      <c r="AH1889">
        <v>10</v>
      </c>
      <c r="AJ1889" s="15" t="s">
        <v>1278</v>
      </c>
      <c r="AK1889" s="15">
        <v>0.81</v>
      </c>
      <c r="AL1889" t="s">
        <v>1321</v>
      </c>
      <c r="AM1889">
        <v>0.03</v>
      </c>
      <c r="AN1889">
        <v>4</v>
      </c>
      <c r="AO1889">
        <v>25</v>
      </c>
      <c r="AP1889">
        <v>60</v>
      </c>
      <c r="AQ1889" t="s">
        <v>3016</v>
      </c>
      <c r="AR1889" s="15" t="s">
        <v>3005</v>
      </c>
      <c r="AS1889" s="14"/>
    </row>
    <row r="1890" spans="1:45" x14ac:dyDescent="0.2">
      <c r="A1890" t="s">
        <v>1375</v>
      </c>
      <c r="B1890" s="15" t="s">
        <v>1146</v>
      </c>
      <c r="C1890" s="15" t="s">
        <v>1149</v>
      </c>
      <c r="D1890" s="14" t="s">
        <v>755</v>
      </c>
      <c r="E1890" s="14" t="s">
        <v>1374</v>
      </c>
      <c r="G1890" s="15" t="s">
        <v>1165</v>
      </c>
      <c r="H1890" s="14" t="s">
        <v>1165</v>
      </c>
      <c r="I1890" s="14" t="s">
        <v>3026</v>
      </c>
      <c r="M1890" s="14" t="s">
        <v>1145</v>
      </c>
      <c r="Q1890" t="s">
        <v>1329</v>
      </c>
      <c r="T1890">
        <v>5</v>
      </c>
      <c r="U1890" s="14" t="s">
        <v>100</v>
      </c>
      <c r="X1890" s="9" t="s">
        <v>3027</v>
      </c>
      <c r="Z1890">
        <v>12</v>
      </c>
      <c r="AB1890" s="20"/>
      <c r="AD1890" s="14" t="s">
        <v>153</v>
      </c>
      <c r="AE1890" t="s">
        <v>1214</v>
      </c>
      <c r="AF1890" t="s">
        <v>1165</v>
      </c>
      <c r="AG1890" t="s">
        <v>3031</v>
      </c>
      <c r="AH1890">
        <v>5</v>
      </c>
      <c r="AJ1890" s="15" t="s">
        <v>1148</v>
      </c>
      <c r="AK1890" s="15">
        <v>54</v>
      </c>
      <c r="AL1890" t="s">
        <v>1321</v>
      </c>
      <c r="AM1890">
        <v>0.02</v>
      </c>
      <c r="AN1890">
        <v>4</v>
      </c>
      <c r="AO1890">
        <v>25</v>
      </c>
      <c r="AP1890">
        <v>60</v>
      </c>
      <c r="AQ1890" t="s">
        <v>3016</v>
      </c>
      <c r="AR1890" s="15" t="s">
        <v>3005</v>
      </c>
      <c r="AS1890" s="14"/>
    </row>
    <row r="1891" spans="1:45" x14ac:dyDescent="0.2">
      <c r="A1891" t="s">
        <v>1375</v>
      </c>
      <c r="B1891" s="15" t="s">
        <v>1146</v>
      </c>
      <c r="C1891" s="15" t="s">
        <v>1149</v>
      </c>
      <c r="D1891" s="14" t="s">
        <v>755</v>
      </c>
      <c r="E1891" s="14" t="s">
        <v>1374</v>
      </c>
      <c r="G1891" s="15" t="s">
        <v>1165</v>
      </c>
      <c r="H1891" s="14" t="s">
        <v>1165</v>
      </c>
      <c r="I1891" s="14" t="s">
        <v>3026</v>
      </c>
      <c r="M1891" s="14" t="s">
        <v>1145</v>
      </c>
      <c r="Q1891" t="s">
        <v>1329</v>
      </c>
      <c r="T1891">
        <v>5</v>
      </c>
      <c r="U1891" s="14" t="s">
        <v>100</v>
      </c>
      <c r="X1891" s="9" t="s">
        <v>3027</v>
      </c>
      <c r="Z1891">
        <v>12</v>
      </c>
      <c r="AB1891" s="20"/>
      <c r="AD1891" s="14" t="s">
        <v>153</v>
      </c>
      <c r="AE1891" t="s">
        <v>1214</v>
      </c>
      <c r="AF1891" t="s">
        <v>1165</v>
      </c>
      <c r="AG1891" t="s">
        <v>3031</v>
      </c>
      <c r="AH1891">
        <v>5</v>
      </c>
      <c r="AJ1891" s="15" t="s">
        <v>1278</v>
      </c>
      <c r="AK1891" s="15">
        <v>0.83</v>
      </c>
      <c r="AL1891" t="s">
        <v>1321</v>
      </c>
      <c r="AM1891">
        <v>0.03</v>
      </c>
      <c r="AN1891">
        <v>4</v>
      </c>
      <c r="AO1891">
        <v>25</v>
      </c>
      <c r="AP1891">
        <v>60</v>
      </c>
      <c r="AQ1891" t="s">
        <v>3016</v>
      </c>
      <c r="AR1891" s="15" t="s">
        <v>3005</v>
      </c>
      <c r="AS1891" s="14"/>
    </row>
    <row r="1892" spans="1:45" x14ac:dyDescent="0.2">
      <c r="A1892" t="s">
        <v>1375</v>
      </c>
      <c r="B1892" s="15" t="s">
        <v>1146</v>
      </c>
      <c r="C1892" s="15" t="s">
        <v>1149</v>
      </c>
      <c r="D1892" s="14" t="s">
        <v>755</v>
      </c>
      <c r="E1892" s="14" t="s">
        <v>1374</v>
      </c>
      <c r="G1892" s="15" t="s">
        <v>1165</v>
      </c>
      <c r="H1892" s="14" t="s">
        <v>1165</v>
      </c>
      <c r="I1892" s="14" t="s">
        <v>3026</v>
      </c>
      <c r="M1892" s="14" t="s">
        <v>1145</v>
      </c>
      <c r="Q1892" t="s">
        <v>1329</v>
      </c>
      <c r="T1892">
        <v>5</v>
      </c>
      <c r="U1892" s="14" t="s">
        <v>100</v>
      </c>
      <c r="X1892" s="9" t="s">
        <v>3027</v>
      </c>
      <c r="Z1892">
        <v>12</v>
      </c>
      <c r="AB1892" s="20"/>
      <c r="AD1892" s="14" t="s">
        <v>153</v>
      </c>
      <c r="AE1892" t="s">
        <v>1214</v>
      </c>
      <c r="AF1892" t="s">
        <v>1165</v>
      </c>
      <c r="AG1892" t="s">
        <v>3031</v>
      </c>
      <c r="AH1892">
        <v>10</v>
      </c>
      <c r="AJ1892" s="15" t="s">
        <v>1148</v>
      </c>
      <c r="AK1892" s="15">
        <v>41</v>
      </c>
      <c r="AL1892" t="s">
        <v>1321</v>
      </c>
      <c r="AM1892">
        <v>0.02</v>
      </c>
      <c r="AN1892">
        <v>4</v>
      </c>
      <c r="AO1892">
        <v>25</v>
      </c>
      <c r="AP1892">
        <v>60</v>
      </c>
      <c r="AQ1892" t="s">
        <v>3016</v>
      </c>
      <c r="AR1892" s="15" t="s">
        <v>3005</v>
      </c>
      <c r="AS1892" s="14"/>
    </row>
    <row r="1893" spans="1:45" x14ac:dyDescent="0.2">
      <c r="A1893" t="s">
        <v>1375</v>
      </c>
      <c r="B1893" s="15" t="s">
        <v>1146</v>
      </c>
      <c r="C1893" s="15" t="s">
        <v>1149</v>
      </c>
      <c r="D1893" s="14" t="s">
        <v>755</v>
      </c>
      <c r="E1893" s="14" t="s">
        <v>1374</v>
      </c>
      <c r="G1893" s="15" t="s">
        <v>1165</v>
      </c>
      <c r="H1893" s="14" t="s">
        <v>1165</v>
      </c>
      <c r="I1893" s="14" t="s">
        <v>3026</v>
      </c>
      <c r="M1893" s="14" t="s">
        <v>1145</v>
      </c>
      <c r="Q1893" t="s">
        <v>1329</v>
      </c>
      <c r="T1893">
        <v>5</v>
      </c>
      <c r="U1893" s="14" t="s">
        <v>100</v>
      </c>
      <c r="X1893" s="9" t="s">
        <v>3027</v>
      </c>
      <c r="Z1893">
        <v>12</v>
      </c>
      <c r="AB1893" s="20"/>
      <c r="AD1893" s="14" t="s">
        <v>153</v>
      </c>
      <c r="AE1893" t="s">
        <v>1214</v>
      </c>
      <c r="AF1893" t="s">
        <v>1165</v>
      </c>
      <c r="AG1893" t="s">
        <v>3031</v>
      </c>
      <c r="AH1893">
        <v>10</v>
      </c>
      <c r="AJ1893" s="15" t="s">
        <v>1278</v>
      </c>
      <c r="AK1893" s="15">
        <v>0.68</v>
      </c>
      <c r="AL1893" t="s">
        <v>1321</v>
      </c>
      <c r="AM1893">
        <v>0.03</v>
      </c>
      <c r="AN1893">
        <v>4</v>
      </c>
      <c r="AO1893">
        <v>25</v>
      </c>
      <c r="AP1893">
        <v>60</v>
      </c>
      <c r="AQ1893" t="s">
        <v>3016</v>
      </c>
      <c r="AR1893" s="15" t="s">
        <v>3005</v>
      </c>
      <c r="AS1893" s="14"/>
    </row>
    <row r="1894" spans="1:45" x14ac:dyDescent="0.2">
      <c r="A1894" t="s">
        <v>1378</v>
      </c>
      <c r="B1894" s="15" t="s">
        <v>1146</v>
      </c>
      <c r="C1894" s="15" t="s">
        <v>1149</v>
      </c>
      <c r="D1894" s="14" t="s">
        <v>475</v>
      </c>
      <c r="E1894" s="14" t="s">
        <v>3032</v>
      </c>
      <c r="G1894" s="15" t="s">
        <v>1165</v>
      </c>
      <c r="H1894" s="14" t="s">
        <v>1165</v>
      </c>
      <c r="I1894" s="14" t="s">
        <v>3033</v>
      </c>
      <c r="M1894" s="14" t="s">
        <v>3034</v>
      </c>
      <c r="O1894">
        <v>2004</v>
      </c>
      <c r="Q1894" t="s">
        <v>1329</v>
      </c>
      <c r="R1894">
        <v>14</v>
      </c>
      <c r="T1894" t="s">
        <v>3035</v>
      </c>
      <c r="U1894" s="14" t="s">
        <v>1246</v>
      </c>
      <c r="V1894" s="9" t="s">
        <v>3036</v>
      </c>
      <c r="W1894">
        <v>0</v>
      </c>
      <c r="X1894" s="9" t="s">
        <v>3037</v>
      </c>
      <c r="Z1894" s="5"/>
      <c r="AD1894" s="14" t="s">
        <v>1165</v>
      </c>
      <c r="AF1894" t="s">
        <v>1165</v>
      </c>
      <c r="AI1894" t="s">
        <v>1165</v>
      </c>
      <c r="AJ1894" s="15" t="s">
        <v>1148</v>
      </c>
      <c r="AK1894" s="15">
        <v>0</v>
      </c>
      <c r="AL1894" t="s">
        <v>1263</v>
      </c>
      <c r="AM1894">
        <v>0</v>
      </c>
      <c r="AP1894">
        <v>28</v>
      </c>
      <c r="AR1894" s="15" t="s">
        <v>1155</v>
      </c>
    </row>
    <row r="1895" spans="1:45" x14ac:dyDescent="0.2">
      <c r="A1895" t="s">
        <v>1378</v>
      </c>
      <c r="B1895" s="15" t="s">
        <v>1146</v>
      </c>
      <c r="C1895" s="15" t="s">
        <v>1149</v>
      </c>
      <c r="D1895" s="14" t="s">
        <v>475</v>
      </c>
      <c r="E1895" s="14" t="s">
        <v>3032</v>
      </c>
      <c r="G1895" s="15" t="s">
        <v>1165</v>
      </c>
      <c r="H1895" s="14" t="s">
        <v>1165</v>
      </c>
      <c r="I1895" s="14" t="s">
        <v>3033</v>
      </c>
      <c r="M1895" s="14" t="s">
        <v>3034</v>
      </c>
      <c r="O1895">
        <v>2004</v>
      </c>
      <c r="Q1895" t="s">
        <v>1329</v>
      </c>
      <c r="R1895">
        <v>14</v>
      </c>
      <c r="T1895" t="s">
        <v>3035</v>
      </c>
      <c r="U1895" s="14" t="s">
        <v>1246</v>
      </c>
      <c r="V1895" s="9" t="s">
        <v>3036</v>
      </c>
      <c r="W1895">
        <v>0</v>
      </c>
      <c r="X1895" s="9" t="s">
        <v>3037</v>
      </c>
      <c r="Z1895" s="5"/>
      <c r="AD1895" s="14" t="s">
        <v>1165</v>
      </c>
      <c r="AF1895" t="s">
        <v>1165</v>
      </c>
      <c r="AI1895" t="s">
        <v>1165</v>
      </c>
      <c r="AJ1895" s="15" t="s">
        <v>1148</v>
      </c>
      <c r="AK1895" s="15">
        <v>0</v>
      </c>
      <c r="AL1895" t="s">
        <v>1263</v>
      </c>
      <c r="AM1895">
        <v>0</v>
      </c>
      <c r="AP1895">
        <v>56</v>
      </c>
      <c r="AR1895" s="15" t="s">
        <v>1155</v>
      </c>
    </row>
    <row r="1896" spans="1:45" x14ac:dyDescent="0.2">
      <c r="A1896" t="s">
        <v>1378</v>
      </c>
      <c r="B1896" s="15" t="s">
        <v>1146</v>
      </c>
      <c r="C1896" s="15" t="s">
        <v>1149</v>
      </c>
      <c r="D1896" s="14" t="s">
        <v>475</v>
      </c>
      <c r="E1896" s="14" t="s">
        <v>3032</v>
      </c>
      <c r="G1896" s="15" t="s">
        <v>1165</v>
      </c>
      <c r="H1896" s="14" t="s">
        <v>1165</v>
      </c>
      <c r="I1896" s="14" t="s">
        <v>3033</v>
      </c>
      <c r="M1896" s="14" t="s">
        <v>3034</v>
      </c>
      <c r="O1896">
        <v>2004</v>
      </c>
      <c r="Q1896" t="s">
        <v>1329</v>
      </c>
      <c r="R1896">
        <v>14</v>
      </c>
      <c r="T1896" t="s">
        <v>3035</v>
      </c>
      <c r="U1896" s="14" t="s">
        <v>1246</v>
      </c>
      <c r="V1896" s="9" t="s">
        <v>3036</v>
      </c>
      <c r="W1896">
        <v>15</v>
      </c>
      <c r="X1896" s="9" t="s">
        <v>3037</v>
      </c>
      <c r="Z1896" s="5"/>
      <c r="AD1896" s="14" t="s">
        <v>1165</v>
      </c>
      <c r="AF1896" t="s">
        <v>1165</v>
      </c>
      <c r="AI1896" t="s">
        <v>1165</v>
      </c>
      <c r="AJ1896" s="15" t="s">
        <v>1148</v>
      </c>
      <c r="AK1896" s="15">
        <v>0</v>
      </c>
      <c r="AL1896" t="s">
        <v>1263</v>
      </c>
      <c r="AM1896">
        <v>0</v>
      </c>
      <c r="AP1896">
        <v>28</v>
      </c>
      <c r="AR1896" s="15" t="s">
        <v>1155</v>
      </c>
    </row>
    <row r="1897" spans="1:45" x14ac:dyDescent="0.2">
      <c r="A1897" t="s">
        <v>1378</v>
      </c>
      <c r="B1897" s="15" t="s">
        <v>1146</v>
      </c>
      <c r="C1897" s="15" t="s">
        <v>1149</v>
      </c>
      <c r="D1897" s="14" t="s">
        <v>475</v>
      </c>
      <c r="E1897" s="14" t="s">
        <v>3032</v>
      </c>
      <c r="G1897" s="15" t="s">
        <v>1165</v>
      </c>
      <c r="H1897" s="14" t="s">
        <v>1165</v>
      </c>
      <c r="I1897" s="14" t="s">
        <v>3033</v>
      </c>
      <c r="M1897" s="14" t="s">
        <v>3034</v>
      </c>
      <c r="O1897">
        <v>2004</v>
      </c>
      <c r="Q1897" t="s">
        <v>1329</v>
      </c>
      <c r="R1897">
        <v>14</v>
      </c>
      <c r="T1897" t="s">
        <v>3035</v>
      </c>
      <c r="U1897" s="14" t="s">
        <v>1246</v>
      </c>
      <c r="V1897" s="9" t="s">
        <v>3036</v>
      </c>
      <c r="W1897">
        <v>15</v>
      </c>
      <c r="X1897" s="9" t="s">
        <v>3037</v>
      </c>
      <c r="Z1897" s="5"/>
      <c r="AD1897" s="14" t="s">
        <v>1165</v>
      </c>
      <c r="AF1897" t="s">
        <v>1165</v>
      </c>
      <c r="AI1897" t="s">
        <v>1165</v>
      </c>
      <c r="AJ1897" s="15" t="s">
        <v>1148</v>
      </c>
      <c r="AK1897" s="15">
        <v>23.332999999999998</v>
      </c>
      <c r="AL1897" t="s">
        <v>1263</v>
      </c>
      <c r="AM1897">
        <f>26.042-23.333</f>
        <v>2.7090000000000032</v>
      </c>
      <c r="AP1897">
        <v>56</v>
      </c>
      <c r="AR1897" s="15" t="s">
        <v>1155</v>
      </c>
    </row>
    <row r="1898" spans="1:45" x14ac:dyDescent="0.2">
      <c r="A1898" t="s">
        <v>1378</v>
      </c>
      <c r="B1898" s="15" t="s">
        <v>1146</v>
      </c>
      <c r="C1898" s="15" t="s">
        <v>1149</v>
      </c>
      <c r="D1898" s="14" t="s">
        <v>475</v>
      </c>
      <c r="E1898" s="14" t="s">
        <v>3032</v>
      </c>
      <c r="G1898" s="15" t="s">
        <v>1165</v>
      </c>
      <c r="H1898" s="14" t="s">
        <v>1165</v>
      </c>
      <c r="I1898" s="14" t="s">
        <v>3033</v>
      </c>
      <c r="M1898" s="14" t="s">
        <v>3034</v>
      </c>
      <c r="O1898">
        <v>2004</v>
      </c>
      <c r="Q1898" t="s">
        <v>1329</v>
      </c>
      <c r="R1898">
        <v>14</v>
      </c>
      <c r="T1898" t="s">
        <v>3035</v>
      </c>
      <c r="U1898" s="14" t="s">
        <v>1246</v>
      </c>
      <c r="V1898" s="9" t="s">
        <v>3036</v>
      </c>
      <c r="W1898">
        <v>30</v>
      </c>
      <c r="X1898" s="9" t="s">
        <v>3037</v>
      </c>
      <c r="Z1898" s="5"/>
      <c r="AD1898" s="14" t="s">
        <v>1165</v>
      </c>
      <c r="AF1898" t="s">
        <v>1165</v>
      </c>
      <c r="AI1898" t="s">
        <v>1165</v>
      </c>
      <c r="AJ1898" s="15" t="s">
        <v>1148</v>
      </c>
      <c r="AK1898" s="15">
        <v>0</v>
      </c>
      <c r="AL1898" t="s">
        <v>1263</v>
      </c>
      <c r="AM1898">
        <v>0</v>
      </c>
      <c r="AP1898">
        <v>28</v>
      </c>
      <c r="AR1898" s="15" t="s">
        <v>1155</v>
      </c>
    </row>
    <row r="1899" spans="1:45" x14ac:dyDescent="0.2">
      <c r="A1899" t="s">
        <v>1378</v>
      </c>
      <c r="B1899" s="15" t="s">
        <v>1146</v>
      </c>
      <c r="C1899" s="15" t="s">
        <v>1149</v>
      </c>
      <c r="D1899" s="14" t="s">
        <v>475</v>
      </c>
      <c r="E1899" s="14" t="s">
        <v>3032</v>
      </c>
      <c r="G1899" s="15" t="s">
        <v>1165</v>
      </c>
      <c r="H1899" s="14" t="s">
        <v>1165</v>
      </c>
      <c r="I1899" s="14" t="s">
        <v>3033</v>
      </c>
      <c r="M1899" s="14" t="s">
        <v>3034</v>
      </c>
      <c r="O1899">
        <v>2004</v>
      </c>
      <c r="Q1899" t="s">
        <v>1329</v>
      </c>
      <c r="R1899">
        <v>14</v>
      </c>
      <c r="T1899" t="s">
        <v>3035</v>
      </c>
      <c r="U1899" s="14" t="s">
        <v>1246</v>
      </c>
      <c r="V1899" s="9" t="s">
        <v>3036</v>
      </c>
      <c r="W1899">
        <v>30</v>
      </c>
      <c r="X1899" s="9" t="s">
        <v>3037</v>
      </c>
      <c r="Z1899" s="5"/>
      <c r="AD1899" s="14" t="s">
        <v>1165</v>
      </c>
      <c r="AF1899" t="s">
        <v>1165</v>
      </c>
      <c r="AI1899" t="s">
        <v>1165</v>
      </c>
      <c r="AJ1899" s="15" t="s">
        <v>1148</v>
      </c>
      <c r="AK1899" s="15">
        <v>26.25</v>
      </c>
      <c r="AL1899" t="s">
        <v>1263</v>
      </c>
      <c r="AM1899">
        <f>32.431-26.25</f>
        <v>6.1809999999999974</v>
      </c>
      <c r="AP1899">
        <v>56</v>
      </c>
      <c r="AR1899" s="15" t="s">
        <v>1155</v>
      </c>
    </row>
    <row r="1900" spans="1:45" x14ac:dyDescent="0.2">
      <c r="A1900" t="s">
        <v>1378</v>
      </c>
      <c r="B1900" s="15" t="s">
        <v>1146</v>
      </c>
      <c r="C1900" s="15" t="s">
        <v>1149</v>
      </c>
      <c r="D1900" s="14" t="s">
        <v>475</v>
      </c>
      <c r="E1900" s="14" t="s">
        <v>3032</v>
      </c>
      <c r="G1900" s="15" t="s">
        <v>1165</v>
      </c>
      <c r="H1900" s="14" t="s">
        <v>1165</v>
      </c>
      <c r="I1900" s="14" t="s">
        <v>3033</v>
      </c>
      <c r="M1900" s="14" t="s">
        <v>3034</v>
      </c>
      <c r="O1900">
        <v>2004</v>
      </c>
      <c r="Q1900" t="s">
        <v>1329</v>
      </c>
      <c r="R1900">
        <v>14</v>
      </c>
      <c r="T1900" t="s">
        <v>3035</v>
      </c>
      <c r="U1900" s="14" t="s">
        <v>1246</v>
      </c>
      <c r="V1900" s="9" t="s">
        <v>3036</v>
      </c>
      <c r="W1900">
        <v>60</v>
      </c>
      <c r="X1900" s="9" t="s">
        <v>3037</v>
      </c>
      <c r="Z1900" s="5"/>
      <c r="AD1900" s="14" t="s">
        <v>1165</v>
      </c>
      <c r="AF1900" t="s">
        <v>1165</v>
      </c>
      <c r="AI1900" t="s">
        <v>1165</v>
      </c>
      <c r="AJ1900" s="15" t="s">
        <v>1148</v>
      </c>
      <c r="AK1900" s="15">
        <v>0</v>
      </c>
      <c r="AL1900" t="s">
        <v>1263</v>
      </c>
      <c r="AM1900">
        <v>0</v>
      </c>
      <c r="AP1900">
        <v>28</v>
      </c>
      <c r="AR1900" s="15" t="s">
        <v>1155</v>
      </c>
    </row>
    <row r="1901" spans="1:45" x14ac:dyDescent="0.2">
      <c r="A1901" t="s">
        <v>1378</v>
      </c>
      <c r="B1901" s="15" t="s">
        <v>1146</v>
      </c>
      <c r="C1901" s="15" t="s">
        <v>1149</v>
      </c>
      <c r="D1901" s="14" t="s">
        <v>475</v>
      </c>
      <c r="E1901" s="14" t="s">
        <v>3032</v>
      </c>
      <c r="G1901" s="15" t="s">
        <v>1165</v>
      </c>
      <c r="H1901" s="14" t="s">
        <v>1165</v>
      </c>
      <c r="I1901" s="14" t="s">
        <v>3033</v>
      </c>
      <c r="M1901" s="14" t="s">
        <v>3034</v>
      </c>
      <c r="O1901">
        <v>2004</v>
      </c>
      <c r="Q1901" t="s">
        <v>1329</v>
      </c>
      <c r="R1901">
        <v>14</v>
      </c>
      <c r="T1901" t="s">
        <v>3035</v>
      </c>
      <c r="U1901" s="14" t="s">
        <v>1246</v>
      </c>
      <c r="V1901" s="9" t="s">
        <v>3036</v>
      </c>
      <c r="W1901">
        <v>60</v>
      </c>
      <c r="X1901" s="9" t="s">
        <v>3037</v>
      </c>
      <c r="Z1901" s="5"/>
      <c r="AD1901" s="14" t="s">
        <v>1165</v>
      </c>
      <c r="AF1901" t="s">
        <v>1165</v>
      </c>
      <c r="AI1901" t="s">
        <v>1165</v>
      </c>
      <c r="AJ1901" s="15" t="s">
        <v>1148</v>
      </c>
      <c r="AK1901" s="15">
        <v>24.097000000000001</v>
      </c>
      <c r="AL1901" t="s">
        <v>1263</v>
      </c>
      <c r="AM1901">
        <f>30.208-24.097</f>
        <v>6.1109999999999971</v>
      </c>
      <c r="AP1901">
        <v>56</v>
      </c>
      <c r="AR1901" s="15" t="s">
        <v>1155</v>
      </c>
    </row>
    <row r="1902" spans="1:45" x14ac:dyDescent="0.2">
      <c r="A1902" t="s">
        <v>1378</v>
      </c>
      <c r="B1902" s="15" t="s">
        <v>1146</v>
      </c>
      <c r="C1902" s="15" t="s">
        <v>1149</v>
      </c>
      <c r="D1902" s="14" t="s">
        <v>475</v>
      </c>
      <c r="E1902" s="14" t="s">
        <v>3032</v>
      </c>
      <c r="G1902" s="15" t="s">
        <v>1165</v>
      </c>
      <c r="H1902" s="14" t="s">
        <v>1165</v>
      </c>
      <c r="I1902" s="14" t="s">
        <v>3033</v>
      </c>
      <c r="M1902" s="14" t="s">
        <v>3034</v>
      </c>
      <c r="O1902">
        <v>2004</v>
      </c>
      <c r="Q1902" t="s">
        <v>1329</v>
      </c>
      <c r="R1902">
        <v>14</v>
      </c>
      <c r="T1902" t="s">
        <v>3035</v>
      </c>
      <c r="U1902" s="14" t="s">
        <v>1246</v>
      </c>
      <c r="V1902" s="9" t="s">
        <v>3036</v>
      </c>
      <c r="W1902">
        <v>90</v>
      </c>
      <c r="X1902" s="9" t="s">
        <v>3037</v>
      </c>
      <c r="Z1902" s="5"/>
      <c r="AD1902" s="14" t="s">
        <v>1165</v>
      </c>
      <c r="AF1902" t="s">
        <v>1165</v>
      </c>
      <c r="AI1902" t="s">
        <v>1165</v>
      </c>
      <c r="AJ1902" s="15" t="s">
        <v>1148</v>
      </c>
      <c r="AK1902" s="15">
        <v>10.208</v>
      </c>
      <c r="AL1902" t="s">
        <v>1263</v>
      </c>
      <c r="AM1902">
        <f>14.375-10.208</f>
        <v>4.1669999999999998</v>
      </c>
      <c r="AP1902">
        <v>28</v>
      </c>
      <c r="AR1902" s="15" t="s">
        <v>1155</v>
      </c>
    </row>
    <row r="1903" spans="1:45" x14ac:dyDescent="0.2">
      <c r="A1903" t="s">
        <v>1378</v>
      </c>
      <c r="B1903" s="15" t="s">
        <v>1146</v>
      </c>
      <c r="C1903" s="15" t="s">
        <v>1149</v>
      </c>
      <c r="D1903" s="14" t="s">
        <v>475</v>
      </c>
      <c r="E1903" s="14" t="s">
        <v>3032</v>
      </c>
      <c r="G1903" s="15" t="s">
        <v>1165</v>
      </c>
      <c r="H1903" s="14" t="s">
        <v>1165</v>
      </c>
      <c r="I1903" s="14" t="s">
        <v>3033</v>
      </c>
      <c r="M1903" s="14" t="s">
        <v>3034</v>
      </c>
      <c r="O1903">
        <v>2004</v>
      </c>
      <c r="Q1903" t="s">
        <v>1329</v>
      </c>
      <c r="R1903">
        <v>14</v>
      </c>
      <c r="T1903" t="s">
        <v>3035</v>
      </c>
      <c r="U1903" s="14" t="s">
        <v>1246</v>
      </c>
      <c r="V1903" s="9" t="s">
        <v>3036</v>
      </c>
      <c r="W1903">
        <v>90</v>
      </c>
      <c r="X1903" s="9" t="s">
        <v>3037</v>
      </c>
      <c r="Z1903" s="5"/>
      <c r="AD1903" s="14" t="s">
        <v>1165</v>
      </c>
      <c r="AF1903" t="s">
        <v>1165</v>
      </c>
      <c r="AI1903" t="s">
        <v>1165</v>
      </c>
      <c r="AJ1903" s="15" t="s">
        <v>1148</v>
      </c>
      <c r="AK1903" s="15">
        <v>81.319000000000003</v>
      </c>
      <c r="AL1903" t="s">
        <v>1263</v>
      </c>
      <c r="AM1903">
        <f>82.986-81.319</f>
        <v>1.6670000000000016</v>
      </c>
      <c r="AP1903">
        <v>56</v>
      </c>
      <c r="AR1903" s="15" t="s">
        <v>1155</v>
      </c>
    </row>
    <row r="1904" spans="1:45" x14ac:dyDescent="0.2">
      <c r="A1904" t="s">
        <v>1378</v>
      </c>
      <c r="B1904" s="15" t="s">
        <v>1146</v>
      </c>
      <c r="C1904" s="15" t="s">
        <v>1149</v>
      </c>
      <c r="D1904" s="14" t="s">
        <v>475</v>
      </c>
      <c r="E1904" s="14" t="s">
        <v>3032</v>
      </c>
      <c r="G1904" s="15" t="s">
        <v>1165</v>
      </c>
      <c r="H1904" s="14" t="s">
        <v>1165</v>
      </c>
      <c r="I1904" s="14" t="s">
        <v>3033</v>
      </c>
      <c r="M1904" s="14" t="s">
        <v>3034</v>
      </c>
      <c r="O1904">
        <v>2004</v>
      </c>
      <c r="Q1904" t="s">
        <v>1329</v>
      </c>
      <c r="R1904">
        <v>14</v>
      </c>
      <c r="T1904" t="s">
        <v>3035</v>
      </c>
      <c r="U1904" s="14" t="s">
        <v>1246</v>
      </c>
      <c r="V1904" s="9" t="s">
        <v>3036</v>
      </c>
      <c r="W1904">
        <v>120</v>
      </c>
      <c r="X1904" s="9" t="s">
        <v>3037</v>
      </c>
      <c r="Z1904" s="5"/>
      <c r="AD1904" s="14" t="s">
        <v>1165</v>
      </c>
      <c r="AF1904" t="s">
        <v>1165</v>
      </c>
      <c r="AI1904" t="s">
        <v>1165</v>
      </c>
      <c r="AJ1904" s="15" t="s">
        <v>1148</v>
      </c>
      <c r="AK1904" s="15">
        <v>66.042000000000002</v>
      </c>
      <c r="AL1904" t="s">
        <v>1263</v>
      </c>
      <c r="AM1904">
        <f>69.931-66.042</f>
        <v>3.8889999999999958</v>
      </c>
      <c r="AP1904">
        <v>28</v>
      </c>
      <c r="AR1904" s="15" t="s">
        <v>1155</v>
      </c>
    </row>
    <row r="1905" spans="1:44" x14ac:dyDescent="0.2">
      <c r="A1905" t="s">
        <v>1378</v>
      </c>
      <c r="B1905" s="15" t="s">
        <v>1146</v>
      </c>
      <c r="C1905" s="15" t="s">
        <v>1149</v>
      </c>
      <c r="D1905" s="14" t="s">
        <v>475</v>
      </c>
      <c r="E1905" s="14" t="s">
        <v>3032</v>
      </c>
      <c r="G1905" s="15" t="s">
        <v>1165</v>
      </c>
      <c r="H1905" s="14" t="s">
        <v>1165</v>
      </c>
      <c r="I1905" s="14" t="s">
        <v>3033</v>
      </c>
      <c r="M1905" s="14" t="s">
        <v>3034</v>
      </c>
      <c r="O1905">
        <v>2004</v>
      </c>
      <c r="Q1905" t="s">
        <v>1329</v>
      </c>
      <c r="R1905">
        <v>14</v>
      </c>
      <c r="T1905" t="s">
        <v>3035</v>
      </c>
      <c r="U1905" s="14" t="s">
        <v>1246</v>
      </c>
      <c r="V1905" s="9" t="s">
        <v>3036</v>
      </c>
      <c r="W1905">
        <v>120</v>
      </c>
      <c r="X1905" s="9" t="s">
        <v>3037</v>
      </c>
      <c r="Z1905" s="5"/>
      <c r="AD1905" s="14" t="s">
        <v>1165</v>
      </c>
      <c r="AF1905" t="s">
        <v>1165</v>
      </c>
      <c r="AI1905" t="s">
        <v>1165</v>
      </c>
      <c r="AJ1905" s="15" t="s">
        <v>1148</v>
      </c>
      <c r="AK1905" s="15">
        <v>77.986000000000004</v>
      </c>
      <c r="AL1905" t="s">
        <v>1263</v>
      </c>
      <c r="AM1905">
        <f>81.875-77.986</f>
        <v>3.8889999999999958</v>
      </c>
      <c r="AP1905">
        <v>56</v>
      </c>
      <c r="AR1905" s="15" t="s">
        <v>1155</v>
      </c>
    </row>
    <row r="1906" spans="1:44" x14ac:dyDescent="0.2">
      <c r="A1906" t="s">
        <v>1378</v>
      </c>
      <c r="B1906" s="15" t="s">
        <v>1146</v>
      </c>
      <c r="C1906" s="15" t="s">
        <v>1149</v>
      </c>
      <c r="D1906" s="14" t="s">
        <v>475</v>
      </c>
      <c r="E1906" s="14" t="s">
        <v>3032</v>
      </c>
      <c r="G1906" s="15" t="s">
        <v>1165</v>
      </c>
      <c r="H1906" s="14" t="s">
        <v>1165</v>
      </c>
      <c r="I1906" s="14" t="s">
        <v>3033</v>
      </c>
      <c r="M1906" s="14" t="s">
        <v>3034</v>
      </c>
      <c r="O1906">
        <v>2004</v>
      </c>
      <c r="Q1906" t="s">
        <v>1329</v>
      </c>
      <c r="R1906">
        <v>14</v>
      </c>
      <c r="T1906" t="s">
        <v>3035</v>
      </c>
      <c r="U1906" s="14" t="s">
        <v>1246</v>
      </c>
      <c r="V1906" s="9" t="s">
        <v>3036</v>
      </c>
      <c r="W1906">
        <v>150</v>
      </c>
      <c r="X1906" s="9" t="s">
        <v>3037</v>
      </c>
      <c r="Z1906" s="5"/>
      <c r="AD1906" s="14" t="s">
        <v>1165</v>
      </c>
      <c r="AF1906" t="s">
        <v>1165</v>
      </c>
      <c r="AI1906" t="s">
        <v>1165</v>
      </c>
      <c r="AJ1906" s="15" t="s">
        <v>1148</v>
      </c>
      <c r="AK1906" s="15">
        <v>56.25</v>
      </c>
      <c r="AL1906" t="s">
        <v>1263</v>
      </c>
      <c r="AM1906">
        <f>63.264-56.25</f>
        <v>7.0140000000000029</v>
      </c>
      <c r="AP1906">
        <v>28</v>
      </c>
      <c r="AR1906" s="15" t="s">
        <v>1155</v>
      </c>
    </row>
    <row r="1907" spans="1:44" x14ac:dyDescent="0.2">
      <c r="A1907" t="s">
        <v>1378</v>
      </c>
      <c r="B1907" s="15" t="s">
        <v>1146</v>
      </c>
      <c r="C1907" s="15" t="s">
        <v>1149</v>
      </c>
      <c r="D1907" s="14" t="s">
        <v>475</v>
      </c>
      <c r="E1907" s="14" t="s">
        <v>3032</v>
      </c>
      <c r="G1907" s="15" t="s">
        <v>1165</v>
      </c>
      <c r="H1907" s="14" t="s">
        <v>1165</v>
      </c>
      <c r="I1907" s="14" t="s">
        <v>3033</v>
      </c>
      <c r="M1907" s="14" t="s">
        <v>3034</v>
      </c>
      <c r="O1907">
        <v>2004</v>
      </c>
      <c r="Q1907" t="s">
        <v>1329</v>
      </c>
      <c r="R1907">
        <v>14</v>
      </c>
      <c r="T1907" t="s">
        <v>3035</v>
      </c>
      <c r="U1907" s="14" t="s">
        <v>1246</v>
      </c>
      <c r="V1907" s="9" t="s">
        <v>3036</v>
      </c>
      <c r="W1907">
        <v>150</v>
      </c>
      <c r="X1907" s="9" t="s">
        <v>3037</v>
      </c>
      <c r="Z1907" s="5"/>
      <c r="AD1907" s="14" t="s">
        <v>1165</v>
      </c>
      <c r="AF1907" t="s">
        <v>1165</v>
      </c>
      <c r="AI1907" t="s">
        <v>1165</v>
      </c>
      <c r="AJ1907" s="15" t="s">
        <v>1148</v>
      </c>
      <c r="AK1907" s="15">
        <v>94.653000000000006</v>
      </c>
      <c r="AL1907" t="s">
        <v>1263</v>
      </c>
      <c r="AM1907">
        <f>96.875-94.653</f>
        <v>2.2219999999999942</v>
      </c>
      <c r="AP1907">
        <v>56</v>
      </c>
      <c r="AR1907" s="15" t="s">
        <v>1155</v>
      </c>
    </row>
    <row r="1908" spans="1:44" x14ac:dyDescent="0.2">
      <c r="A1908" t="s">
        <v>1378</v>
      </c>
      <c r="B1908" s="15" t="s">
        <v>1146</v>
      </c>
      <c r="C1908" s="15" t="s">
        <v>1149</v>
      </c>
      <c r="D1908" s="14" t="s">
        <v>475</v>
      </c>
      <c r="E1908" s="14" t="s">
        <v>3032</v>
      </c>
      <c r="G1908" s="15" t="s">
        <v>1165</v>
      </c>
      <c r="H1908" s="14" t="s">
        <v>1165</v>
      </c>
      <c r="I1908" s="14" t="s">
        <v>3033</v>
      </c>
      <c r="M1908" s="14" t="s">
        <v>3034</v>
      </c>
      <c r="O1908">
        <v>2004</v>
      </c>
      <c r="Q1908" t="s">
        <v>1329</v>
      </c>
      <c r="R1908">
        <v>14</v>
      </c>
      <c r="T1908" t="s">
        <v>3035</v>
      </c>
      <c r="U1908" s="14" t="s">
        <v>1246</v>
      </c>
      <c r="V1908" s="9" t="s">
        <v>3036</v>
      </c>
      <c r="W1908">
        <v>180</v>
      </c>
      <c r="X1908" s="9" t="s">
        <v>3037</v>
      </c>
      <c r="Z1908" s="5"/>
      <c r="AD1908" s="14" t="s">
        <v>1165</v>
      </c>
      <c r="AF1908" t="s">
        <v>1165</v>
      </c>
      <c r="AI1908" t="s">
        <v>1165</v>
      </c>
      <c r="AJ1908" s="15" t="s">
        <v>1148</v>
      </c>
      <c r="AK1908" s="15">
        <v>72.917000000000002</v>
      </c>
      <c r="AL1908" t="s">
        <v>1263</v>
      </c>
      <c r="AM1908">
        <f>76.875-72.917</f>
        <v>3.9579999999999984</v>
      </c>
      <c r="AP1908">
        <v>28</v>
      </c>
      <c r="AR1908" s="15" t="s">
        <v>1155</v>
      </c>
    </row>
    <row r="1909" spans="1:44" x14ac:dyDescent="0.2">
      <c r="A1909" t="s">
        <v>1378</v>
      </c>
      <c r="B1909" s="15" t="s">
        <v>1146</v>
      </c>
      <c r="C1909" s="15" t="s">
        <v>1149</v>
      </c>
      <c r="D1909" s="14" t="s">
        <v>475</v>
      </c>
      <c r="E1909" s="14" t="s">
        <v>3032</v>
      </c>
      <c r="G1909" s="15" t="s">
        <v>1165</v>
      </c>
      <c r="H1909" s="14" t="s">
        <v>1165</v>
      </c>
      <c r="I1909" s="14" t="s">
        <v>3033</v>
      </c>
      <c r="M1909" s="14" t="s">
        <v>3034</v>
      </c>
      <c r="O1909">
        <v>2004</v>
      </c>
      <c r="Q1909" t="s">
        <v>1329</v>
      </c>
      <c r="R1909">
        <v>14</v>
      </c>
      <c r="T1909" t="s">
        <v>3035</v>
      </c>
      <c r="U1909" s="14" t="s">
        <v>1246</v>
      </c>
      <c r="V1909" s="9" t="s">
        <v>3036</v>
      </c>
      <c r="W1909">
        <v>180</v>
      </c>
      <c r="X1909" s="9" t="s">
        <v>3037</v>
      </c>
      <c r="Z1909" s="5"/>
      <c r="AD1909" s="14" t="s">
        <v>1165</v>
      </c>
      <c r="AF1909" t="s">
        <v>1165</v>
      </c>
      <c r="AI1909" t="s">
        <v>1165</v>
      </c>
      <c r="AJ1909" s="15" t="s">
        <v>1148</v>
      </c>
      <c r="AK1909" s="15">
        <v>87.153000000000006</v>
      </c>
      <c r="AL1909" t="s">
        <v>1263</v>
      </c>
      <c r="AM1909">
        <v>88.542000000000002</v>
      </c>
      <c r="AP1909">
        <v>56</v>
      </c>
      <c r="AR1909" s="15" t="s">
        <v>1155</v>
      </c>
    </row>
    <row r="1910" spans="1:44" x14ac:dyDescent="0.2">
      <c r="A1910" t="s">
        <v>1378</v>
      </c>
      <c r="B1910" s="15" t="s">
        <v>1146</v>
      </c>
      <c r="C1910" s="15" t="s">
        <v>1149</v>
      </c>
      <c r="D1910" s="14" t="s">
        <v>475</v>
      </c>
      <c r="E1910" s="14" t="s">
        <v>3032</v>
      </c>
      <c r="G1910" s="15" t="s">
        <v>1165</v>
      </c>
      <c r="H1910" s="14" t="s">
        <v>1165</v>
      </c>
      <c r="I1910" s="14" t="s">
        <v>3033</v>
      </c>
      <c r="M1910" s="14" t="s">
        <v>3034</v>
      </c>
      <c r="O1910">
        <v>2004</v>
      </c>
      <c r="Q1910" t="s">
        <v>1329</v>
      </c>
      <c r="R1910">
        <v>14</v>
      </c>
      <c r="T1910" t="s">
        <v>3035</v>
      </c>
      <c r="U1910" s="14" t="s">
        <v>1246</v>
      </c>
      <c r="V1910" s="9" t="s">
        <v>3036</v>
      </c>
      <c r="W1910">
        <v>0</v>
      </c>
      <c r="X1910" s="9" t="s">
        <v>3038</v>
      </c>
      <c r="Z1910" s="5"/>
      <c r="AD1910" s="14" t="s">
        <v>1165</v>
      </c>
      <c r="AF1910" t="s">
        <v>1165</v>
      </c>
      <c r="AI1910" t="s">
        <v>1165</v>
      </c>
      <c r="AJ1910" s="15" t="s">
        <v>1148</v>
      </c>
      <c r="AK1910" s="15">
        <v>68.403000000000006</v>
      </c>
      <c r="AL1910" t="s">
        <v>1263</v>
      </c>
      <c r="AM1910">
        <f>70.903-68.403</f>
        <v>2.5</v>
      </c>
      <c r="AP1910">
        <v>28</v>
      </c>
      <c r="AR1910" s="15" t="s">
        <v>1155</v>
      </c>
    </row>
    <row r="1911" spans="1:44" x14ac:dyDescent="0.2">
      <c r="A1911" t="s">
        <v>1378</v>
      </c>
      <c r="B1911" s="15" t="s">
        <v>1146</v>
      </c>
      <c r="C1911" s="15" t="s">
        <v>1149</v>
      </c>
      <c r="D1911" s="14" t="s">
        <v>475</v>
      </c>
      <c r="E1911" s="14" t="s">
        <v>3032</v>
      </c>
      <c r="G1911" s="15" t="s">
        <v>1165</v>
      </c>
      <c r="H1911" s="14" t="s">
        <v>1165</v>
      </c>
      <c r="I1911" s="14" t="s">
        <v>3033</v>
      </c>
      <c r="M1911" s="14" t="s">
        <v>3034</v>
      </c>
      <c r="O1911">
        <v>2004</v>
      </c>
      <c r="Q1911" t="s">
        <v>1329</v>
      </c>
      <c r="R1911">
        <v>14</v>
      </c>
      <c r="T1911" t="s">
        <v>3035</v>
      </c>
      <c r="U1911" s="14" t="s">
        <v>1246</v>
      </c>
      <c r="V1911" s="9" t="s">
        <v>3036</v>
      </c>
      <c r="W1911">
        <v>0</v>
      </c>
      <c r="X1911" s="9" t="s">
        <v>3038</v>
      </c>
      <c r="Z1911" s="5"/>
      <c r="AD1911" s="14" t="s">
        <v>1165</v>
      </c>
      <c r="AF1911" t="s">
        <v>1165</v>
      </c>
      <c r="AI1911" t="s">
        <v>1165</v>
      </c>
      <c r="AJ1911" s="15" t="s">
        <v>1148</v>
      </c>
      <c r="AK1911" s="15">
        <v>87.846999999999994</v>
      </c>
      <c r="AL1911" t="s">
        <v>1263</v>
      </c>
      <c r="AM1911">
        <f>89.236-87.847</f>
        <v>1.38900000000001</v>
      </c>
      <c r="AP1911">
        <v>56</v>
      </c>
      <c r="AR1911" s="15" t="s">
        <v>1155</v>
      </c>
    </row>
    <row r="1912" spans="1:44" x14ac:dyDescent="0.2">
      <c r="A1912" t="s">
        <v>1378</v>
      </c>
      <c r="B1912" s="15" t="s">
        <v>1146</v>
      </c>
      <c r="C1912" s="15" t="s">
        <v>1149</v>
      </c>
      <c r="D1912" s="14" t="s">
        <v>475</v>
      </c>
      <c r="E1912" s="14" t="s">
        <v>3032</v>
      </c>
      <c r="G1912" s="15" t="s">
        <v>1165</v>
      </c>
      <c r="H1912" s="14" t="s">
        <v>1165</v>
      </c>
      <c r="I1912" s="14" t="s">
        <v>3033</v>
      </c>
      <c r="M1912" s="14" t="s">
        <v>3034</v>
      </c>
      <c r="O1912">
        <v>2004</v>
      </c>
      <c r="Q1912" t="s">
        <v>1329</v>
      </c>
      <c r="R1912">
        <v>14</v>
      </c>
      <c r="T1912" t="s">
        <v>3035</v>
      </c>
      <c r="U1912" s="14" t="s">
        <v>1246</v>
      </c>
      <c r="V1912" s="9" t="s">
        <v>3036</v>
      </c>
      <c r="W1912">
        <v>15</v>
      </c>
      <c r="X1912" s="9" t="s">
        <v>3038</v>
      </c>
      <c r="Z1912" s="5"/>
      <c r="AD1912" s="14" t="s">
        <v>1165</v>
      </c>
      <c r="AF1912" t="s">
        <v>1165</v>
      </c>
      <c r="AI1912" t="s">
        <v>1165</v>
      </c>
      <c r="AJ1912" s="15" t="s">
        <v>1148</v>
      </c>
      <c r="AK1912" s="15">
        <v>82.013999999999996</v>
      </c>
      <c r="AL1912" t="s">
        <v>1263</v>
      </c>
      <c r="AM1912">
        <f>84.514-82.014</f>
        <v>2.5</v>
      </c>
      <c r="AP1912">
        <v>28</v>
      </c>
      <c r="AR1912" s="15" t="s">
        <v>1155</v>
      </c>
    </row>
    <row r="1913" spans="1:44" x14ac:dyDescent="0.2">
      <c r="A1913" t="s">
        <v>1378</v>
      </c>
      <c r="B1913" s="15" t="s">
        <v>1146</v>
      </c>
      <c r="C1913" s="15" t="s">
        <v>1149</v>
      </c>
      <c r="D1913" s="14" t="s">
        <v>475</v>
      </c>
      <c r="E1913" s="14" t="s">
        <v>3032</v>
      </c>
      <c r="G1913" s="15" t="s">
        <v>1165</v>
      </c>
      <c r="H1913" s="14" t="s">
        <v>1165</v>
      </c>
      <c r="I1913" s="14" t="s">
        <v>3033</v>
      </c>
      <c r="M1913" s="14" t="s">
        <v>3034</v>
      </c>
      <c r="O1913">
        <v>2004</v>
      </c>
      <c r="Q1913" t="s">
        <v>1329</v>
      </c>
      <c r="R1913">
        <v>14</v>
      </c>
      <c r="T1913" t="s">
        <v>3035</v>
      </c>
      <c r="U1913" s="14" t="s">
        <v>1246</v>
      </c>
      <c r="V1913" s="9" t="s">
        <v>3036</v>
      </c>
      <c r="W1913">
        <v>15</v>
      </c>
      <c r="X1913" s="9" t="s">
        <v>3038</v>
      </c>
      <c r="Z1913" s="5"/>
      <c r="AD1913" s="14" t="s">
        <v>1165</v>
      </c>
      <c r="AF1913" t="s">
        <v>1165</v>
      </c>
      <c r="AI1913" t="s">
        <v>1165</v>
      </c>
      <c r="AJ1913" s="15" t="s">
        <v>1148</v>
      </c>
      <c r="AK1913" s="15">
        <v>88.403000000000006</v>
      </c>
      <c r="AL1913" t="s">
        <v>1263</v>
      </c>
      <c r="AM1913">
        <f>90.625-88.403</f>
        <v>2.2219999999999942</v>
      </c>
      <c r="AP1913">
        <v>56</v>
      </c>
      <c r="AR1913" s="15" t="s">
        <v>1155</v>
      </c>
    </row>
    <row r="1914" spans="1:44" x14ac:dyDescent="0.2">
      <c r="A1914" t="s">
        <v>1378</v>
      </c>
      <c r="B1914" s="15" t="s">
        <v>1146</v>
      </c>
      <c r="C1914" s="15" t="s">
        <v>1149</v>
      </c>
      <c r="D1914" s="14" t="s">
        <v>475</v>
      </c>
      <c r="E1914" s="14" t="s">
        <v>3032</v>
      </c>
      <c r="G1914" s="15" t="s">
        <v>1165</v>
      </c>
      <c r="H1914" s="14" t="s">
        <v>1165</v>
      </c>
      <c r="I1914" s="14" t="s">
        <v>3033</v>
      </c>
      <c r="M1914" s="14" t="s">
        <v>3034</v>
      </c>
      <c r="O1914">
        <v>2004</v>
      </c>
      <c r="Q1914" t="s">
        <v>1329</v>
      </c>
      <c r="R1914">
        <v>14</v>
      </c>
      <c r="T1914" t="s">
        <v>3035</v>
      </c>
      <c r="U1914" s="14" t="s">
        <v>1246</v>
      </c>
      <c r="V1914" s="9" t="s">
        <v>3036</v>
      </c>
      <c r="W1914">
        <v>30</v>
      </c>
      <c r="X1914" s="9" t="s">
        <v>3038</v>
      </c>
      <c r="Z1914" s="5"/>
      <c r="AD1914" s="14" t="s">
        <v>1165</v>
      </c>
      <c r="AF1914" t="s">
        <v>1165</v>
      </c>
      <c r="AI1914" t="s">
        <v>1165</v>
      </c>
      <c r="AJ1914" s="15" t="s">
        <v>1148</v>
      </c>
      <c r="AK1914" s="15">
        <v>80.903000000000006</v>
      </c>
      <c r="AL1914" t="s">
        <v>1263</v>
      </c>
      <c r="AM1914">
        <f>87.5-80.903</f>
        <v>6.5969999999999942</v>
      </c>
      <c r="AP1914">
        <v>28</v>
      </c>
      <c r="AR1914" s="15" t="s">
        <v>1155</v>
      </c>
    </row>
    <row r="1915" spans="1:44" x14ac:dyDescent="0.2">
      <c r="A1915" t="s">
        <v>1378</v>
      </c>
      <c r="B1915" s="15" t="s">
        <v>1146</v>
      </c>
      <c r="C1915" s="15" t="s">
        <v>1149</v>
      </c>
      <c r="D1915" s="14" t="s">
        <v>475</v>
      </c>
      <c r="E1915" s="14" t="s">
        <v>3032</v>
      </c>
      <c r="G1915" s="15" t="s">
        <v>1165</v>
      </c>
      <c r="H1915" s="14" t="s">
        <v>1165</v>
      </c>
      <c r="I1915" s="14" t="s">
        <v>3033</v>
      </c>
      <c r="M1915" s="14" t="s">
        <v>3034</v>
      </c>
      <c r="O1915">
        <v>2004</v>
      </c>
      <c r="Q1915" t="s">
        <v>1329</v>
      </c>
      <c r="R1915">
        <v>14</v>
      </c>
      <c r="T1915" t="s">
        <v>3035</v>
      </c>
      <c r="U1915" s="14" t="s">
        <v>1246</v>
      </c>
      <c r="V1915" s="9" t="s">
        <v>3036</v>
      </c>
      <c r="W1915">
        <v>30</v>
      </c>
      <c r="X1915" s="9" t="s">
        <v>3038</v>
      </c>
      <c r="Z1915" s="5"/>
      <c r="AD1915" s="14" t="s">
        <v>1165</v>
      </c>
      <c r="AF1915" t="s">
        <v>1165</v>
      </c>
      <c r="AI1915" t="s">
        <v>1165</v>
      </c>
      <c r="AJ1915" s="15" t="s">
        <v>1148</v>
      </c>
      <c r="AK1915" s="15">
        <v>83.125</v>
      </c>
      <c r="AL1915" t="s">
        <v>1263</v>
      </c>
      <c r="AM1915">
        <f>90.625-83.125</f>
        <v>7.5</v>
      </c>
      <c r="AP1915">
        <v>56</v>
      </c>
      <c r="AR1915" s="15" t="s">
        <v>1155</v>
      </c>
    </row>
    <row r="1916" spans="1:44" x14ac:dyDescent="0.2">
      <c r="A1916" t="s">
        <v>1378</v>
      </c>
      <c r="B1916" s="15" t="s">
        <v>1146</v>
      </c>
      <c r="C1916" s="15" t="s">
        <v>1149</v>
      </c>
      <c r="D1916" s="14" t="s">
        <v>475</v>
      </c>
      <c r="E1916" s="14" t="s">
        <v>3032</v>
      </c>
      <c r="G1916" s="15" t="s">
        <v>1165</v>
      </c>
      <c r="H1916" s="14" t="s">
        <v>1165</v>
      </c>
      <c r="I1916" s="14" t="s">
        <v>3033</v>
      </c>
      <c r="M1916" s="14" t="s">
        <v>3034</v>
      </c>
      <c r="O1916">
        <v>2004</v>
      </c>
      <c r="Q1916" t="s">
        <v>1329</v>
      </c>
      <c r="R1916">
        <v>14</v>
      </c>
      <c r="T1916" t="s">
        <v>3035</v>
      </c>
      <c r="U1916" s="14" t="s">
        <v>1246</v>
      </c>
      <c r="V1916" s="9" t="s">
        <v>3036</v>
      </c>
      <c r="W1916">
        <v>60</v>
      </c>
      <c r="X1916" s="9" t="s">
        <v>3038</v>
      </c>
      <c r="Z1916" s="5"/>
      <c r="AD1916" s="14" t="s">
        <v>1165</v>
      </c>
      <c r="AF1916" t="s">
        <v>1165</v>
      </c>
      <c r="AI1916" t="s">
        <v>1165</v>
      </c>
      <c r="AJ1916" s="15" t="s">
        <v>1148</v>
      </c>
      <c r="AK1916" s="15">
        <v>82.846999999999994</v>
      </c>
      <c r="AL1916" t="s">
        <v>1263</v>
      </c>
      <c r="AM1916">
        <f>85.903-82.847</f>
        <v>3.0560000000000116</v>
      </c>
      <c r="AP1916">
        <v>28</v>
      </c>
      <c r="AR1916" s="15" t="s">
        <v>1155</v>
      </c>
    </row>
    <row r="1917" spans="1:44" x14ac:dyDescent="0.2">
      <c r="A1917" t="s">
        <v>1378</v>
      </c>
      <c r="B1917" s="15" t="s">
        <v>1146</v>
      </c>
      <c r="C1917" s="15" t="s">
        <v>1149</v>
      </c>
      <c r="D1917" s="14" t="s">
        <v>475</v>
      </c>
      <c r="E1917" s="14" t="s">
        <v>3032</v>
      </c>
      <c r="G1917" s="15" t="s">
        <v>1165</v>
      </c>
      <c r="H1917" s="14" t="s">
        <v>1165</v>
      </c>
      <c r="I1917" s="14" t="s">
        <v>3033</v>
      </c>
      <c r="M1917" s="14" t="s">
        <v>3034</v>
      </c>
      <c r="O1917">
        <v>2004</v>
      </c>
      <c r="Q1917" t="s">
        <v>1329</v>
      </c>
      <c r="R1917">
        <v>14</v>
      </c>
      <c r="T1917" t="s">
        <v>3035</v>
      </c>
      <c r="U1917" s="14" t="s">
        <v>1246</v>
      </c>
      <c r="V1917" s="9" t="s">
        <v>3036</v>
      </c>
      <c r="W1917">
        <v>60</v>
      </c>
      <c r="X1917" s="9" t="s">
        <v>3038</v>
      </c>
      <c r="Z1917" s="5"/>
      <c r="AD1917" s="14" t="s">
        <v>1165</v>
      </c>
      <c r="AF1917" t="s">
        <v>1165</v>
      </c>
      <c r="AI1917" t="s">
        <v>1165</v>
      </c>
      <c r="AJ1917" s="15" t="s">
        <v>1148</v>
      </c>
      <c r="AK1917" s="15">
        <v>87.082999999999998</v>
      </c>
      <c r="AL1917" t="s">
        <v>1263</v>
      </c>
      <c r="AM1917">
        <f>92.014-87.083</f>
        <v>4.9309999999999974</v>
      </c>
      <c r="AP1917">
        <v>56</v>
      </c>
      <c r="AR1917" s="15" t="s">
        <v>1155</v>
      </c>
    </row>
    <row r="1918" spans="1:44" x14ac:dyDescent="0.2">
      <c r="A1918" t="s">
        <v>1378</v>
      </c>
      <c r="B1918" s="15" t="s">
        <v>1146</v>
      </c>
      <c r="C1918" s="15" t="s">
        <v>1149</v>
      </c>
      <c r="D1918" s="14" t="s">
        <v>475</v>
      </c>
      <c r="E1918" s="14" t="s">
        <v>3032</v>
      </c>
      <c r="G1918" s="15" t="s">
        <v>1165</v>
      </c>
      <c r="H1918" s="14" t="s">
        <v>1165</v>
      </c>
      <c r="I1918" s="14" t="s">
        <v>3033</v>
      </c>
      <c r="M1918" s="14" t="s">
        <v>3034</v>
      </c>
      <c r="O1918">
        <v>2004</v>
      </c>
      <c r="Q1918" t="s">
        <v>1329</v>
      </c>
      <c r="R1918">
        <v>14</v>
      </c>
      <c r="T1918" t="s">
        <v>3035</v>
      </c>
      <c r="U1918" s="14" t="s">
        <v>1246</v>
      </c>
      <c r="V1918" s="9" t="s">
        <v>3036</v>
      </c>
      <c r="W1918">
        <v>90</v>
      </c>
      <c r="X1918" s="9" t="s">
        <v>3038</v>
      </c>
      <c r="Z1918" s="5"/>
      <c r="AD1918" s="14" t="s">
        <v>1165</v>
      </c>
      <c r="AF1918" t="s">
        <v>1165</v>
      </c>
      <c r="AI1918" t="s">
        <v>1165</v>
      </c>
      <c r="AJ1918" s="15" t="s">
        <v>1148</v>
      </c>
      <c r="AK1918" s="15">
        <v>88.75</v>
      </c>
      <c r="AL1918" t="s">
        <v>1263</v>
      </c>
      <c r="AM1918">
        <f>93.125-88.75</f>
        <v>4.375</v>
      </c>
      <c r="AP1918">
        <v>28</v>
      </c>
      <c r="AR1918" s="15" t="s">
        <v>1155</v>
      </c>
    </row>
    <row r="1919" spans="1:44" x14ac:dyDescent="0.2">
      <c r="A1919" t="s">
        <v>1378</v>
      </c>
      <c r="B1919" s="15" t="s">
        <v>1146</v>
      </c>
      <c r="C1919" s="15" t="s">
        <v>1149</v>
      </c>
      <c r="D1919" s="14" t="s">
        <v>475</v>
      </c>
      <c r="E1919" s="14" t="s">
        <v>3032</v>
      </c>
      <c r="G1919" s="15" t="s">
        <v>1165</v>
      </c>
      <c r="H1919" s="14" t="s">
        <v>1165</v>
      </c>
      <c r="I1919" s="14" t="s">
        <v>3033</v>
      </c>
      <c r="M1919" s="14" t="s">
        <v>3034</v>
      </c>
      <c r="O1919">
        <v>2004</v>
      </c>
      <c r="Q1919" t="s">
        <v>1329</v>
      </c>
      <c r="R1919">
        <v>14</v>
      </c>
      <c r="T1919" t="s">
        <v>3035</v>
      </c>
      <c r="U1919" s="14" t="s">
        <v>1246</v>
      </c>
      <c r="V1919" s="9" t="s">
        <v>3036</v>
      </c>
      <c r="W1919">
        <v>90</v>
      </c>
      <c r="X1919" s="9" t="s">
        <v>3038</v>
      </c>
      <c r="Z1919" s="5"/>
      <c r="AD1919" s="14" t="s">
        <v>1165</v>
      </c>
      <c r="AF1919" t="s">
        <v>1165</v>
      </c>
      <c r="AI1919" t="s">
        <v>1165</v>
      </c>
      <c r="AJ1919" s="15" t="s">
        <v>1148</v>
      </c>
      <c r="AK1919" s="15">
        <v>90.069000000000003</v>
      </c>
      <c r="AL1919" t="s">
        <v>1263</v>
      </c>
      <c r="AM1919">
        <f>93.681-90.069</f>
        <v>3.6119999999999948</v>
      </c>
      <c r="AP1919">
        <v>56</v>
      </c>
      <c r="AR1919" s="15" t="s">
        <v>1155</v>
      </c>
    </row>
    <row r="1920" spans="1:44" x14ac:dyDescent="0.2">
      <c r="A1920" t="s">
        <v>1378</v>
      </c>
      <c r="B1920" s="15" t="s">
        <v>1146</v>
      </c>
      <c r="C1920" s="15" t="s">
        <v>1149</v>
      </c>
      <c r="D1920" s="14" t="s">
        <v>475</v>
      </c>
      <c r="E1920" s="14" t="s">
        <v>3032</v>
      </c>
      <c r="G1920" s="15" t="s">
        <v>1165</v>
      </c>
      <c r="H1920" s="14" t="s">
        <v>1165</v>
      </c>
      <c r="I1920" s="14" t="s">
        <v>3033</v>
      </c>
      <c r="M1920" s="14" t="s">
        <v>3034</v>
      </c>
      <c r="O1920">
        <v>2004</v>
      </c>
      <c r="Q1920" t="s">
        <v>1329</v>
      </c>
      <c r="R1920">
        <v>14</v>
      </c>
      <c r="T1920" t="s">
        <v>3035</v>
      </c>
      <c r="U1920" s="14" t="s">
        <v>1246</v>
      </c>
      <c r="V1920" s="9" t="s">
        <v>3036</v>
      </c>
      <c r="W1920">
        <v>120</v>
      </c>
      <c r="X1920" s="9" t="s">
        <v>3038</v>
      </c>
      <c r="Z1920" s="5"/>
      <c r="AD1920" s="14" t="s">
        <v>1165</v>
      </c>
      <c r="AF1920" t="s">
        <v>1165</v>
      </c>
      <c r="AI1920" t="s">
        <v>1165</v>
      </c>
      <c r="AJ1920" s="15" t="s">
        <v>1148</v>
      </c>
      <c r="AK1920" s="15">
        <v>81.25</v>
      </c>
      <c r="AL1920" t="s">
        <v>1263</v>
      </c>
      <c r="AM1920">
        <f>90.069-81.25</f>
        <v>8.8190000000000026</v>
      </c>
      <c r="AP1920">
        <v>28</v>
      </c>
      <c r="AR1920" s="15" t="s">
        <v>1155</v>
      </c>
    </row>
    <row r="1921" spans="1:44" x14ac:dyDescent="0.2">
      <c r="A1921" t="s">
        <v>1378</v>
      </c>
      <c r="B1921" s="15" t="s">
        <v>1146</v>
      </c>
      <c r="C1921" s="15" t="s">
        <v>1149</v>
      </c>
      <c r="D1921" s="14" t="s">
        <v>475</v>
      </c>
      <c r="E1921" s="14" t="s">
        <v>3032</v>
      </c>
      <c r="G1921" s="15" t="s">
        <v>1165</v>
      </c>
      <c r="H1921" s="14" t="s">
        <v>1165</v>
      </c>
      <c r="I1921" s="14" t="s">
        <v>3033</v>
      </c>
      <c r="M1921" s="14" t="s">
        <v>3034</v>
      </c>
      <c r="O1921">
        <v>2004</v>
      </c>
      <c r="Q1921" t="s">
        <v>1329</v>
      </c>
      <c r="R1921">
        <v>14</v>
      </c>
      <c r="T1921" t="s">
        <v>3035</v>
      </c>
      <c r="U1921" s="14" t="s">
        <v>1246</v>
      </c>
      <c r="V1921" s="9" t="s">
        <v>3036</v>
      </c>
      <c r="W1921">
        <v>120</v>
      </c>
      <c r="X1921" s="9" t="s">
        <v>3038</v>
      </c>
      <c r="Z1921" s="5"/>
      <c r="AD1921" s="14" t="s">
        <v>1165</v>
      </c>
      <c r="AF1921" t="s">
        <v>1165</v>
      </c>
      <c r="AI1921" t="s">
        <v>1165</v>
      </c>
      <c r="AJ1921" s="15" t="s">
        <v>1148</v>
      </c>
      <c r="AK1921" s="15">
        <v>81.25</v>
      </c>
      <c r="AL1921" t="s">
        <v>1263</v>
      </c>
      <c r="AM1921">
        <f>89.792-81.25</f>
        <v>8.5420000000000016</v>
      </c>
      <c r="AP1921">
        <v>56</v>
      </c>
      <c r="AR1921" s="15" t="s">
        <v>1155</v>
      </c>
    </row>
    <row r="1922" spans="1:44" x14ac:dyDescent="0.2">
      <c r="A1922" t="s">
        <v>1378</v>
      </c>
      <c r="B1922" s="15" t="s">
        <v>1146</v>
      </c>
      <c r="C1922" s="15" t="s">
        <v>1149</v>
      </c>
      <c r="D1922" s="14" t="s">
        <v>475</v>
      </c>
      <c r="E1922" s="14" t="s">
        <v>3032</v>
      </c>
      <c r="G1922" s="15" t="s">
        <v>1165</v>
      </c>
      <c r="H1922" s="14" t="s">
        <v>1165</v>
      </c>
      <c r="I1922" s="14" t="s">
        <v>3033</v>
      </c>
      <c r="M1922" s="14" t="s">
        <v>3034</v>
      </c>
      <c r="O1922">
        <v>2004</v>
      </c>
      <c r="Q1922" t="s">
        <v>1329</v>
      </c>
      <c r="R1922">
        <v>14</v>
      </c>
      <c r="T1922" t="s">
        <v>3035</v>
      </c>
      <c r="U1922" s="14" t="s">
        <v>1246</v>
      </c>
      <c r="V1922" s="9" t="s">
        <v>3036</v>
      </c>
      <c r="W1922">
        <v>150</v>
      </c>
      <c r="X1922" s="9" t="s">
        <v>3038</v>
      </c>
      <c r="Z1922" s="5"/>
      <c r="AD1922" s="14" t="s">
        <v>1165</v>
      </c>
      <c r="AF1922" t="s">
        <v>1165</v>
      </c>
      <c r="AI1922" t="s">
        <v>1165</v>
      </c>
      <c r="AJ1922" s="15" t="s">
        <v>1148</v>
      </c>
      <c r="AK1922" s="15">
        <v>100</v>
      </c>
      <c r="AL1922" t="s">
        <v>1263</v>
      </c>
      <c r="AM1922">
        <f>101.736-100.069</f>
        <v>1.6670000000000016</v>
      </c>
      <c r="AP1922">
        <v>28</v>
      </c>
      <c r="AR1922" s="15" t="s">
        <v>1155</v>
      </c>
    </row>
    <row r="1923" spans="1:44" x14ac:dyDescent="0.2">
      <c r="A1923" t="s">
        <v>1378</v>
      </c>
      <c r="B1923" s="15" t="s">
        <v>1146</v>
      </c>
      <c r="C1923" s="15" t="s">
        <v>1149</v>
      </c>
      <c r="D1923" s="14" t="s">
        <v>475</v>
      </c>
      <c r="E1923" s="14" t="s">
        <v>3032</v>
      </c>
      <c r="G1923" s="15" t="s">
        <v>1165</v>
      </c>
      <c r="H1923" s="14" t="s">
        <v>1165</v>
      </c>
      <c r="I1923" s="14" t="s">
        <v>3033</v>
      </c>
      <c r="M1923" s="14" t="s">
        <v>3034</v>
      </c>
      <c r="O1923">
        <v>2004</v>
      </c>
      <c r="Q1923" t="s">
        <v>1329</v>
      </c>
      <c r="R1923">
        <v>14</v>
      </c>
      <c r="T1923" t="s">
        <v>3035</v>
      </c>
      <c r="U1923" s="14" t="s">
        <v>1246</v>
      </c>
      <c r="V1923" s="9" t="s">
        <v>3036</v>
      </c>
      <c r="W1923">
        <v>150</v>
      </c>
      <c r="X1923" s="9" t="s">
        <v>3038</v>
      </c>
      <c r="Z1923" s="5"/>
      <c r="AD1923" s="14" t="s">
        <v>1165</v>
      </c>
      <c r="AF1923" t="s">
        <v>1165</v>
      </c>
      <c r="AI1923" t="s">
        <v>1165</v>
      </c>
      <c r="AJ1923" s="15" t="s">
        <v>1148</v>
      </c>
      <c r="AK1923" s="15">
        <v>100</v>
      </c>
      <c r="AL1923" t="s">
        <v>1263</v>
      </c>
      <c r="AM1923">
        <f>101.736-100.069</f>
        <v>1.6670000000000016</v>
      </c>
      <c r="AP1923">
        <v>56</v>
      </c>
      <c r="AR1923" s="15" t="s">
        <v>1155</v>
      </c>
    </row>
    <row r="1924" spans="1:44" x14ac:dyDescent="0.2">
      <c r="A1924" t="s">
        <v>1378</v>
      </c>
      <c r="B1924" s="15" t="s">
        <v>1146</v>
      </c>
      <c r="C1924" s="15" t="s">
        <v>1149</v>
      </c>
      <c r="D1924" s="14" t="s">
        <v>475</v>
      </c>
      <c r="E1924" s="14" t="s">
        <v>3032</v>
      </c>
      <c r="G1924" s="15" t="s">
        <v>1165</v>
      </c>
      <c r="H1924" s="14" t="s">
        <v>1165</v>
      </c>
      <c r="I1924" s="14" t="s">
        <v>3033</v>
      </c>
      <c r="M1924" s="14" t="s">
        <v>3034</v>
      </c>
      <c r="O1924">
        <v>2004</v>
      </c>
      <c r="Q1924" t="s">
        <v>1329</v>
      </c>
      <c r="R1924">
        <v>14</v>
      </c>
      <c r="T1924" t="s">
        <v>3035</v>
      </c>
      <c r="U1924" s="14" t="s">
        <v>1246</v>
      </c>
      <c r="V1924" s="9" t="s">
        <v>3036</v>
      </c>
      <c r="W1924">
        <v>180</v>
      </c>
      <c r="X1924" s="9" t="s">
        <v>3038</v>
      </c>
      <c r="Z1924" s="5"/>
      <c r="AD1924" s="14" t="s">
        <v>1165</v>
      </c>
      <c r="AF1924" t="s">
        <v>1165</v>
      </c>
      <c r="AI1924" t="s">
        <v>1165</v>
      </c>
      <c r="AJ1924" s="15" t="s">
        <v>1148</v>
      </c>
      <c r="AK1924" s="15">
        <v>88.403000000000006</v>
      </c>
      <c r="AL1924" t="s">
        <v>1263</v>
      </c>
      <c r="AM1924">
        <f>93.125-88.403</f>
        <v>4.7219999999999942</v>
      </c>
      <c r="AP1924">
        <v>28</v>
      </c>
      <c r="AR1924" s="15" t="s">
        <v>1155</v>
      </c>
    </row>
    <row r="1925" spans="1:44" x14ac:dyDescent="0.2">
      <c r="A1925" t="s">
        <v>1378</v>
      </c>
      <c r="B1925" s="15" t="s">
        <v>1146</v>
      </c>
      <c r="C1925" s="15" t="s">
        <v>1149</v>
      </c>
      <c r="D1925" s="14" t="s">
        <v>475</v>
      </c>
      <c r="E1925" s="14" t="s">
        <v>3032</v>
      </c>
      <c r="G1925" s="15" t="s">
        <v>1165</v>
      </c>
      <c r="H1925" s="14" t="s">
        <v>1165</v>
      </c>
      <c r="I1925" s="14" t="s">
        <v>3033</v>
      </c>
      <c r="M1925" s="14" t="s">
        <v>3034</v>
      </c>
      <c r="O1925">
        <v>2004</v>
      </c>
      <c r="Q1925" t="s">
        <v>1329</v>
      </c>
      <c r="R1925">
        <v>14</v>
      </c>
      <c r="T1925" t="s">
        <v>3035</v>
      </c>
      <c r="U1925" s="14" t="s">
        <v>1246</v>
      </c>
      <c r="V1925" s="9" t="s">
        <v>3036</v>
      </c>
      <c r="W1925">
        <v>180</v>
      </c>
      <c r="X1925" s="9" t="s">
        <v>3038</v>
      </c>
      <c r="Z1925" s="5"/>
      <c r="AD1925" s="14" t="s">
        <v>1165</v>
      </c>
      <c r="AF1925" t="s">
        <v>1165</v>
      </c>
      <c r="AI1925" t="s">
        <v>1165</v>
      </c>
      <c r="AJ1925" s="15" t="s">
        <v>1148</v>
      </c>
      <c r="AK1925" s="15">
        <v>88.332999999999998</v>
      </c>
      <c r="AL1925" t="s">
        <v>1263</v>
      </c>
      <c r="AM1925">
        <f>93.125-88.333</f>
        <v>4.7920000000000016</v>
      </c>
      <c r="AP1925">
        <v>56</v>
      </c>
      <c r="AR1925" s="15" t="s">
        <v>1155</v>
      </c>
    </row>
    <row r="1926" spans="1:44" x14ac:dyDescent="0.2">
      <c r="A1926" t="s">
        <v>1378</v>
      </c>
      <c r="B1926" s="15" t="s">
        <v>1146</v>
      </c>
      <c r="C1926" s="15" t="s">
        <v>1149</v>
      </c>
      <c r="D1926" s="14" t="s">
        <v>475</v>
      </c>
      <c r="E1926" s="14" t="s">
        <v>3032</v>
      </c>
      <c r="G1926" s="15" t="s">
        <v>1165</v>
      </c>
      <c r="H1926" s="14" t="s">
        <v>1165</v>
      </c>
      <c r="I1926" s="14" t="s">
        <v>3033</v>
      </c>
      <c r="M1926" s="14" t="s">
        <v>3034</v>
      </c>
      <c r="O1926">
        <v>2004</v>
      </c>
      <c r="Q1926" t="s">
        <v>1329</v>
      </c>
      <c r="R1926">
        <v>14</v>
      </c>
      <c r="T1926" t="s">
        <v>3035</v>
      </c>
      <c r="U1926" s="14" t="s">
        <v>1246</v>
      </c>
      <c r="V1926" s="9" t="s">
        <v>3036</v>
      </c>
      <c r="W1926">
        <v>0</v>
      </c>
      <c r="X1926" s="9" t="s">
        <v>3039</v>
      </c>
      <c r="Z1926" s="5"/>
      <c r="AD1926" s="14" t="s">
        <v>1165</v>
      </c>
      <c r="AF1926" t="s">
        <v>1165</v>
      </c>
      <c r="AI1926" t="s">
        <v>1165</v>
      </c>
      <c r="AJ1926" s="15" t="s">
        <v>1148</v>
      </c>
      <c r="AK1926" s="15">
        <v>92.614000000000004</v>
      </c>
      <c r="AL1926" t="s">
        <v>1263</v>
      </c>
      <c r="AM1926">
        <f>97.582-92.614</f>
        <v>4.9679999999999893</v>
      </c>
      <c r="AP1926">
        <v>28</v>
      </c>
      <c r="AR1926" s="15" t="s">
        <v>1155</v>
      </c>
    </row>
    <row r="1927" spans="1:44" x14ac:dyDescent="0.2">
      <c r="A1927" t="s">
        <v>1378</v>
      </c>
      <c r="B1927" s="15" t="s">
        <v>1146</v>
      </c>
      <c r="C1927" s="15" t="s">
        <v>1149</v>
      </c>
      <c r="D1927" s="14" t="s">
        <v>475</v>
      </c>
      <c r="E1927" s="14" t="s">
        <v>3032</v>
      </c>
      <c r="G1927" s="15" t="s">
        <v>1165</v>
      </c>
      <c r="H1927" s="14" t="s">
        <v>1165</v>
      </c>
      <c r="I1927" s="14" t="s">
        <v>3033</v>
      </c>
      <c r="M1927" s="14" t="s">
        <v>3034</v>
      </c>
      <c r="O1927">
        <v>2004</v>
      </c>
      <c r="Q1927" t="s">
        <v>1329</v>
      </c>
      <c r="R1927">
        <v>14</v>
      </c>
      <c r="T1927" t="s">
        <v>3035</v>
      </c>
      <c r="U1927" s="14" t="s">
        <v>1246</v>
      </c>
      <c r="V1927" s="9" t="s">
        <v>3036</v>
      </c>
      <c r="W1927">
        <v>0</v>
      </c>
      <c r="X1927" s="9" t="s">
        <v>3039</v>
      </c>
      <c r="Z1927" s="5"/>
      <c r="AD1927" s="14" t="s">
        <v>1165</v>
      </c>
      <c r="AF1927" t="s">
        <v>1165</v>
      </c>
      <c r="AI1927" t="s">
        <v>1165</v>
      </c>
      <c r="AJ1927" s="15" t="s">
        <v>1148</v>
      </c>
      <c r="AK1927" s="15">
        <v>99.215999999999994</v>
      </c>
      <c r="AL1927" t="s">
        <v>1263</v>
      </c>
      <c r="AM1927">
        <f>102.026-99.216</f>
        <v>2.8100000000000023</v>
      </c>
      <c r="AP1927">
        <v>56</v>
      </c>
      <c r="AR1927" s="15" t="s">
        <v>1155</v>
      </c>
    </row>
    <row r="1928" spans="1:44" x14ac:dyDescent="0.2">
      <c r="A1928" t="s">
        <v>1378</v>
      </c>
      <c r="B1928" s="15" t="s">
        <v>1146</v>
      </c>
      <c r="C1928" s="15" t="s">
        <v>1149</v>
      </c>
      <c r="D1928" s="14" t="s">
        <v>475</v>
      </c>
      <c r="E1928" s="14" t="s">
        <v>3032</v>
      </c>
      <c r="G1928" s="15" t="s">
        <v>1165</v>
      </c>
      <c r="H1928" s="14" t="s">
        <v>1165</v>
      </c>
      <c r="I1928" s="14" t="s">
        <v>3033</v>
      </c>
      <c r="M1928" s="14" t="s">
        <v>3034</v>
      </c>
      <c r="O1928">
        <v>2004</v>
      </c>
      <c r="Q1928" t="s">
        <v>1329</v>
      </c>
      <c r="R1928">
        <v>14</v>
      </c>
      <c r="T1928" t="s">
        <v>3035</v>
      </c>
      <c r="U1928" s="14" t="s">
        <v>1246</v>
      </c>
      <c r="V1928" s="9" t="s">
        <v>3036</v>
      </c>
      <c r="W1928">
        <v>15</v>
      </c>
      <c r="X1928" s="9" t="s">
        <v>3039</v>
      </c>
      <c r="Z1928" s="5"/>
      <c r="AD1928" s="14" t="s">
        <v>1165</v>
      </c>
      <c r="AF1928" t="s">
        <v>1165</v>
      </c>
      <c r="AI1928" t="s">
        <v>1165</v>
      </c>
      <c r="AJ1928" s="15" t="s">
        <v>1148</v>
      </c>
      <c r="AK1928" s="15">
        <v>87.058999999999997</v>
      </c>
      <c r="AL1928" t="s">
        <v>1263</v>
      </c>
      <c r="AM1928">
        <f>89.216-87.059</f>
        <v>2.1569999999999965</v>
      </c>
      <c r="AP1928">
        <v>28</v>
      </c>
      <c r="AR1928" s="15" t="s">
        <v>1155</v>
      </c>
    </row>
    <row r="1929" spans="1:44" x14ac:dyDescent="0.2">
      <c r="A1929" t="s">
        <v>1378</v>
      </c>
      <c r="B1929" s="15" t="s">
        <v>1146</v>
      </c>
      <c r="C1929" s="15" t="s">
        <v>1149</v>
      </c>
      <c r="D1929" s="14" t="s">
        <v>475</v>
      </c>
      <c r="E1929" s="14" t="s">
        <v>3032</v>
      </c>
      <c r="G1929" s="15" t="s">
        <v>1165</v>
      </c>
      <c r="H1929" s="14" t="s">
        <v>1165</v>
      </c>
      <c r="I1929" s="14" t="s">
        <v>3033</v>
      </c>
      <c r="M1929" s="14" t="s">
        <v>3034</v>
      </c>
      <c r="O1929">
        <v>2004</v>
      </c>
      <c r="Q1929" t="s">
        <v>1329</v>
      </c>
      <c r="R1929">
        <v>14</v>
      </c>
      <c r="T1929" t="s">
        <v>3035</v>
      </c>
      <c r="U1929" s="14" t="s">
        <v>1246</v>
      </c>
      <c r="V1929" s="9" t="s">
        <v>3036</v>
      </c>
      <c r="W1929">
        <v>15</v>
      </c>
      <c r="X1929" s="9" t="s">
        <v>3039</v>
      </c>
      <c r="Z1929" s="5"/>
      <c r="AD1929" s="14" t="s">
        <v>1165</v>
      </c>
      <c r="AF1929" t="s">
        <v>1165</v>
      </c>
      <c r="AI1929" t="s">
        <v>1165</v>
      </c>
      <c r="AJ1929" s="15" t="s">
        <v>1148</v>
      </c>
      <c r="AK1929" s="15">
        <v>88.234999999999999</v>
      </c>
      <c r="AL1929" t="s">
        <v>1263</v>
      </c>
      <c r="AM1929">
        <f>90.261-88.235</f>
        <v>2.0259999999999962</v>
      </c>
      <c r="AP1929">
        <v>56</v>
      </c>
      <c r="AR1929" s="15" t="s">
        <v>1155</v>
      </c>
    </row>
    <row r="1930" spans="1:44" x14ac:dyDescent="0.2">
      <c r="A1930" t="s">
        <v>1378</v>
      </c>
      <c r="B1930" s="15" t="s">
        <v>1146</v>
      </c>
      <c r="C1930" s="15" t="s">
        <v>1149</v>
      </c>
      <c r="D1930" s="14" t="s">
        <v>475</v>
      </c>
      <c r="E1930" s="14" t="s">
        <v>3032</v>
      </c>
      <c r="G1930" s="15" t="s">
        <v>1165</v>
      </c>
      <c r="H1930" s="14" t="s">
        <v>1165</v>
      </c>
      <c r="I1930" s="14" t="s">
        <v>3033</v>
      </c>
      <c r="M1930" s="14" t="s">
        <v>3034</v>
      </c>
      <c r="O1930">
        <v>2004</v>
      </c>
      <c r="Q1930" t="s">
        <v>1329</v>
      </c>
      <c r="R1930">
        <v>14</v>
      </c>
      <c r="T1930" t="s">
        <v>3035</v>
      </c>
      <c r="U1930" s="14" t="s">
        <v>1246</v>
      </c>
      <c r="V1930" s="9" t="s">
        <v>3036</v>
      </c>
      <c r="W1930">
        <v>30</v>
      </c>
      <c r="X1930" s="9" t="s">
        <v>3039</v>
      </c>
      <c r="Z1930" s="5"/>
      <c r="AD1930" s="14" t="s">
        <v>1165</v>
      </c>
      <c r="AF1930" t="s">
        <v>1165</v>
      </c>
      <c r="AI1930" t="s">
        <v>1165</v>
      </c>
      <c r="AJ1930" s="15" t="s">
        <v>1148</v>
      </c>
      <c r="AK1930" s="15">
        <v>83.921999999999997</v>
      </c>
      <c r="AL1930" t="s">
        <v>1263</v>
      </c>
      <c r="AM1930">
        <f>88.693-83.922</f>
        <v>4.7710000000000008</v>
      </c>
      <c r="AP1930">
        <v>28</v>
      </c>
      <c r="AR1930" s="15" t="s">
        <v>1155</v>
      </c>
    </row>
    <row r="1931" spans="1:44" x14ac:dyDescent="0.2">
      <c r="A1931" t="s">
        <v>1378</v>
      </c>
      <c r="B1931" s="15" t="s">
        <v>1146</v>
      </c>
      <c r="C1931" s="15" t="s">
        <v>1149</v>
      </c>
      <c r="D1931" s="14" t="s">
        <v>475</v>
      </c>
      <c r="E1931" s="14" t="s">
        <v>3032</v>
      </c>
      <c r="G1931" s="15" t="s">
        <v>1165</v>
      </c>
      <c r="H1931" s="14" t="s">
        <v>1165</v>
      </c>
      <c r="I1931" s="14" t="s">
        <v>3033</v>
      </c>
      <c r="M1931" s="14" t="s">
        <v>3034</v>
      </c>
      <c r="O1931">
        <v>2004</v>
      </c>
      <c r="Q1931" t="s">
        <v>1329</v>
      </c>
      <c r="R1931">
        <v>14</v>
      </c>
      <c r="T1931" t="s">
        <v>3035</v>
      </c>
      <c r="U1931" s="14" t="s">
        <v>1246</v>
      </c>
      <c r="V1931" s="9" t="s">
        <v>3036</v>
      </c>
      <c r="W1931">
        <v>30</v>
      </c>
      <c r="X1931" s="9" t="s">
        <v>3039</v>
      </c>
      <c r="Z1931" s="5"/>
      <c r="AD1931" s="14" t="s">
        <v>1165</v>
      </c>
      <c r="AF1931" t="s">
        <v>1165</v>
      </c>
      <c r="AI1931" t="s">
        <v>1165</v>
      </c>
      <c r="AJ1931" s="15" t="s">
        <v>1148</v>
      </c>
      <c r="AK1931" s="15">
        <v>86.34</v>
      </c>
      <c r="AL1931" t="s">
        <v>1263</v>
      </c>
      <c r="AM1931">
        <f>89.739-86.34</f>
        <v>3.3990000000000009</v>
      </c>
      <c r="AP1931">
        <v>56</v>
      </c>
      <c r="AR1931" s="15" t="s">
        <v>1155</v>
      </c>
    </row>
    <row r="1932" spans="1:44" x14ac:dyDescent="0.2">
      <c r="A1932" t="s">
        <v>1378</v>
      </c>
      <c r="B1932" s="15" t="s">
        <v>1146</v>
      </c>
      <c r="C1932" s="15" t="s">
        <v>1149</v>
      </c>
      <c r="D1932" s="14" t="s">
        <v>475</v>
      </c>
      <c r="E1932" s="14" t="s">
        <v>3032</v>
      </c>
      <c r="G1932" s="15" t="s">
        <v>1165</v>
      </c>
      <c r="H1932" s="14" t="s">
        <v>1165</v>
      </c>
      <c r="I1932" s="14" t="s">
        <v>3033</v>
      </c>
      <c r="M1932" s="14" t="s">
        <v>3034</v>
      </c>
      <c r="O1932">
        <v>2004</v>
      </c>
      <c r="Q1932" t="s">
        <v>1329</v>
      </c>
      <c r="R1932">
        <v>14</v>
      </c>
      <c r="T1932" t="s">
        <v>3035</v>
      </c>
      <c r="U1932" s="14" t="s">
        <v>1246</v>
      </c>
      <c r="V1932" s="9" t="s">
        <v>3036</v>
      </c>
      <c r="W1932">
        <v>60</v>
      </c>
      <c r="X1932" s="9" t="s">
        <v>3039</v>
      </c>
      <c r="Z1932" s="5"/>
      <c r="AD1932" s="14" t="s">
        <v>1165</v>
      </c>
      <c r="AF1932" t="s">
        <v>1165</v>
      </c>
      <c r="AI1932" t="s">
        <v>1165</v>
      </c>
      <c r="AJ1932" s="15" t="s">
        <v>1148</v>
      </c>
      <c r="AK1932" s="15">
        <v>56.536000000000001</v>
      </c>
      <c r="AL1932" t="s">
        <v>1263</v>
      </c>
      <c r="AM1932">
        <f>75.098-56.536</f>
        <v>18.561999999999998</v>
      </c>
      <c r="AP1932">
        <v>28</v>
      </c>
      <c r="AR1932" s="15" t="s">
        <v>1155</v>
      </c>
    </row>
    <row r="1933" spans="1:44" x14ac:dyDescent="0.2">
      <c r="A1933" t="s">
        <v>1378</v>
      </c>
      <c r="B1933" s="15" t="s">
        <v>1146</v>
      </c>
      <c r="C1933" s="15" t="s">
        <v>1149</v>
      </c>
      <c r="D1933" s="14" t="s">
        <v>475</v>
      </c>
      <c r="E1933" s="14" t="s">
        <v>3032</v>
      </c>
      <c r="G1933" s="15" t="s">
        <v>1165</v>
      </c>
      <c r="H1933" s="14" t="s">
        <v>1165</v>
      </c>
      <c r="I1933" s="14" t="s">
        <v>3033</v>
      </c>
      <c r="M1933" s="14" t="s">
        <v>3034</v>
      </c>
      <c r="O1933">
        <v>2004</v>
      </c>
      <c r="Q1933" t="s">
        <v>1329</v>
      </c>
      <c r="R1933">
        <v>14</v>
      </c>
      <c r="T1933" t="s">
        <v>3035</v>
      </c>
      <c r="U1933" s="14" t="s">
        <v>1246</v>
      </c>
      <c r="V1933" s="9" t="s">
        <v>3036</v>
      </c>
      <c r="W1933">
        <v>60</v>
      </c>
      <c r="X1933" s="9" t="s">
        <v>3039</v>
      </c>
      <c r="Z1933" s="5"/>
      <c r="AD1933" s="14" t="s">
        <v>1165</v>
      </c>
      <c r="AF1933" t="s">
        <v>1165</v>
      </c>
      <c r="AI1933" t="s">
        <v>1165</v>
      </c>
      <c r="AJ1933" s="15" t="s">
        <v>1148</v>
      </c>
      <c r="AK1933" s="15">
        <v>57.32</v>
      </c>
      <c r="AL1933" t="s">
        <v>1263</v>
      </c>
      <c r="AM1933">
        <f>75.621-57.32</f>
        <v>18.300999999999995</v>
      </c>
      <c r="AP1933">
        <v>56</v>
      </c>
      <c r="AR1933" s="15" t="s">
        <v>1155</v>
      </c>
    </row>
    <row r="1934" spans="1:44" x14ac:dyDescent="0.2">
      <c r="A1934" t="s">
        <v>1378</v>
      </c>
      <c r="B1934" s="15" t="s">
        <v>1146</v>
      </c>
      <c r="C1934" s="15" t="s">
        <v>1149</v>
      </c>
      <c r="D1934" s="14" t="s">
        <v>475</v>
      </c>
      <c r="E1934" s="14" t="s">
        <v>3032</v>
      </c>
      <c r="G1934" s="15" t="s">
        <v>1165</v>
      </c>
      <c r="H1934" s="14" t="s">
        <v>1165</v>
      </c>
      <c r="I1934" s="14" t="s">
        <v>3033</v>
      </c>
      <c r="M1934" s="14" t="s">
        <v>3034</v>
      </c>
      <c r="O1934">
        <v>2004</v>
      </c>
      <c r="Q1934" t="s">
        <v>1329</v>
      </c>
      <c r="R1934">
        <v>14</v>
      </c>
      <c r="T1934" t="s">
        <v>3035</v>
      </c>
      <c r="U1934" s="14" t="s">
        <v>1246</v>
      </c>
      <c r="V1934" s="9" t="s">
        <v>3036</v>
      </c>
      <c r="W1934">
        <v>90</v>
      </c>
      <c r="X1934" s="9" t="s">
        <v>3039</v>
      </c>
      <c r="Z1934" s="5"/>
      <c r="AD1934" s="14" t="s">
        <v>1165</v>
      </c>
      <c r="AF1934" t="s">
        <v>1165</v>
      </c>
      <c r="AI1934" t="s">
        <v>1165</v>
      </c>
      <c r="AJ1934" s="15" t="s">
        <v>1148</v>
      </c>
      <c r="AK1934" s="15">
        <v>89.02</v>
      </c>
      <c r="AL1934" t="s">
        <v>1263</v>
      </c>
      <c r="AM1934">
        <f>92.876-89.02</f>
        <v>3.8560000000000088</v>
      </c>
      <c r="AP1934">
        <v>28</v>
      </c>
      <c r="AR1934" s="15" t="s">
        <v>1155</v>
      </c>
    </row>
    <row r="1935" spans="1:44" x14ac:dyDescent="0.2">
      <c r="A1935" t="s">
        <v>1378</v>
      </c>
      <c r="B1935" s="15" t="s">
        <v>1146</v>
      </c>
      <c r="C1935" s="15" t="s">
        <v>1149</v>
      </c>
      <c r="D1935" s="14" t="s">
        <v>475</v>
      </c>
      <c r="E1935" s="14" t="s">
        <v>3032</v>
      </c>
      <c r="G1935" s="15" t="s">
        <v>1165</v>
      </c>
      <c r="H1935" s="14" t="s">
        <v>1165</v>
      </c>
      <c r="I1935" s="14" t="s">
        <v>3033</v>
      </c>
      <c r="M1935" s="14" t="s">
        <v>3034</v>
      </c>
      <c r="O1935">
        <v>2004</v>
      </c>
      <c r="Q1935" t="s">
        <v>1329</v>
      </c>
      <c r="R1935">
        <v>14</v>
      </c>
      <c r="T1935" t="s">
        <v>3035</v>
      </c>
      <c r="U1935" s="14" t="s">
        <v>1246</v>
      </c>
      <c r="V1935" s="9" t="s">
        <v>3036</v>
      </c>
      <c r="W1935">
        <v>90</v>
      </c>
      <c r="X1935" s="9" t="s">
        <v>3039</v>
      </c>
      <c r="Z1935" s="5"/>
      <c r="AD1935" s="14" t="s">
        <v>1165</v>
      </c>
      <c r="AF1935" t="s">
        <v>1165</v>
      </c>
      <c r="AI1935" t="s">
        <v>1165</v>
      </c>
      <c r="AJ1935" s="15" t="s">
        <v>1148</v>
      </c>
      <c r="AK1935" s="15">
        <v>88.953999999999994</v>
      </c>
      <c r="AL1935" t="s">
        <v>1263</v>
      </c>
      <c r="AM1935">
        <f>92.876-88.954</f>
        <v>3.9220000000000113</v>
      </c>
      <c r="AP1935">
        <v>56</v>
      </c>
      <c r="AR1935" s="15" t="s">
        <v>1155</v>
      </c>
    </row>
    <row r="1936" spans="1:44" x14ac:dyDescent="0.2">
      <c r="A1936" t="s">
        <v>1378</v>
      </c>
      <c r="B1936" s="15" t="s">
        <v>1146</v>
      </c>
      <c r="C1936" s="15" t="s">
        <v>1149</v>
      </c>
      <c r="D1936" s="14" t="s">
        <v>475</v>
      </c>
      <c r="E1936" s="14" t="s">
        <v>3032</v>
      </c>
      <c r="G1936" s="15" t="s">
        <v>1165</v>
      </c>
      <c r="H1936" s="14" t="s">
        <v>1165</v>
      </c>
      <c r="I1936" s="14" t="s">
        <v>3033</v>
      </c>
      <c r="M1936" s="14" t="s">
        <v>3034</v>
      </c>
      <c r="O1936">
        <v>2004</v>
      </c>
      <c r="Q1936" t="s">
        <v>1329</v>
      </c>
      <c r="R1936">
        <v>14</v>
      </c>
      <c r="T1936" t="s">
        <v>3035</v>
      </c>
      <c r="U1936" s="14" t="s">
        <v>1246</v>
      </c>
      <c r="V1936" s="9" t="s">
        <v>3036</v>
      </c>
      <c r="W1936">
        <v>120</v>
      </c>
      <c r="X1936" s="9" t="s">
        <v>3039</v>
      </c>
      <c r="Z1936" s="5"/>
      <c r="AD1936" s="14" t="s">
        <v>1165</v>
      </c>
      <c r="AF1936" t="s">
        <v>1165</v>
      </c>
      <c r="AI1936" t="s">
        <v>1165</v>
      </c>
      <c r="AJ1936" s="15" t="s">
        <v>1148</v>
      </c>
      <c r="AK1936" s="15">
        <v>87.450999999999993</v>
      </c>
      <c r="AL1936" t="s">
        <v>1263</v>
      </c>
      <c r="AM1936">
        <f>92.876-87.451</f>
        <v>5.4250000000000114</v>
      </c>
      <c r="AP1936">
        <v>28</v>
      </c>
      <c r="AR1936" s="15" t="s">
        <v>1155</v>
      </c>
    </row>
    <row r="1937" spans="1:44" x14ac:dyDescent="0.2">
      <c r="A1937" t="s">
        <v>1378</v>
      </c>
      <c r="B1937" s="15" t="s">
        <v>1146</v>
      </c>
      <c r="C1937" s="15" t="s">
        <v>1149</v>
      </c>
      <c r="D1937" s="14" t="s">
        <v>475</v>
      </c>
      <c r="E1937" s="14" t="s">
        <v>3032</v>
      </c>
      <c r="G1937" s="15" t="s">
        <v>1165</v>
      </c>
      <c r="H1937" s="14" t="s">
        <v>1165</v>
      </c>
      <c r="I1937" s="14" t="s">
        <v>3033</v>
      </c>
      <c r="M1937" s="14" t="s">
        <v>3034</v>
      </c>
      <c r="O1937">
        <v>2004</v>
      </c>
      <c r="Q1937" t="s">
        <v>1329</v>
      </c>
      <c r="R1937">
        <v>14</v>
      </c>
      <c r="T1937" t="s">
        <v>3035</v>
      </c>
      <c r="U1937" s="14" t="s">
        <v>1246</v>
      </c>
      <c r="V1937" s="9" t="s">
        <v>3036</v>
      </c>
      <c r="W1937">
        <v>120</v>
      </c>
      <c r="X1937" s="9" t="s">
        <v>3039</v>
      </c>
      <c r="Z1937" s="5"/>
      <c r="AD1937" s="14" t="s">
        <v>1165</v>
      </c>
      <c r="AF1937" t="s">
        <v>1165</v>
      </c>
      <c r="AI1937" t="s">
        <v>1165</v>
      </c>
      <c r="AJ1937" s="15" t="s">
        <v>1148</v>
      </c>
      <c r="AK1937" s="15">
        <v>87.385999999999996</v>
      </c>
      <c r="AL1937" t="s">
        <v>1263</v>
      </c>
      <c r="AM1937">
        <f>93.137-87.386</f>
        <v>5.7510000000000048</v>
      </c>
      <c r="AP1937">
        <v>56</v>
      </c>
      <c r="AR1937" s="15" t="s">
        <v>1155</v>
      </c>
    </row>
    <row r="1938" spans="1:44" x14ac:dyDescent="0.2">
      <c r="A1938" t="s">
        <v>1378</v>
      </c>
      <c r="B1938" s="15" t="s">
        <v>1146</v>
      </c>
      <c r="C1938" s="15" t="s">
        <v>1149</v>
      </c>
      <c r="D1938" s="14" t="s">
        <v>475</v>
      </c>
      <c r="E1938" s="14" t="s">
        <v>3032</v>
      </c>
      <c r="G1938" s="15" t="s">
        <v>1165</v>
      </c>
      <c r="H1938" s="14" t="s">
        <v>1165</v>
      </c>
      <c r="I1938" s="14" t="s">
        <v>3033</v>
      </c>
      <c r="M1938" s="14" t="s">
        <v>3034</v>
      </c>
      <c r="O1938">
        <v>2004</v>
      </c>
      <c r="Q1938" t="s">
        <v>1329</v>
      </c>
      <c r="R1938">
        <v>14</v>
      </c>
      <c r="T1938" t="s">
        <v>3035</v>
      </c>
      <c r="U1938" s="14" t="s">
        <v>1246</v>
      </c>
      <c r="V1938" s="9" t="s">
        <v>3036</v>
      </c>
      <c r="W1938">
        <v>150</v>
      </c>
      <c r="X1938" s="9" t="s">
        <v>3039</v>
      </c>
      <c r="Z1938" s="5"/>
      <c r="AD1938" s="14" t="s">
        <v>1165</v>
      </c>
      <c r="AF1938" t="s">
        <v>1165</v>
      </c>
      <c r="AI1938" t="s">
        <v>1165</v>
      </c>
      <c r="AJ1938" s="15" t="s">
        <v>1148</v>
      </c>
      <c r="AK1938" s="15">
        <v>92.876000000000005</v>
      </c>
      <c r="AL1938" t="s">
        <v>1263</v>
      </c>
      <c r="AM1938">
        <f>96.536-92.876</f>
        <v>3.6599999999999966</v>
      </c>
      <c r="AP1938">
        <v>28</v>
      </c>
      <c r="AR1938" s="15" t="s">
        <v>1155</v>
      </c>
    </row>
    <row r="1939" spans="1:44" x14ac:dyDescent="0.2">
      <c r="A1939" t="s">
        <v>1378</v>
      </c>
      <c r="B1939" s="15" t="s">
        <v>1146</v>
      </c>
      <c r="C1939" s="15" t="s">
        <v>1149</v>
      </c>
      <c r="D1939" s="14" t="s">
        <v>475</v>
      </c>
      <c r="E1939" s="14" t="s">
        <v>3032</v>
      </c>
      <c r="G1939" s="15" t="s">
        <v>1165</v>
      </c>
      <c r="H1939" s="14" t="s">
        <v>1165</v>
      </c>
      <c r="I1939" s="14" t="s">
        <v>3033</v>
      </c>
      <c r="M1939" s="14" t="s">
        <v>3034</v>
      </c>
      <c r="O1939">
        <v>2004</v>
      </c>
      <c r="Q1939" t="s">
        <v>1329</v>
      </c>
      <c r="R1939">
        <v>14</v>
      </c>
      <c r="T1939" t="s">
        <v>3035</v>
      </c>
      <c r="U1939" s="14" t="s">
        <v>1246</v>
      </c>
      <c r="V1939" s="9" t="s">
        <v>3036</v>
      </c>
      <c r="W1939">
        <v>150</v>
      </c>
      <c r="X1939" s="9" t="s">
        <v>3039</v>
      </c>
      <c r="Z1939" s="5"/>
      <c r="AD1939" s="14" t="s">
        <v>1165</v>
      </c>
      <c r="AF1939" t="s">
        <v>1165</v>
      </c>
      <c r="AI1939" t="s">
        <v>1165</v>
      </c>
      <c r="AJ1939" s="15" t="s">
        <v>1148</v>
      </c>
      <c r="AK1939" s="15">
        <v>92.614000000000004</v>
      </c>
      <c r="AL1939" t="s">
        <v>1263</v>
      </c>
      <c r="AM1939">
        <f>96.536-92.614</f>
        <v>3.921999999999997</v>
      </c>
      <c r="AP1939">
        <v>56</v>
      </c>
      <c r="AR1939" s="15" t="s">
        <v>1155</v>
      </c>
    </row>
    <row r="1940" spans="1:44" x14ac:dyDescent="0.2">
      <c r="A1940" t="s">
        <v>1378</v>
      </c>
      <c r="B1940" s="15" t="s">
        <v>1146</v>
      </c>
      <c r="C1940" s="15" t="s">
        <v>1149</v>
      </c>
      <c r="D1940" s="14" t="s">
        <v>475</v>
      </c>
      <c r="E1940" s="14" t="s">
        <v>3032</v>
      </c>
      <c r="G1940" s="15" t="s">
        <v>1165</v>
      </c>
      <c r="H1940" s="14" t="s">
        <v>1165</v>
      </c>
      <c r="I1940" s="14" t="s">
        <v>3033</v>
      </c>
      <c r="M1940" s="14" t="s">
        <v>3034</v>
      </c>
      <c r="O1940">
        <v>2004</v>
      </c>
      <c r="Q1940" t="s">
        <v>1329</v>
      </c>
      <c r="R1940">
        <v>14</v>
      </c>
      <c r="T1940" t="s">
        <v>3035</v>
      </c>
      <c r="U1940" s="14" t="s">
        <v>1246</v>
      </c>
      <c r="V1940" s="9" t="s">
        <v>3036</v>
      </c>
      <c r="W1940">
        <v>180</v>
      </c>
      <c r="X1940" s="9" t="s">
        <v>3039</v>
      </c>
      <c r="Z1940" s="5"/>
      <c r="AD1940" s="14" t="s">
        <v>1165</v>
      </c>
      <c r="AF1940" t="s">
        <v>1165</v>
      </c>
      <c r="AI1940" t="s">
        <v>1165</v>
      </c>
      <c r="AJ1940" s="15" t="s">
        <v>1148</v>
      </c>
      <c r="AK1940" s="15">
        <v>96.536000000000001</v>
      </c>
      <c r="AL1940" t="s">
        <v>1263</v>
      </c>
      <c r="AM1940">
        <f>98.889-96.536</f>
        <v>2.3529999999999944</v>
      </c>
      <c r="AP1940">
        <v>28</v>
      </c>
      <c r="AR1940" s="15" t="s">
        <v>1155</v>
      </c>
    </row>
    <row r="1941" spans="1:44" x14ac:dyDescent="0.2">
      <c r="A1941" t="s">
        <v>1378</v>
      </c>
      <c r="B1941" s="15" t="s">
        <v>1146</v>
      </c>
      <c r="C1941" s="15" t="s">
        <v>1149</v>
      </c>
      <c r="D1941" s="14" t="s">
        <v>475</v>
      </c>
      <c r="E1941" s="14" t="s">
        <v>3032</v>
      </c>
      <c r="G1941" s="15" t="s">
        <v>1165</v>
      </c>
      <c r="H1941" s="14" t="s">
        <v>1165</v>
      </c>
      <c r="I1941" s="14" t="s">
        <v>3033</v>
      </c>
      <c r="M1941" s="14" t="s">
        <v>3034</v>
      </c>
      <c r="O1941">
        <v>2004</v>
      </c>
      <c r="Q1941" t="s">
        <v>1329</v>
      </c>
      <c r="R1941">
        <v>14</v>
      </c>
      <c r="T1941" t="s">
        <v>3035</v>
      </c>
      <c r="U1941" s="14" t="s">
        <v>1246</v>
      </c>
      <c r="V1941" s="9" t="s">
        <v>3036</v>
      </c>
      <c r="W1941">
        <v>180</v>
      </c>
      <c r="X1941" s="9" t="s">
        <v>3039</v>
      </c>
      <c r="Z1941" s="5"/>
      <c r="AD1941" s="14" t="s">
        <v>1165</v>
      </c>
      <c r="AF1941" t="s">
        <v>1165</v>
      </c>
      <c r="AI1941" t="s">
        <v>1165</v>
      </c>
      <c r="AJ1941" s="15" t="s">
        <v>1148</v>
      </c>
      <c r="AK1941" s="15">
        <v>96.013000000000005</v>
      </c>
      <c r="AL1941" t="s">
        <v>1263</v>
      </c>
      <c r="AM1941">
        <f>98.889-96.013</f>
        <v>2.8759999999999906</v>
      </c>
      <c r="AP1941">
        <v>56</v>
      </c>
      <c r="AR1941" s="15" t="s">
        <v>1155</v>
      </c>
    </row>
    <row r="1942" spans="1:44" x14ac:dyDescent="0.2">
      <c r="A1942" t="s">
        <v>1378</v>
      </c>
      <c r="B1942" s="15" t="s">
        <v>1146</v>
      </c>
      <c r="C1942" s="15" t="s">
        <v>1149</v>
      </c>
      <c r="D1942" s="14" t="s">
        <v>475</v>
      </c>
      <c r="E1942" s="14" t="s">
        <v>3032</v>
      </c>
      <c r="G1942" s="15" t="s">
        <v>1165</v>
      </c>
      <c r="H1942" s="14" t="s">
        <v>1165</v>
      </c>
      <c r="I1942" s="14" t="s">
        <v>3033</v>
      </c>
      <c r="M1942" s="14" t="s">
        <v>3034</v>
      </c>
      <c r="O1942">
        <v>2004</v>
      </c>
      <c r="Q1942" t="s">
        <v>1329</v>
      </c>
      <c r="R1942">
        <v>14</v>
      </c>
      <c r="T1942" t="s">
        <v>3035</v>
      </c>
      <c r="U1942" s="14" t="s">
        <v>1246</v>
      </c>
      <c r="V1942" s="9" t="s">
        <v>3036</v>
      </c>
      <c r="W1942">
        <v>0</v>
      </c>
      <c r="X1942" s="9" t="s">
        <v>3040</v>
      </c>
      <c r="Z1942" s="5"/>
      <c r="AD1942" s="14" t="s">
        <v>1165</v>
      </c>
      <c r="AF1942" t="s">
        <v>1165</v>
      </c>
      <c r="AI1942" t="s">
        <v>1165</v>
      </c>
      <c r="AJ1942" s="15" t="s">
        <v>1148</v>
      </c>
      <c r="AK1942" s="15">
        <v>3.7250000000000001</v>
      </c>
      <c r="AL1942" t="s">
        <v>1263</v>
      </c>
      <c r="AM1942">
        <v>0</v>
      </c>
      <c r="AP1942">
        <v>28</v>
      </c>
      <c r="AR1942" s="15" t="s">
        <v>1155</v>
      </c>
    </row>
    <row r="1943" spans="1:44" x14ac:dyDescent="0.2">
      <c r="A1943" t="s">
        <v>1378</v>
      </c>
      <c r="B1943" s="15" t="s">
        <v>1146</v>
      </c>
      <c r="C1943" s="15" t="s">
        <v>1149</v>
      </c>
      <c r="D1943" s="14" t="s">
        <v>475</v>
      </c>
      <c r="E1943" s="14" t="s">
        <v>3032</v>
      </c>
      <c r="G1943" s="15" t="s">
        <v>1165</v>
      </c>
      <c r="H1943" s="14" t="s">
        <v>1165</v>
      </c>
      <c r="I1943" s="14" t="s">
        <v>3033</v>
      </c>
      <c r="M1943" s="14" t="s">
        <v>3034</v>
      </c>
      <c r="O1943">
        <v>2004</v>
      </c>
      <c r="Q1943" t="s">
        <v>1329</v>
      </c>
      <c r="R1943">
        <v>14</v>
      </c>
      <c r="T1943" t="s">
        <v>3035</v>
      </c>
      <c r="U1943" s="14" t="s">
        <v>1246</v>
      </c>
      <c r="V1943" s="9" t="s">
        <v>3036</v>
      </c>
      <c r="W1943">
        <v>0</v>
      </c>
      <c r="X1943" s="9" t="s">
        <v>3040</v>
      </c>
      <c r="Z1943" s="5"/>
      <c r="AD1943" s="14" t="s">
        <v>1165</v>
      </c>
      <c r="AF1943" t="s">
        <v>1165</v>
      </c>
      <c r="AI1943" t="s">
        <v>1165</v>
      </c>
      <c r="AJ1943" s="15" t="s">
        <v>1148</v>
      </c>
      <c r="AK1943" s="15">
        <v>40.326999999999998</v>
      </c>
      <c r="AL1943" t="s">
        <v>1263</v>
      </c>
      <c r="AM1943">
        <f>49.739-40.327</f>
        <v>9.411999999999999</v>
      </c>
      <c r="AP1943">
        <v>56</v>
      </c>
      <c r="AR1943" s="15" t="s">
        <v>1155</v>
      </c>
    </row>
    <row r="1944" spans="1:44" x14ac:dyDescent="0.2">
      <c r="A1944" t="s">
        <v>1378</v>
      </c>
      <c r="B1944" s="15" t="s">
        <v>1146</v>
      </c>
      <c r="C1944" s="15" t="s">
        <v>1149</v>
      </c>
      <c r="D1944" s="14" t="s">
        <v>475</v>
      </c>
      <c r="E1944" s="14" t="s">
        <v>3032</v>
      </c>
      <c r="G1944" s="15" t="s">
        <v>1165</v>
      </c>
      <c r="H1944" s="14" t="s">
        <v>1165</v>
      </c>
      <c r="I1944" s="14" t="s">
        <v>3033</v>
      </c>
      <c r="M1944" s="14" t="s">
        <v>3034</v>
      </c>
      <c r="O1944">
        <v>2004</v>
      </c>
      <c r="Q1944" t="s">
        <v>1329</v>
      </c>
      <c r="R1944">
        <v>14</v>
      </c>
      <c r="T1944" t="s">
        <v>3035</v>
      </c>
      <c r="U1944" s="14" t="s">
        <v>1246</v>
      </c>
      <c r="V1944" s="9" t="s">
        <v>3036</v>
      </c>
      <c r="W1944">
        <v>15</v>
      </c>
      <c r="X1944" s="9" t="s">
        <v>3040</v>
      </c>
      <c r="Z1944" s="5"/>
      <c r="AD1944" s="14" t="s">
        <v>1165</v>
      </c>
      <c r="AF1944" t="s">
        <v>1165</v>
      </c>
      <c r="AI1944" t="s">
        <v>1165</v>
      </c>
      <c r="AJ1944" s="15" t="s">
        <v>1148</v>
      </c>
      <c r="AK1944" s="15">
        <v>10.587999999999999</v>
      </c>
      <c r="AL1944" t="s">
        <v>1263</v>
      </c>
      <c r="AM1944">
        <f>14.967-10.588</f>
        <v>4.3790000000000013</v>
      </c>
      <c r="AP1944">
        <v>28</v>
      </c>
      <c r="AR1944" s="15" t="s">
        <v>1155</v>
      </c>
    </row>
    <row r="1945" spans="1:44" x14ac:dyDescent="0.2">
      <c r="A1945" t="s">
        <v>1378</v>
      </c>
      <c r="B1945" s="15" t="s">
        <v>1146</v>
      </c>
      <c r="C1945" s="15" t="s">
        <v>1149</v>
      </c>
      <c r="D1945" s="14" t="s">
        <v>475</v>
      </c>
      <c r="E1945" s="14" t="s">
        <v>3032</v>
      </c>
      <c r="G1945" s="15" t="s">
        <v>1165</v>
      </c>
      <c r="H1945" s="14" t="s">
        <v>1165</v>
      </c>
      <c r="I1945" s="14" t="s">
        <v>3033</v>
      </c>
      <c r="M1945" s="14" t="s">
        <v>3034</v>
      </c>
      <c r="O1945">
        <v>2004</v>
      </c>
      <c r="Q1945" t="s">
        <v>1329</v>
      </c>
      <c r="R1945">
        <v>14</v>
      </c>
      <c r="T1945" t="s">
        <v>3035</v>
      </c>
      <c r="U1945" s="14" t="s">
        <v>1246</v>
      </c>
      <c r="V1945" s="9" t="s">
        <v>3036</v>
      </c>
      <c r="W1945">
        <v>15</v>
      </c>
      <c r="X1945" s="9" t="s">
        <v>3040</v>
      </c>
      <c r="Z1945" s="5"/>
      <c r="AD1945" s="14" t="s">
        <v>1165</v>
      </c>
      <c r="AF1945" t="s">
        <v>1165</v>
      </c>
      <c r="AI1945" t="s">
        <v>1165</v>
      </c>
      <c r="AJ1945" s="15" t="s">
        <v>1148</v>
      </c>
      <c r="AK1945" s="15">
        <f>69.085</f>
        <v>69.084999999999994</v>
      </c>
      <c r="AL1945" t="s">
        <v>1263</v>
      </c>
      <c r="AM1945">
        <f>69.085-56.275</f>
        <v>12.809999999999995</v>
      </c>
      <c r="AP1945">
        <v>56</v>
      </c>
      <c r="AR1945" s="15" t="s">
        <v>1155</v>
      </c>
    </row>
    <row r="1946" spans="1:44" x14ac:dyDescent="0.2">
      <c r="A1946" t="s">
        <v>1378</v>
      </c>
      <c r="B1946" s="15" t="s">
        <v>1146</v>
      </c>
      <c r="C1946" s="15" t="s">
        <v>1149</v>
      </c>
      <c r="D1946" s="14" t="s">
        <v>475</v>
      </c>
      <c r="E1946" s="14" t="s">
        <v>3032</v>
      </c>
      <c r="G1946" s="15" t="s">
        <v>1165</v>
      </c>
      <c r="H1946" s="14" t="s">
        <v>1165</v>
      </c>
      <c r="I1946" s="14" t="s">
        <v>3033</v>
      </c>
      <c r="M1946" s="14" t="s">
        <v>3034</v>
      </c>
      <c r="O1946">
        <v>2004</v>
      </c>
      <c r="Q1946" t="s">
        <v>1329</v>
      </c>
      <c r="R1946">
        <v>14</v>
      </c>
      <c r="T1946" t="s">
        <v>3035</v>
      </c>
      <c r="U1946" s="14" t="s">
        <v>1246</v>
      </c>
      <c r="V1946" s="9" t="s">
        <v>3036</v>
      </c>
      <c r="W1946">
        <v>30</v>
      </c>
      <c r="X1946" s="9" t="s">
        <v>3040</v>
      </c>
      <c r="Z1946" s="5"/>
      <c r="AD1946" s="14" t="s">
        <v>1165</v>
      </c>
      <c r="AF1946" t="s">
        <v>1165</v>
      </c>
      <c r="AI1946" t="s">
        <v>1165</v>
      </c>
      <c r="AJ1946" s="15" t="s">
        <v>1148</v>
      </c>
      <c r="AK1946" s="15">
        <v>41.960999999999999</v>
      </c>
      <c r="AL1946" t="s">
        <v>1263</v>
      </c>
      <c r="AM1946">
        <f>46.078-41.961</f>
        <v>4.1170000000000044</v>
      </c>
      <c r="AP1946">
        <v>28</v>
      </c>
      <c r="AR1946" s="15" t="s">
        <v>1155</v>
      </c>
    </row>
    <row r="1947" spans="1:44" x14ac:dyDescent="0.2">
      <c r="A1947" t="s">
        <v>1378</v>
      </c>
      <c r="B1947" s="15" t="s">
        <v>1146</v>
      </c>
      <c r="C1947" s="15" t="s">
        <v>1149</v>
      </c>
      <c r="D1947" s="14" t="s">
        <v>475</v>
      </c>
      <c r="E1947" s="14" t="s">
        <v>3032</v>
      </c>
      <c r="G1947" s="15" t="s">
        <v>1165</v>
      </c>
      <c r="H1947" s="14" t="s">
        <v>1165</v>
      </c>
      <c r="I1947" s="14" t="s">
        <v>3033</v>
      </c>
      <c r="M1947" s="14" t="s">
        <v>3034</v>
      </c>
      <c r="O1947">
        <v>2004</v>
      </c>
      <c r="Q1947" t="s">
        <v>1329</v>
      </c>
      <c r="R1947">
        <v>14</v>
      </c>
      <c r="T1947" t="s">
        <v>3035</v>
      </c>
      <c r="U1947" s="14" t="s">
        <v>1246</v>
      </c>
      <c r="V1947" s="9" t="s">
        <v>3036</v>
      </c>
      <c r="W1947">
        <v>30</v>
      </c>
      <c r="X1947" s="9" t="s">
        <v>3040</v>
      </c>
      <c r="Z1947" s="5"/>
      <c r="AD1947" s="14" t="s">
        <v>1165</v>
      </c>
      <c r="AF1947" t="s">
        <v>1165</v>
      </c>
      <c r="AI1947" t="s">
        <v>1165</v>
      </c>
      <c r="AJ1947" s="15" t="s">
        <v>1148</v>
      </c>
      <c r="AK1947" s="15">
        <v>60.457999999999998</v>
      </c>
      <c r="AL1947" t="s">
        <v>1263</v>
      </c>
      <c r="AM1947">
        <f>66.471-60.458</f>
        <v>6.0130000000000052</v>
      </c>
      <c r="AP1947">
        <v>56</v>
      </c>
      <c r="AR1947" s="15" t="s">
        <v>1155</v>
      </c>
    </row>
    <row r="1948" spans="1:44" x14ac:dyDescent="0.2">
      <c r="A1948" t="s">
        <v>1378</v>
      </c>
      <c r="B1948" s="15" t="s">
        <v>1146</v>
      </c>
      <c r="C1948" s="15" t="s">
        <v>1149</v>
      </c>
      <c r="D1948" s="14" t="s">
        <v>475</v>
      </c>
      <c r="E1948" s="14" t="s">
        <v>3032</v>
      </c>
      <c r="G1948" s="15" t="s">
        <v>1165</v>
      </c>
      <c r="H1948" s="14" t="s">
        <v>1165</v>
      </c>
      <c r="I1948" s="14" t="s">
        <v>3033</v>
      </c>
      <c r="M1948" s="14" t="s">
        <v>3034</v>
      </c>
      <c r="O1948">
        <v>2004</v>
      </c>
      <c r="Q1948" t="s">
        <v>1329</v>
      </c>
      <c r="R1948">
        <v>14</v>
      </c>
      <c r="T1948" t="s">
        <v>3035</v>
      </c>
      <c r="U1948" s="14" t="s">
        <v>1246</v>
      </c>
      <c r="V1948" s="9" t="s">
        <v>3036</v>
      </c>
      <c r="W1948">
        <v>60</v>
      </c>
      <c r="X1948" s="9" t="s">
        <v>3040</v>
      </c>
      <c r="Z1948" s="5"/>
      <c r="AD1948" s="14" t="s">
        <v>1165</v>
      </c>
      <c r="AF1948" t="s">
        <v>1165</v>
      </c>
      <c r="AI1948" t="s">
        <v>1165</v>
      </c>
      <c r="AJ1948" s="15" t="s">
        <v>1148</v>
      </c>
      <c r="AK1948" s="15">
        <v>86.078000000000003</v>
      </c>
      <c r="AL1948" t="s">
        <v>1263</v>
      </c>
      <c r="AM1948">
        <f>89.216-86.078</f>
        <v>3.137999999999991</v>
      </c>
      <c r="AP1948">
        <v>28</v>
      </c>
      <c r="AR1948" s="15" t="s">
        <v>1155</v>
      </c>
    </row>
    <row r="1949" spans="1:44" x14ac:dyDescent="0.2">
      <c r="A1949" t="s">
        <v>1378</v>
      </c>
      <c r="B1949" s="15" t="s">
        <v>1146</v>
      </c>
      <c r="C1949" s="15" t="s">
        <v>1149</v>
      </c>
      <c r="D1949" s="14" t="s">
        <v>475</v>
      </c>
      <c r="E1949" s="14" t="s">
        <v>3032</v>
      </c>
      <c r="G1949" s="15" t="s">
        <v>1165</v>
      </c>
      <c r="H1949" s="14" t="s">
        <v>1165</v>
      </c>
      <c r="I1949" s="14" t="s">
        <v>3033</v>
      </c>
      <c r="M1949" s="14" t="s">
        <v>3034</v>
      </c>
      <c r="O1949">
        <v>2004</v>
      </c>
      <c r="Q1949" t="s">
        <v>1329</v>
      </c>
      <c r="R1949">
        <v>14</v>
      </c>
      <c r="T1949" t="s">
        <v>3035</v>
      </c>
      <c r="U1949" s="14" t="s">
        <v>1246</v>
      </c>
      <c r="V1949" s="9" t="s">
        <v>3036</v>
      </c>
      <c r="W1949">
        <v>60</v>
      </c>
      <c r="X1949" s="9" t="s">
        <v>3040</v>
      </c>
      <c r="Z1949" s="5"/>
      <c r="AD1949" s="14" t="s">
        <v>1165</v>
      </c>
      <c r="AF1949" t="s">
        <v>1165</v>
      </c>
      <c r="AI1949" t="s">
        <v>1165</v>
      </c>
      <c r="AJ1949" s="15" t="s">
        <v>1148</v>
      </c>
      <c r="AK1949" s="15">
        <f>88.954</f>
        <v>88.953999999999994</v>
      </c>
      <c r="AL1949" t="s">
        <v>1263</v>
      </c>
      <c r="AM1949">
        <f>92.876-88.954</f>
        <v>3.9220000000000113</v>
      </c>
      <c r="AP1949">
        <v>56</v>
      </c>
      <c r="AR1949" s="15" t="s">
        <v>1155</v>
      </c>
    </row>
    <row r="1950" spans="1:44" x14ac:dyDescent="0.2">
      <c r="A1950" t="s">
        <v>1378</v>
      </c>
      <c r="B1950" s="15" t="s">
        <v>1146</v>
      </c>
      <c r="C1950" s="15" t="s">
        <v>1149</v>
      </c>
      <c r="D1950" s="14" t="s">
        <v>475</v>
      </c>
      <c r="E1950" s="14" t="s">
        <v>3032</v>
      </c>
      <c r="G1950" s="15" t="s">
        <v>1165</v>
      </c>
      <c r="H1950" s="14" t="s">
        <v>1165</v>
      </c>
      <c r="I1950" s="14" t="s">
        <v>3033</v>
      </c>
      <c r="M1950" s="14" t="s">
        <v>3034</v>
      </c>
      <c r="O1950">
        <v>2004</v>
      </c>
      <c r="Q1950" t="s">
        <v>1329</v>
      </c>
      <c r="R1950">
        <v>14</v>
      </c>
      <c r="T1950" t="s">
        <v>3035</v>
      </c>
      <c r="U1950" s="14" t="s">
        <v>1246</v>
      </c>
      <c r="V1950" s="9" t="s">
        <v>3036</v>
      </c>
      <c r="W1950">
        <v>90</v>
      </c>
      <c r="X1950" s="9" t="s">
        <v>3040</v>
      </c>
      <c r="Z1950" s="5"/>
      <c r="AD1950" s="14" t="s">
        <v>1165</v>
      </c>
      <c r="AF1950" t="s">
        <v>1165</v>
      </c>
      <c r="AI1950" t="s">
        <v>1165</v>
      </c>
      <c r="AJ1950" s="15" t="s">
        <v>1148</v>
      </c>
      <c r="AK1950" s="15">
        <v>84.771000000000001</v>
      </c>
      <c r="AL1950" t="s">
        <v>1263</v>
      </c>
      <c r="AM1950">
        <f>89.477-84.771</f>
        <v>4.7060000000000031</v>
      </c>
      <c r="AP1950">
        <v>28</v>
      </c>
      <c r="AR1950" s="15" t="s">
        <v>1155</v>
      </c>
    </row>
    <row r="1951" spans="1:44" x14ac:dyDescent="0.2">
      <c r="A1951" t="s">
        <v>1378</v>
      </c>
      <c r="B1951" s="15" t="s">
        <v>1146</v>
      </c>
      <c r="C1951" s="15" t="s">
        <v>1149</v>
      </c>
      <c r="D1951" s="14" t="s">
        <v>475</v>
      </c>
      <c r="E1951" s="14" t="s">
        <v>3032</v>
      </c>
      <c r="G1951" s="15" t="s">
        <v>1165</v>
      </c>
      <c r="H1951" s="14" t="s">
        <v>1165</v>
      </c>
      <c r="I1951" s="14" t="s">
        <v>3033</v>
      </c>
      <c r="M1951" s="14" t="s">
        <v>3034</v>
      </c>
      <c r="O1951">
        <v>2004</v>
      </c>
      <c r="Q1951" t="s">
        <v>1329</v>
      </c>
      <c r="R1951">
        <v>14</v>
      </c>
      <c r="T1951" t="s">
        <v>3035</v>
      </c>
      <c r="U1951" s="14" t="s">
        <v>1246</v>
      </c>
      <c r="V1951" s="9" t="s">
        <v>3036</v>
      </c>
      <c r="W1951">
        <v>90</v>
      </c>
      <c r="X1951" s="9" t="s">
        <v>3040</v>
      </c>
      <c r="Z1951" s="5"/>
      <c r="AD1951" s="14" t="s">
        <v>1165</v>
      </c>
      <c r="AF1951" t="s">
        <v>1165</v>
      </c>
      <c r="AI1951" t="s">
        <v>1165</v>
      </c>
      <c r="AJ1951" s="15" t="s">
        <v>1148</v>
      </c>
      <c r="AK1951" s="15">
        <v>85.555999999999997</v>
      </c>
      <c r="AL1951" t="s">
        <v>1263</v>
      </c>
      <c r="AM1951">
        <f>91.569-85.556</f>
        <v>6.0130000000000052</v>
      </c>
      <c r="AP1951">
        <v>56</v>
      </c>
      <c r="AR1951" s="15" t="s">
        <v>1155</v>
      </c>
    </row>
    <row r="1952" spans="1:44" x14ac:dyDescent="0.2">
      <c r="A1952" t="s">
        <v>1378</v>
      </c>
      <c r="B1952" s="15" t="s">
        <v>1146</v>
      </c>
      <c r="C1952" s="15" t="s">
        <v>1149</v>
      </c>
      <c r="D1952" s="14" t="s">
        <v>475</v>
      </c>
      <c r="E1952" s="14" t="s">
        <v>3032</v>
      </c>
      <c r="G1952" s="15" t="s">
        <v>1165</v>
      </c>
      <c r="H1952" s="14" t="s">
        <v>1165</v>
      </c>
      <c r="I1952" s="14" t="s">
        <v>3033</v>
      </c>
      <c r="M1952" s="14" t="s">
        <v>3034</v>
      </c>
      <c r="O1952">
        <v>2004</v>
      </c>
      <c r="Q1952" t="s">
        <v>1329</v>
      </c>
      <c r="R1952">
        <v>14</v>
      </c>
      <c r="T1952" t="s">
        <v>3035</v>
      </c>
      <c r="U1952" s="14" t="s">
        <v>1246</v>
      </c>
      <c r="V1952" s="9" t="s">
        <v>3036</v>
      </c>
      <c r="W1952">
        <v>120</v>
      </c>
      <c r="X1952" s="9" t="s">
        <v>3040</v>
      </c>
      <c r="Z1952" s="5"/>
      <c r="AD1952" s="14" t="s">
        <v>1165</v>
      </c>
      <c r="AF1952" t="s">
        <v>1165</v>
      </c>
      <c r="AI1952" t="s">
        <v>1165</v>
      </c>
      <c r="AJ1952" s="15" t="s">
        <v>1148</v>
      </c>
      <c r="AK1952" s="15">
        <v>82.745000000000005</v>
      </c>
      <c r="AL1952" t="s">
        <v>1263</v>
      </c>
      <c r="AM1952">
        <f>86.078-82.745</f>
        <v>3.3329999999999984</v>
      </c>
      <c r="AP1952">
        <v>28</v>
      </c>
      <c r="AR1952" s="15" t="s">
        <v>1155</v>
      </c>
    </row>
    <row r="1953" spans="1:44" x14ac:dyDescent="0.2">
      <c r="A1953" t="s">
        <v>1378</v>
      </c>
      <c r="B1953" s="15" t="s">
        <v>1146</v>
      </c>
      <c r="C1953" s="15" t="s">
        <v>1149</v>
      </c>
      <c r="D1953" s="14" t="s">
        <v>475</v>
      </c>
      <c r="E1953" s="14" t="s">
        <v>3032</v>
      </c>
      <c r="G1953" s="15" t="s">
        <v>1165</v>
      </c>
      <c r="H1953" s="14" t="s">
        <v>1165</v>
      </c>
      <c r="I1953" s="14" t="s">
        <v>3033</v>
      </c>
      <c r="M1953" s="14" t="s">
        <v>3034</v>
      </c>
      <c r="O1953">
        <v>2004</v>
      </c>
      <c r="Q1953" t="s">
        <v>1329</v>
      </c>
      <c r="R1953">
        <v>14</v>
      </c>
      <c r="T1953" t="s">
        <v>3035</v>
      </c>
      <c r="U1953" s="14" t="s">
        <v>1246</v>
      </c>
      <c r="V1953" s="9" t="s">
        <v>3036</v>
      </c>
      <c r="W1953">
        <v>120</v>
      </c>
      <c r="X1953" s="9" t="s">
        <v>3040</v>
      </c>
      <c r="Z1953" s="5"/>
      <c r="AD1953" s="14" t="s">
        <v>1165</v>
      </c>
      <c r="AF1953" t="s">
        <v>1165</v>
      </c>
      <c r="AI1953" t="s">
        <v>1165</v>
      </c>
      <c r="AJ1953" s="15" t="s">
        <v>1148</v>
      </c>
      <c r="AK1953" s="15">
        <v>85.816999999999993</v>
      </c>
      <c r="AL1953" t="s">
        <v>1263</v>
      </c>
      <c r="AM1953">
        <f>90.261-85.817</f>
        <v>4.4440000000000026</v>
      </c>
      <c r="AP1953">
        <v>56</v>
      </c>
      <c r="AR1953" s="15" t="s">
        <v>1155</v>
      </c>
    </row>
    <row r="1954" spans="1:44" x14ac:dyDescent="0.2">
      <c r="A1954" t="s">
        <v>1378</v>
      </c>
      <c r="B1954" s="15" t="s">
        <v>1146</v>
      </c>
      <c r="C1954" s="15" t="s">
        <v>1149</v>
      </c>
      <c r="D1954" s="14" t="s">
        <v>475</v>
      </c>
      <c r="E1954" s="14" t="s">
        <v>3032</v>
      </c>
      <c r="G1954" s="15" t="s">
        <v>1165</v>
      </c>
      <c r="H1954" s="14" t="s">
        <v>1165</v>
      </c>
      <c r="I1954" s="14" t="s">
        <v>3033</v>
      </c>
      <c r="M1954" s="14" t="s">
        <v>3034</v>
      </c>
      <c r="O1954">
        <v>2004</v>
      </c>
      <c r="Q1954" t="s">
        <v>1329</v>
      </c>
      <c r="R1954">
        <v>14</v>
      </c>
      <c r="T1954" t="s">
        <v>3035</v>
      </c>
      <c r="U1954" s="14" t="s">
        <v>1246</v>
      </c>
      <c r="V1954" s="9" t="s">
        <v>3036</v>
      </c>
      <c r="W1954">
        <v>150</v>
      </c>
      <c r="X1954" s="9" t="s">
        <v>3040</v>
      </c>
      <c r="Z1954" s="5"/>
      <c r="AD1954" s="14" t="s">
        <v>1165</v>
      </c>
      <c r="AF1954" t="s">
        <v>1165</v>
      </c>
      <c r="AI1954" t="s">
        <v>1165</v>
      </c>
      <c r="AJ1954" s="15" t="s">
        <v>1148</v>
      </c>
      <c r="AK1954" s="15">
        <v>95.293999999999997</v>
      </c>
      <c r="AL1954" t="s">
        <v>1263</v>
      </c>
      <c r="AM1954">
        <f>100.458-95.294</f>
        <v>5.1640000000000015</v>
      </c>
      <c r="AP1954">
        <v>28</v>
      </c>
      <c r="AR1954" s="15" t="s">
        <v>1155</v>
      </c>
    </row>
    <row r="1955" spans="1:44" x14ac:dyDescent="0.2">
      <c r="A1955" t="s">
        <v>1378</v>
      </c>
      <c r="B1955" s="15" t="s">
        <v>1146</v>
      </c>
      <c r="C1955" s="15" t="s">
        <v>1149</v>
      </c>
      <c r="D1955" s="14" t="s">
        <v>475</v>
      </c>
      <c r="E1955" s="14" t="s">
        <v>3032</v>
      </c>
      <c r="G1955" s="15" t="s">
        <v>1165</v>
      </c>
      <c r="H1955" s="14" t="s">
        <v>1165</v>
      </c>
      <c r="I1955" s="14" t="s">
        <v>3033</v>
      </c>
      <c r="M1955" s="14" t="s">
        <v>3034</v>
      </c>
      <c r="O1955">
        <v>2004</v>
      </c>
      <c r="Q1955" t="s">
        <v>1329</v>
      </c>
      <c r="R1955">
        <v>14</v>
      </c>
      <c r="T1955" t="s">
        <v>3035</v>
      </c>
      <c r="U1955" s="14" t="s">
        <v>1246</v>
      </c>
      <c r="V1955" s="9" t="s">
        <v>3036</v>
      </c>
      <c r="W1955">
        <v>150</v>
      </c>
      <c r="X1955" s="9" t="s">
        <v>3040</v>
      </c>
      <c r="Z1955" s="5"/>
      <c r="AD1955" s="14" t="s">
        <v>1165</v>
      </c>
      <c r="AF1955" t="s">
        <v>1165</v>
      </c>
      <c r="AI1955" t="s">
        <v>1165</v>
      </c>
      <c r="AJ1955" s="15" t="s">
        <v>1148</v>
      </c>
      <c r="AK1955" s="15">
        <v>96.536000000000001</v>
      </c>
      <c r="AL1955" t="s">
        <v>1263</v>
      </c>
      <c r="AM1955">
        <f>100.719-96.536</f>
        <v>4.1829999999999927</v>
      </c>
      <c r="AP1955">
        <v>56</v>
      </c>
      <c r="AR1955" s="15" t="s">
        <v>1155</v>
      </c>
    </row>
    <row r="1956" spans="1:44" x14ac:dyDescent="0.2">
      <c r="A1956" t="s">
        <v>1378</v>
      </c>
      <c r="B1956" s="15" t="s">
        <v>1146</v>
      </c>
      <c r="C1956" s="15" t="s">
        <v>1149</v>
      </c>
      <c r="D1956" s="14" t="s">
        <v>475</v>
      </c>
      <c r="E1956" s="14" t="s">
        <v>3032</v>
      </c>
      <c r="G1956" s="15" t="s">
        <v>1165</v>
      </c>
      <c r="H1956" s="14" t="s">
        <v>1165</v>
      </c>
      <c r="I1956" s="14" t="s">
        <v>3033</v>
      </c>
      <c r="M1956" s="14" t="s">
        <v>3034</v>
      </c>
      <c r="O1956">
        <v>2004</v>
      </c>
      <c r="Q1956" t="s">
        <v>1329</v>
      </c>
      <c r="R1956">
        <v>14</v>
      </c>
      <c r="T1956" t="s">
        <v>3035</v>
      </c>
      <c r="U1956" s="14" t="s">
        <v>1246</v>
      </c>
      <c r="V1956" s="9" t="s">
        <v>3036</v>
      </c>
      <c r="W1956">
        <v>180</v>
      </c>
      <c r="X1956" s="9" t="s">
        <v>3040</v>
      </c>
      <c r="Z1956" s="5"/>
      <c r="AD1956" s="14" t="s">
        <v>1165</v>
      </c>
      <c r="AF1956" t="s">
        <v>1165</v>
      </c>
      <c r="AI1956" t="s">
        <v>1165</v>
      </c>
      <c r="AJ1956" s="15" t="s">
        <v>1148</v>
      </c>
      <c r="AK1956" s="15">
        <v>87.647000000000006</v>
      </c>
      <c r="AL1956" t="s">
        <v>1263</v>
      </c>
      <c r="AM1956">
        <f>93.339-87.647</f>
        <v>5.6919999999999931</v>
      </c>
      <c r="AP1956">
        <v>28</v>
      </c>
      <c r="AR1956" s="15" t="s">
        <v>1155</v>
      </c>
    </row>
    <row r="1957" spans="1:44" x14ac:dyDescent="0.2">
      <c r="A1957" t="s">
        <v>1378</v>
      </c>
      <c r="B1957" s="15" t="s">
        <v>1146</v>
      </c>
      <c r="C1957" s="15" t="s">
        <v>1149</v>
      </c>
      <c r="D1957" s="14" t="s">
        <v>475</v>
      </c>
      <c r="E1957" s="14" t="s">
        <v>3032</v>
      </c>
      <c r="G1957" s="15" t="s">
        <v>1165</v>
      </c>
      <c r="H1957" s="14" t="s">
        <v>1165</v>
      </c>
      <c r="I1957" s="14" t="s">
        <v>3033</v>
      </c>
      <c r="M1957" s="14" t="s">
        <v>3034</v>
      </c>
      <c r="O1957">
        <v>2004</v>
      </c>
      <c r="Q1957" t="s">
        <v>1329</v>
      </c>
      <c r="R1957">
        <v>14</v>
      </c>
      <c r="T1957" t="s">
        <v>3035</v>
      </c>
      <c r="U1957" s="14" t="s">
        <v>1246</v>
      </c>
      <c r="V1957" s="9" t="s">
        <v>3036</v>
      </c>
      <c r="W1957">
        <v>180</v>
      </c>
      <c r="X1957" s="9" t="s">
        <v>3040</v>
      </c>
      <c r="Z1957" s="5"/>
      <c r="AD1957" s="14" t="s">
        <v>1165</v>
      </c>
      <c r="AF1957" t="s">
        <v>1165</v>
      </c>
      <c r="AI1957" t="s">
        <v>1165</v>
      </c>
      <c r="AJ1957" s="15" t="s">
        <v>1148</v>
      </c>
      <c r="AK1957" s="15">
        <v>88.692999999999998</v>
      </c>
      <c r="AL1957" t="s">
        <v>1263</v>
      </c>
      <c r="AM1957">
        <f>94.183-88.693</f>
        <v>5.4900000000000091</v>
      </c>
      <c r="AP1957">
        <v>56</v>
      </c>
      <c r="AR1957" s="15" t="s">
        <v>1155</v>
      </c>
    </row>
    <row r="1958" spans="1:44" x14ac:dyDescent="0.2">
      <c r="A1958" t="s">
        <v>1378</v>
      </c>
      <c r="B1958" s="15" t="s">
        <v>1146</v>
      </c>
      <c r="C1958" s="15" t="s">
        <v>1149</v>
      </c>
      <c r="D1958" s="14" t="s">
        <v>475</v>
      </c>
      <c r="E1958" s="14" t="s">
        <v>3041</v>
      </c>
      <c r="G1958" s="15" t="s">
        <v>1165</v>
      </c>
      <c r="H1958" s="14" t="s">
        <v>1165</v>
      </c>
      <c r="I1958" s="14" t="s">
        <v>3033</v>
      </c>
      <c r="M1958" s="14" t="s">
        <v>3034</v>
      </c>
      <c r="O1958">
        <v>2004</v>
      </c>
      <c r="Q1958" t="s">
        <v>1329</v>
      </c>
      <c r="R1958">
        <v>14</v>
      </c>
      <c r="T1958" t="s">
        <v>3035</v>
      </c>
      <c r="U1958" s="14" t="s">
        <v>1246</v>
      </c>
      <c r="V1958" s="9" t="s">
        <v>3036</v>
      </c>
      <c r="W1958">
        <v>0</v>
      </c>
      <c r="X1958" s="9" t="s">
        <v>3037</v>
      </c>
      <c r="Z1958" s="5"/>
      <c r="AD1958" s="14" t="s">
        <v>1165</v>
      </c>
      <c r="AF1958" t="s">
        <v>1165</v>
      </c>
      <c r="AI1958" t="s">
        <v>1165</v>
      </c>
      <c r="AJ1958" s="15" t="s">
        <v>1148</v>
      </c>
      <c r="AK1958" s="15">
        <v>0</v>
      </c>
      <c r="AL1958" t="s">
        <v>1263</v>
      </c>
      <c r="AM1958">
        <v>0</v>
      </c>
      <c r="AP1958">
        <v>28</v>
      </c>
      <c r="AR1958" s="15" t="s">
        <v>1155</v>
      </c>
    </row>
    <row r="1959" spans="1:44" x14ac:dyDescent="0.2">
      <c r="A1959" t="s">
        <v>1378</v>
      </c>
      <c r="B1959" s="15" t="s">
        <v>1146</v>
      </c>
      <c r="C1959" s="15" t="s">
        <v>1149</v>
      </c>
      <c r="D1959" s="14" t="s">
        <v>475</v>
      </c>
      <c r="E1959" s="14" t="s">
        <v>3041</v>
      </c>
      <c r="G1959" s="15" t="s">
        <v>1165</v>
      </c>
      <c r="H1959" s="14" t="s">
        <v>1165</v>
      </c>
      <c r="I1959" s="14" t="s">
        <v>3033</v>
      </c>
      <c r="M1959" s="14" t="s">
        <v>3034</v>
      </c>
      <c r="O1959">
        <v>2004</v>
      </c>
      <c r="Q1959" t="s">
        <v>1329</v>
      </c>
      <c r="R1959">
        <v>14</v>
      </c>
      <c r="T1959" t="s">
        <v>3035</v>
      </c>
      <c r="U1959" s="14" t="s">
        <v>1246</v>
      </c>
      <c r="V1959" s="9" t="s">
        <v>3036</v>
      </c>
      <c r="W1959">
        <v>0</v>
      </c>
      <c r="X1959" s="9" t="s">
        <v>3037</v>
      </c>
      <c r="Z1959" s="5"/>
      <c r="AD1959" s="14" t="s">
        <v>1165</v>
      </c>
      <c r="AF1959" t="s">
        <v>1165</v>
      </c>
      <c r="AI1959" t="s">
        <v>1165</v>
      </c>
      <c r="AJ1959" s="15" t="s">
        <v>1148</v>
      </c>
      <c r="AK1959" s="15">
        <v>0</v>
      </c>
      <c r="AL1959" t="s">
        <v>1263</v>
      </c>
      <c r="AM1959">
        <v>0</v>
      </c>
      <c r="AP1959">
        <v>56</v>
      </c>
      <c r="AR1959" s="15" t="s">
        <v>1155</v>
      </c>
    </row>
    <row r="1960" spans="1:44" x14ac:dyDescent="0.2">
      <c r="A1960" t="s">
        <v>1378</v>
      </c>
      <c r="B1960" s="15" t="s">
        <v>1146</v>
      </c>
      <c r="C1960" s="15" t="s">
        <v>1149</v>
      </c>
      <c r="D1960" s="14" t="s">
        <v>475</v>
      </c>
      <c r="E1960" s="14" t="s">
        <v>3041</v>
      </c>
      <c r="G1960" s="15" t="s">
        <v>1165</v>
      </c>
      <c r="H1960" s="14" t="s">
        <v>1165</v>
      </c>
      <c r="I1960" s="14" t="s">
        <v>3033</v>
      </c>
      <c r="M1960" s="14" t="s">
        <v>3034</v>
      </c>
      <c r="O1960">
        <v>2004</v>
      </c>
      <c r="Q1960" t="s">
        <v>1329</v>
      </c>
      <c r="R1960">
        <v>14</v>
      </c>
      <c r="T1960" t="s">
        <v>3035</v>
      </c>
      <c r="U1960" s="14" t="s">
        <v>1246</v>
      </c>
      <c r="V1960" s="9" t="s">
        <v>3036</v>
      </c>
      <c r="W1960">
        <v>15</v>
      </c>
      <c r="X1960" s="9" t="s">
        <v>3037</v>
      </c>
      <c r="Z1960" s="5"/>
      <c r="AD1960" s="14" t="s">
        <v>1165</v>
      </c>
      <c r="AF1960" t="s">
        <v>1165</v>
      </c>
      <c r="AI1960" t="s">
        <v>1165</v>
      </c>
      <c r="AJ1960" s="15" t="s">
        <v>1148</v>
      </c>
      <c r="AK1960" s="15">
        <v>0</v>
      </c>
      <c r="AL1960" t="s">
        <v>1263</v>
      </c>
      <c r="AM1960">
        <v>0</v>
      </c>
      <c r="AP1960">
        <v>28</v>
      </c>
      <c r="AR1960" s="15" t="s">
        <v>1155</v>
      </c>
    </row>
    <row r="1961" spans="1:44" x14ac:dyDescent="0.2">
      <c r="A1961" t="s">
        <v>1378</v>
      </c>
      <c r="B1961" s="15" t="s">
        <v>1146</v>
      </c>
      <c r="C1961" s="15" t="s">
        <v>1149</v>
      </c>
      <c r="D1961" s="14" t="s">
        <v>475</v>
      </c>
      <c r="E1961" s="14" t="s">
        <v>3041</v>
      </c>
      <c r="G1961" s="15" t="s">
        <v>1165</v>
      </c>
      <c r="H1961" s="14" t="s">
        <v>1165</v>
      </c>
      <c r="I1961" s="14" t="s">
        <v>3033</v>
      </c>
      <c r="M1961" s="14" t="s">
        <v>3034</v>
      </c>
      <c r="O1961">
        <v>2004</v>
      </c>
      <c r="Q1961" t="s">
        <v>1329</v>
      </c>
      <c r="R1961">
        <v>14</v>
      </c>
      <c r="T1961" t="s">
        <v>3035</v>
      </c>
      <c r="U1961" s="14" t="s">
        <v>1246</v>
      </c>
      <c r="V1961" s="9" t="s">
        <v>3036</v>
      </c>
      <c r="W1961">
        <v>15</v>
      </c>
      <c r="X1961" s="9" t="s">
        <v>3037</v>
      </c>
      <c r="Z1961" s="5"/>
      <c r="AD1961" s="14" t="s">
        <v>1165</v>
      </c>
      <c r="AF1961" t="s">
        <v>1165</v>
      </c>
      <c r="AI1961" t="s">
        <v>1165</v>
      </c>
      <c r="AJ1961" s="15" t="s">
        <v>1148</v>
      </c>
      <c r="AK1961" s="15">
        <v>4.6319999999999997</v>
      </c>
      <c r="AL1961" t="s">
        <v>1263</v>
      </c>
      <c r="AM1961">
        <f>8.211-4.632</f>
        <v>3.5790000000000006</v>
      </c>
      <c r="AP1961">
        <v>56</v>
      </c>
      <c r="AR1961" s="15" t="s">
        <v>1155</v>
      </c>
    </row>
    <row r="1962" spans="1:44" x14ac:dyDescent="0.2">
      <c r="A1962" t="s">
        <v>1378</v>
      </c>
      <c r="B1962" s="15" t="s">
        <v>1146</v>
      </c>
      <c r="C1962" s="15" t="s">
        <v>1149</v>
      </c>
      <c r="D1962" s="14" t="s">
        <v>475</v>
      </c>
      <c r="E1962" s="14" t="s">
        <v>3041</v>
      </c>
      <c r="G1962" s="15" t="s">
        <v>1165</v>
      </c>
      <c r="H1962" s="14" t="s">
        <v>1165</v>
      </c>
      <c r="I1962" s="14" t="s">
        <v>3033</v>
      </c>
      <c r="M1962" s="14" t="s">
        <v>3034</v>
      </c>
      <c r="O1962">
        <v>2004</v>
      </c>
      <c r="Q1962" t="s">
        <v>1329</v>
      </c>
      <c r="R1962">
        <v>14</v>
      </c>
      <c r="T1962" t="s">
        <v>3035</v>
      </c>
      <c r="U1962" s="14" t="s">
        <v>1246</v>
      </c>
      <c r="V1962" s="9" t="s">
        <v>3036</v>
      </c>
      <c r="W1962">
        <v>30</v>
      </c>
      <c r="X1962" s="9" t="s">
        <v>3037</v>
      </c>
      <c r="Z1962" s="5"/>
      <c r="AD1962" s="14" t="s">
        <v>1165</v>
      </c>
      <c r="AF1962" t="s">
        <v>1165</v>
      </c>
      <c r="AI1962" t="s">
        <v>1165</v>
      </c>
      <c r="AJ1962" s="15" t="s">
        <v>1148</v>
      </c>
      <c r="AK1962" s="15">
        <v>0</v>
      </c>
      <c r="AL1962" t="s">
        <v>1263</v>
      </c>
      <c r="AM1962">
        <v>0</v>
      </c>
      <c r="AP1962">
        <v>28</v>
      </c>
      <c r="AR1962" s="15" t="s">
        <v>1155</v>
      </c>
    </row>
    <row r="1963" spans="1:44" x14ac:dyDescent="0.2">
      <c r="A1963" t="s">
        <v>1378</v>
      </c>
      <c r="B1963" s="15" t="s">
        <v>1146</v>
      </c>
      <c r="C1963" s="15" t="s">
        <v>1149</v>
      </c>
      <c r="D1963" s="14" t="s">
        <v>475</v>
      </c>
      <c r="E1963" s="14" t="s">
        <v>3041</v>
      </c>
      <c r="G1963" s="15" t="s">
        <v>1165</v>
      </c>
      <c r="H1963" s="14" t="s">
        <v>1165</v>
      </c>
      <c r="I1963" s="14" t="s">
        <v>3033</v>
      </c>
      <c r="M1963" s="14" t="s">
        <v>3034</v>
      </c>
      <c r="O1963">
        <v>2004</v>
      </c>
      <c r="Q1963" t="s">
        <v>1329</v>
      </c>
      <c r="R1963">
        <v>14</v>
      </c>
      <c r="T1963" t="s">
        <v>3035</v>
      </c>
      <c r="U1963" s="14" t="s">
        <v>1246</v>
      </c>
      <c r="V1963" s="9" t="s">
        <v>3036</v>
      </c>
      <c r="W1963">
        <v>30</v>
      </c>
      <c r="X1963" s="9" t="s">
        <v>3037</v>
      </c>
      <c r="Z1963" s="5"/>
      <c r="AD1963" s="14" t="s">
        <v>1165</v>
      </c>
      <c r="AF1963" t="s">
        <v>1165</v>
      </c>
      <c r="AI1963" t="s">
        <v>1165</v>
      </c>
      <c r="AJ1963" s="15" t="s">
        <v>1148</v>
      </c>
      <c r="AK1963" s="15">
        <v>48.631999999999998</v>
      </c>
      <c r="AL1963" t="s">
        <v>1263</v>
      </c>
      <c r="AM1963">
        <f>53.684-48.632</f>
        <v>5.0519999999999996</v>
      </c>
      <c r="AP1963">
        <v>56</v>
      </c>
      <c r="AR1963" s="15" t="s">
        <v>1155</v>
      </c>
    </row>
    <row r="1964" spans="1:44" x14ac:dyDescent="0.2">
      <c r="A1964" t="s">
        <v>1378</v>
      </c>
      <c r="B1964" s="15" t="s">
        <v>1146</v>
      </c>
      <c r="C1964" s="15" t="s">
        <v>1149</v>
      </c>
      <c r="D1964" s="14" t="s">
        <v>475</v>
      </c>
      <c r="E1964" s="14" t="s">
        <v>3041</v>
      </c>
      <c r="G1964" s="15" t="s">
        <v>1165</v>
      </c>
      <c r="H1964" s="14" t="s">
        <v>1165</v>
      </c>
      <c r="I1964" s="14" t="s">
        <v>3033</v>
      </c>
      <c r="M1964" s="14" t="s">
        <v>3034</v>
      </c>
      <c r="O1964">
        <v>2004</v>
      </c>
      <c r="Q1964" t="s">
        <v>1329</v>
      </c>
      <c r="R1964">
        <v>14</v>
      </c>
      <c r="T1964" t="s">
        <v>3035</v>
      </c>
      <c r="U1964" s="14" t="s">
        <v>1246</v>
      </c>
      <c r="V1964" s="9" t="s">
        <v>3036</v>
      </c>
      <c r="W1964">
        <v>60</v>
      </c>
      <c r="X1964" s="9" t="s">
        <v>3037</v>
      </c>
      <c r="Z1964" s="5"/>
      <c r="AD1964" s="14" t="s">
        <v>1165</v>
      </c>
      <c r="AF1964" t="s">
        <v>1165</v>
      </c>
      <c r="AI1964" t="s">
        <v>1165</v>
      </c>
      <c r="AJ1964" s="15" t="s">
        <v>1148</v>
      </c>
      <c r="AK1964" s="15">
        <v>0</v>
      </c>
      <c r="AM1964">
        <v>0</v>
      </c>
      <c r="AP1964">
        <v>28</v>
      </c>
      <c r="AR1964" s="15" t="s">
        <v>1155</v>
      </c>
    </row>
    <row r="1965" spans="1:44" x14ac:dyDescent="0.2">
      <c r="A1965" t="s">
        <v>1378</v>
      </c>
      <c r="B1965" s="15" t="s">
        <v>1146</v>
      </c>
      <c r="C1965" s="15" t="s">
        <v>1149</v>
      </c>
      <c r="D1965" s="14" t="s">
        <v>475</v>
      </c>
      <c r="E1965" s="14" t="s">
        <v>3041</v>
      </c>
      <c r="G1965" s="15" t="s">
        <v>1165</v>
      </c>
      <c r="H1965" s="14" t="s">
        <v>1165</v>
      </c>
      <c r="I1965" s="14" t="s">
        <v>3033</v>
      </c>
      <c r="M1965" s="14" t="s">
        <v>3034</v>
      </c>
      <c r="O1965">
        <v>2004</v>
      </c>
      <c r="Q1965" t="s">
        <v>1329</v>
      </c>
      <c r="R1965">
        <v>14</v>
      </c>
      <c r="T1965" t="s">
        <v>3035</v>
      </c>
      <c r="U1965" s="14" t="s">
        <v>1246</v>
      </c>
      <c r="V1965" s="9" t="s">
        <v>3036</v>
      </c>
      <c r="W1965">
        <v>60</v>
      </c>
      <c r="X1965" s="9" t="s">
        <v>3037</v>
      </c>
      <c r="Z1965" s="5"/>
      <c r="AD1965" s="14" t="s">
        <v>1165</v>
      </c>
      <c r="AF1965" t="s">
        <v>1165</v>
      </c>
      <c r="AI1965" t="s">
        <v>1165</v>
      </c>
      <c r="AJ1965" s="15" t="s">
        <v>1148</v>
      </c>
      <c r="AK1965" s="15">
        <v>66.316000000000003</v>
      </c>
      <c r="AL1965" t="s">
        <v>1263</v>
      </c>
      <c r="AM1965">
        <f>69.684-66.316</f>
        <v>3.367999999999995</v>
      </c>
      <c r="AP1965">
        <v>56</v>
      </c>
      <c r="AR1965" s="15" t="s">
        <v>1155</v>
      </c>
    </row>
    <row r="1966" spans="1:44" x14ac:dyDescent="0.2">
      <c r="A1966" t="s">
        <v>1378</v>
      </c>
      <c r="B1966" s="15" t="s">
        <v>1146</v>
      </c>
      <c r="C1966" s="15" t="s">
        <v>1149</v>
      </c>
      <c r="D1966" s="14" t="s">
        <v>475</v>
      </c>
      <c r="E1966" s="14" t="s">
        <v>3041</v>
      </c>
      <c r="G1966" s="15" t="s">
        <v>1165</v>
      </c>
      <c r="H1966" s="14" t="s">
        <v>1165</v>
      </c>
      <c r="I1966" s="14" t="s">
        <v>3033</v>
      </c>
      <c r="M1966" s="14" t="s">
        <v>3034</v>
      </c>
      <c r="O1966">
        <v>2004</v>
      </c>
      <c r="Q1966" t="s">
        <v>1329</v>
      </c>
      <c r="R1966">
        <v>14</v>
      </c>
      <c r="T1966" t="s">
        <v>3035</v>
      </c>
      <c r="U1966" s="14" t="s">
        <v>1246</v>
      </c>
      <c r="V1966" s="9" t="s">
        <v>3036</v>
      </c>
      <c r="W1966">
        <v>90</v>
      </c>
      <c r="X1966" s="9" t="s">
        <v>3037</v>
      </c>
      <c r="Z1966" s="5"/>
      <c r="AD1966" s="14" t="s">
        <v>1165</v>
      </c>
      <c r="AF1966" t="s">
        <v>1165</v>
      </c>
      <c r="AI1966" t="s">
        <v>1165</v>
      </c>
      <c r="AJ1966" s="15" t="s">
        <v>1148</v>
      </c>
      <c r="AK1966" s="15">
        <v>0</v>
      </c>
      <c r="AL1966" t="s">
        <v>1263</v>
      </c>
      <c r="AM1966">
        <v>0</v>
      </c>
      <c r="AP1966">
        <v>28</v>
      </c>
      <c r="AR1966" s="15" t="s">
        <v>1155</v>
      </c>
    </row>
    <row r="1967" spans="1:44" x14ac:dyDescent="0.2">
      <c r="A1967" t="s">
        <v>1378</v>
      </c>
      <c r="B1967" s="15" t="s">
        <v>1146</v>
      </c>
      <c r="C1967" s="15" t="s">
        <v>1149</v>
      </c>
      <c r="D1967" s="14" t="s">
        <v>475</v>
      </c>
      <c r="E1967" s="14" t="s">
        <v>3041</v>
      </c>
      <c r="G1967" s="15" t="s">
        <v>1165</v>
      </c>
      <c r="H1967" s="14" t="s">
        <v>1165</v>
      </c>
      <c r="I1967" s="14" t="s">
        <v>3033</v>
      </c>
      <c r="M1967" s="14" t="s">
        <v>3034</v>
      </c>
      <c r="O1967">
        <v>2004</v>
      </c>
      <c r="Q1967" t="s">
        <v>1329</v>
      </c>
      <c r="R1967">
        <v>14</v>
      </c>
      <c r="T1967" t="s">
        <v>3035</v>
      </c>
      <c r="U1967" s="14" t="s">
        <v>1246</v>
      </c>
      <c r="V1967" s="9" t="s">
        <v>3036</v>
      </c>
      <c r="W1967">
        <v>90</v>
      </c>
      <c r="X1967" s="9" t="s">
        <v>3037</v>
      </c>
      <c r="Z1967" s="5"/>
      <c r="AD1967" s="14" t="s">
        <v>1165</v>
      </c>
      <c r="AF1967" t="s">
        <v>1165</v>
      </c>
      <c r="AI1967" t="s">
        <v>1165</v>
      </c>
      <c r="AJ1967" s="15" t="s">
        <v>1148</v>
      </c>
      <c r="AK1967" s="15">
        <v>72.421000000000006</v>
      </c>
      <c r="AL1967" t="s">
        <v>1263</v>
      </c>
      <c r="AM1967">
        <f>83.579-72.421</f>
        <v>11.157999999999987</v>
      </c>
      <c r="AP1967">
        <v>56</v>
      </c>
      <c r="AR1967" s="15" t="s">
        <v>1155</v>
      </c>
    </row>
    <row r="1968" spans="1:44" x14ac:dyDescent="0.2">
      <c r="A1968" t="s">
        <v>1378</v>
      </c>
      <c r="B1968" s="15" t="s">
        <v>1146</v>
      </c>
      <c r="C1968" s="15" t="s">
        <v>1149</v>
      </c>
      <c r="D1968" s="14" t="s">
        <v>475</v>
      </c>
      <c r="E1968" s="14" t="s">
        <v>3041</v>
      </c>
      <c r="G1968" s="15" t="s">
        <v>1165</v>
      </c>
      <c r="H1968" s="14" t="s">
        <v>1165</v>
      </c>
      <c r="I1968" s="14" t="s">
        <v>3033</v>
      </c>
      <c r="M1968" s="14" t="s">
        <v>3034</v>
      </c>
      <c r="O1968">
        <v>2004</v>
      </c>
      <c r="Q1968" t="s">
        <v>1329</v>
      </c>
      <c r="R1968">
        <v>14</v>
      </c>
      <c r="T1968" t="s">
        <v>3035</v>
      </c>
      <c r="U1968" s="14" t="s">
        <v>1246</v>
      </c>
      <c r="V1968" s="9" t="s">
        <v>3036</v>
      </c>
      <c r="W1968">
        <v>120</v>
      </c>
      <c r="X1968" s="9" t="s">
        <v>3037</v>
      </c>
      <c r="Z1968" s="5"/>
      <c r="AD1968" s="14" t="s">
        <v>1165</v>
      </c>
      <c r="AF1968" t="s">
        <v>1165</v>
      </c>
      <c r="AI1968" t="s">
        <v>1165</v>
      </c>
      <c r="AJ1968" s="15" t="s">
        <v>1148</v>
      </c>
      <c r="AK1968" s="15">
        <v>0</v>
      </c>
      <c r="AL1968" t="s">
        <v>1263</v>
      </c>
      <c r="AM1968">
        <v>0</v>
      </c>
      <c r="AP1968">
        <v>28</v>
      </c>
      <c r="AR1968" s="15" t="s">
        <v>1155</v>
      </c>
    </row>
    <row r="1969" spans="1:44" x14ac:dyDescent="0.2">
      <c r="A1969" t="s">
        <v>1378</v>
      </c>
      <c r="B1969" s="15" t="s">
        <v>1146</v>
      </c>
      <c r="C1969" s="15" t="s">
        <v>1149</v>
      </c>
      <c r="D1969" s="14" t="s">
        <v>475</v>
      </c>
      <c r="E1969" s="14" t="s">
        <v>3041</v>
      </c>
      <c r="G1969" s="15" t="s">
        <v>1165</v>
      </c>
      <c r="H1969" s="14" t="s">
        <v>1165</v>
      </c>
      <c r="I1969" s="14" t="s">
        <v>3033</v>
      </c>
      <c r="M1969" s="14" t="s">
        <v>3034</v>
      </c>
      <c r="O1969">
        <v>2004</v>
      </c>
      <c r="Q1969" t="s">
        <v>1329</v>
      </c>
      <c r="R1969">
        <v>14</v>
      </c>
      <c r="T1969" t="s">
        <v>3035</v>
      </c>
      <c r="U1969" s="14" t="s">
        <v>1246</v>
      </c>
      <c r="V1969" s="9" t="s">
        <v>3036</v>
      </c>
      <c r="W1969">
        <v>120</v>
      </c>
      <c r="X1969" s="9" t="s">
        <v>3037</v>
      </c>
      <c r="Z1969" s="5"/>
      <c r="AD1969" s="14" t="s">
        <v>1165</v>
      </c>
      <c r="AF1969" t="s">
        <v>1165</v>
      </c>
      <c r="AI1969" t="s">
        <v>1165</v>
      </c>
      <c r="AJ1969" s="15" t="s">
        <v>1148</v>
      </c>
      <c r="AK1969" s="15">
        <v>42.737000000000002</v>
      </c>
      <c r="AL1969" t="s">
        <v>1263</v>
      </c>
      <c r="AM1969">
        <f>46.526-42.737</f>
        <v>3.7890000000000015</v>
      </c>
      <c r="AP1969">
        <v>56</v>
      </c>
      <c r="AR1969" s="15" t="s">
        <v>1155</v>
      </c>
    </row>
    <row r="1970" spans="1:44" x14ac:dyDescent="0.2">
      <c r="A1970" t="s">
        <v>1378</v>
      </c>
      <c r="B1970" s="15" t="s">
        <v>1146</v>
      </c>
      <c r="C1970" s="15" t="s">
        <v>1149</v>
      </c>
      <c r="D1970" s="14" t="s">
        <v>475</v>
      </c>
      <c r="E1970" s="14" t="s">
        <v>3041</v>
      </c>
      <c r="G1970" s="15" t="s">
        <v>1165</v>
      </c>
      <c r="H1970" s="14" t="s">
        <v>1165</v>
      </c>
      <c r="I1970" s="14" t="s">
        <v>3033</v>
      </c>
      <c r="M1970" s="14" t="s">
        <v>3034</v>
      </c>
      <c r="O1970">
        <v>2004</v>
      </c>
      <c r="Q1970" t="s">
        <v>1329</v>
      </c>
      <c r="R1970">
        <v>14</v>
      </c>
      <c r="T1970" t="s">
        <v>3035</v>
      </c>
      <c r="U1970" s="14" t="s">
        <v>1246</v>
      </c>
      <c r="V1970" s="9" t="s">
        <v>3036</v>
      </c>
      <c r="W1970">
        <v>150</v>
      </c>
      <c r="X1970" s="9" t="s">
        <v>3037</v>
      </c>
      <c r="Z1970" s="5"/>
      <c r="AD1970" s="14" t="s">
        <v>1165</v>
      </c>
      <c r="AF1970" t="s">
        <v>1165</v>
      </c>
      <c r="AI1970" t="s">
        <v>1165</v>
      </c>
      <c r="AJ1970" s="15" t="s">
        <v>1148</v>
      </c>
      <c r="AK1970" s="15">
        <v>0</v>
      </c>
      <c r="AL1970" t="s">
        <v>1263</v>
      </c>
      <c r="AM1970">
        <v>0</v>
      </c>
      <c r="AP1970">
        <v>28</v>
      </c>
      <c r="AR1970" s="15" t="s">
        <v>1155</v>
      </c>
    </row>
    <row r="1971" spans="1:44" x14ac:dyDescent="0.2">
      <c r="A1971" t="s">
        <v>1378</v>
      </c>
      <c r="B1971" s="15" t="s">
        <v>1146</v>
      </c>
      <c r="C1971" s="15" t="s">
        <v>1149</v>
      </c>
      <c r="D1971" s="14" t="s">
        <v>475</v>
      </c>
      <c r="E1971" s="14" t="s">
        <v>3041</v>
      </c>
      <c r="G1971" s="15" t="s">
        <v>1165</v>
      </c>
      <c r="H1971" s="14" t="s">
        <v>1165</v>
      </c>
      <c r="I1971" s="14" t="s">
        <v>3033</v>
      </c>
      <c r="M1971" s="14" t="s">
        <v>3034</v>
      </c>
      <c r="O1971">
        <v>2004</v>
      </c>
      <c r="Q1971" t="s">
        <v>1329</v>
      </c>
      <c r="R1971">
        <v>14</v>
      </c>
      <c r="T1971" t="s">
        <v>3035</v>
      </c>
      <c r="U1971" s="14" t="s">
        <v>1246</v>
      </c>
      <c r="V1971" s="9" t="s">
        <v>3036</v>
      </c>
      <c r="W1971">
        <v>150</v>
      </c>
      <c r="X1971" s="9" t="s">
        <v>3037</v>
      </c>
      <c r="Z1971" s="5"/>
      <c r="AD1971" s="14" t="s">
        <v>1165</v>
      </c>
      <c r="AF1971" t="s">
        <v>1165</v>
      </c>
      <c r="AI1971" t="s">
        <v>1165</v>
      </c>
      <c r="AJ1971" s="15" t="s">
        <v>1148</v>
      </c>
      <c r="AK1971" s="15">
        <v>83.789000000000001</v>
      </c>
      <c r="AL1971" t="s">
        <v>1263</v>
      </c>
      <c r="AM1971">
        <f>87.789-83.789</f>
        <v>4</v>
      </c>
      <c r="AP1971">
        <v>56</v>
      </c>
      <c r="AR1971" s="15" t="s">
        <v>1155</v>
      </c>
    </row>
    <row r="1972" spans="1:44" x14ac:dyDescent="0.2">
      <c r="A1972" t="s">
        <v>1378</v>
      </c>
      <c r="B1972" s="15" t="s">
        <v>1146</v>
      </c>
      <c r="C1972" s="15" t="s">
        <v>1149</v>
      </c>
      <c r="D1972" s="14" t="s">
        <v>475</v>
      </c>
      <c r="E1972" s="14" t="s">
        <v>3041</v>
      </c>
      <c r="G1972" s="15" t="s">
        <v>1165</v>
      </c>
      <c r="H1972" s="14" t="s">
        <v>1165</v>
      </c>
      <c r="I1972" s="14" t="s">
        <v>3033</v>
      </c>
      <c r="M1972" s="14" t="s">
        <v>3034</v>
      </c>
      <c r="O1972">
        <v>2004</v>
      </c>
      <c r="Q1972" t="s">
        <v>1329</v>
      </c>
      <c r="R1972">
        <v>14</v>
      </c>
      <c r="T1972" t="s">
        <v>3035</v>
      </c>
      <c r="U1972" s="14" t="s">
        <v>1246</v>
      </c>
      <c r="V1972" s="9" t="s">
        <v>3036</v>
      </c>
      <c r="W1972">
        <v>180</v>
      </c>
      <c r="X1972" s="9" t="s">
        <v>3037</v>
      </c>
      <c r="Z1972" s="5"/>
      <c r="AD1972" s="14" t="s">
        <v>1165</v>
      </c>
      <c r="AF1972" t="s">
        <v>1165</v>
      </c>
      <c r="AI1972" t="s">
        <v>1165</v>
      </c>
      <c r="AJ1972" s="15" t="s">
        <v>1148</v>
      </c>
      <c r="AK1972" s="15">
        <v>0</v>
      </c>
      <c r="AL1972" t="s">
        <v>1263</v>
      </c>
      <c r="AM1972">
        <v>0</v>
      </c>
      <c r="AP1972">
        <v>28</v>
      </c>
      <c r="AR1972" s="15" t="s">
        <v>1155</v>
      </c>
    </row>
    <row r="1973" spans="1:44" x14ac:dyDescent="0.2">
      <c r="A1973" t="s">
        <v>1378</v>
      </c>
      <c r="B1973" s="15" t="s">
        <v>1146</v>
      </c>
      <c r="C1973" s="15" t="s">
        <v>1149</v>
      </c>
      <c r="D1973" s="14" t="s">
        <v>475</v>
      </c>
      <c r="E1973" s="14" t="s">
        <v>3041</v>
      </c>
      <c r="G1973" s="15" t="s">
        <v>1165</v>
      </c>
      <c r="H1973" s="14" t="s">
        <v>1165</v>
      </c>
      <c r="I1973" s="14" t="s">
        <v>3033</v>
      </c>
      <c r="M1973" s="14" t="s">
        <v>3034</v>
      </c>
      <c r="O1973">
        <v>2004</v>
      </c>
      <c r="Q1973" t="s">
        <v>1329</v>
      </c>
      <c r="R1973">
        <v>14</v>
      </c>
      <c r="T1973" t="s">
        <v>3035</v>
      </c>
      <c r="U1973" s="14" t="s">
        <v>1246</v>
      </c>
      <c r="V1973" s="9" t="s">
        <v>3036</v>
      </c>
      <c r="W1973">
        <v>180</v>
      </c>
      <c r="X1973" s="9" t="s">
        <v>3037</v>
      </c>
      <c r="Z1973" s="5"/>
      <c r="AD1973" s="14" t="s">
        <v>1165</v>
      </c>
      <c r="AF1973" t="s">
        <v>1165</v>
      </c>
      <c r="AI1973" t="s">
        <v>1165</v>
      </c>
      <c r="AJ1973" s="15" t="s">
        <v>1148</v>
      </c>
      <c r="AK1973" s="15">
        <v>92.421000000000006</v>
      </c>
      <c r="AL1973" t="s">
        <v>1263</v>
      </c>
      <c r="AM1973">
        <f>95.789-92.421</f>
        <v>3.367999999999995</v>
      </c>
      <c r="AP1973">
        <v>56</v>
      </c>
      <c r="AR1973" s="15" t="s">
        <v>1155</v>
      </c>
    </row>
    <row r="1974" spans="1:44" x14ac:dyDescent="0.2">
      <c r="A1974" t="s">
        <v>1378</v>
      </c>
      <c r="B1974" s="15" t="s">
        <v>1146</v>
      </c>
      <c r="C1974" s="15" t="s">
        <v>1149</v>
      </c>
      <c r="D1974" s="14" t="s">
        <v>475</v>
      </c>
      <c r="E1974" s="14" t="s">
        <v>3041</v>
      </c>
      <c r="G1974" s="15" t="s">
        <v>1165</v>
      </c>
      <c r="H1974" s="14" t="s">
        <v>1165</v>
      </c>
      <c r="I1974" s="14" t="s">
        <v>3033</v>
      </c>
      <c r="M1974" s="14" t="s">
        <v>3034</v>
      </c>
      <c r="O1974">
        <v>2004</v>
      </c>
      <c r="Q1974" t="s">
        <v>1329</v>
      </c>
      <c r="R1974">
        <v>14</v>
      </c>
      <c r="T1974" t="s">
        <v>3035</v>
      </c>
      <c r="U1974" s="14" t="s">
        <v>1246</v>
      </c>
      <c r="V1974" s="9" t="s">
        <v>3036</v>
      </c>
      <c r="W1974">
        <v>0</v>
      </c>
      <c r="X1974" s="9" t="s">
        <v>3038</v>
      </c>
      <c r="Z1974" s="5"/>
      <c r="AD1974" s="14" t="s">
        <v>1165</v>
      </c>
      <c r="AF1974" t="s">
        <v>1165</v>
      </c>
      <c r="AI1974" t="s">
        <v>1165</v>
      </c>
      <c r="AJ1974" s="15" t="s">
        <v>1148</v>
      </c>
      <c r="AK1974" s="15">
        <v>0</v>
      </c>
      <c r="AL1974" t="s">
        <v>1263</v>
      </c>
      <c r="AM1974">
        <v>0</v>
      </c>
      <c r="AP1974">
        <v>28</v>
      </c>
      <c r="AR1974" s="15" t="s">
        <v>1155</v>
      </c>
    </row>
    <row r="1975" spans="1:44" x14ac:dyDescent="0.2">
      <c r="A1975" t="s">
        <v>1378</v>
      </c>
      <c r="B1975" s="15" t="s">
        <v>1146</v>
      </c>
      <c r="C1975" s="15" t="s">
        <v>1149</v>
      </c>
      <c r="D1975" s="14" t="s">
        <v>475</v>
      </c>
      <c r="E1975" s="14" t="s">
        <v>3041</v>
      </c>
      <c r="G1975" s="15" t="s">
        <v>1165</v>
      </c>
      <c r="H1975" s="14" t="s">
        <v>1165</v>
      </c>
      <c r="I1975" s="14" t="s">
        <v>3033</v>
      </c>
      <c r="M1975" s="14" t="s">
        <v>3034</v>
      </c>
      <c r="O1975">
        <v>2004</v>
      </c>
      <c r="Q1975" t="s">
        <v>1329</v>
      </c>
      <c r="R1975">
        <v>14</v>
      </c>
      <c r="T1975" t="s">
        <v>3035</v>
      </c>
      <c r="U1975" s="14" t="s">
        <v>1246</v>
      </c>
      <c r="V1975" s="9" t="s">
        <v>3036</v>
      </c>
      <c r="W1975">
        <v>0</v>
      </c>
      <c r="X1975" s="9" t="s">
        <v>3038</v>
      </c>
      <c r="Z1975" s="5"/>
      <c r="AD1975" s="14" t="s">
        <v>1165</v>
      </c>
      <c r="AF1975" t="s">
        <v>1165</v>
      </c>
      <c r="AI1975" t="s">
        <v>1165</v>
      </c>
      <c r="AJ1975" s="15" t="s">
        <v>1148</v>
      </c>
      <c r="AK1975" s="15">
        <v>5.532</v>
      </c>
      <c r="AL1975" t="s">
        <v>1263</v>
      </c>
      <c r="AM1975">
        <f>8.298-5.532</f>
        <v>2.766</v>
      </c>
      <c r="AP1975">
        <v>56</v>
      </c>
      <c r="AR1975" s="15" t="s">
        <v>1155</v>
      </c>
    </row>
    <row r="1976" spans="1:44" x14ac:dyDescent="0.2">
      <c r="A1976" t="s">
        <v>1378</v>
      </c>
      <c r="B1976" s="15" t="s">
        <v>1146</v>
      </c>
      <c r="C1976" s="15" t="s">
        <v>1149</v>
      </c>
      <c r="D1976" s="14" t="s">
        <v>475</v>
      </c>
      <c r="E1976" s="14" t="s">
        <v>3041</v>
      </c>
      <c r="G1976" s="15" t="s">
        <v>1165</v>
      </c>
      <c r="H1976" s="14" t="s">
        <v>1165</v>
      </c>
      <c r="I1976" s="14" t="s">
        <v>3033</v>
      </c>
      <c r="M1976" s="14" t="s">
        <v>3034</v>
      </c>
      <c r="O1976">
        <v>2004</v>
      </c>
      <c r="Q1976" t="s">
        <v>1329</v>
      </c>
      <c r="R1976">
        <v>14</v>
      </c>
      <c r="T1976" t="s">
        <v>3035</v>
      </c>
      <c r="U1976" s="14" t="s">
        <v>1246</v>
      </c>
      <c r="V1976" s="9" t="s">
        <v>3036</v>
      </c>
      <c r="W1976">
        <v>15</v>
      </c>
      <c r="X1976" s="9" t="s">
        <v>3038</v>
      </c>
      <c r="Z1976" s="5"/>
      <c r="AD1976" s="14" t="s">
        <v>1165</v>
      </c>
      <c r="AF1976" t="s">
        <v>1165</v>
      </c>
      <c r="AI1976" t="s">
        <v>1165</v>
      </c>
      <c r="AJ1976" s="15" t="s">
        <v>1148</v>
      </c>
      <c r="AK1976" s="15">
        <v>67.447000000000003</v>
      </c>
      <c r="AL1976" t="s">
        <v>1263</v>
      </c>
      <c r="AM1976">
        <f>72.128-67.447</f>
        <v>4.6809999999999974</v>
      </c>
      <c r="AP1976">
        <v>28</v>
      </c>
      <c r="AR1976" s="15" t="s">
        <v>1155</v>
      </c>
    </row>
    <row r="1977" spans="1:44" x14ac:dyDescent="0.2">
      <c r="A1977" t="s">
        <v>1378</v>
      </c>
      <c r="B1977" s="15" t="s">
        <v>1146</v>
      </c>
      <c r="C1977" s="15" t="s">
        <v>1149</v>
      </c>
      <c r="D1977" s="14" t="s">
        <v>475</v>
      </c>
      <c r="E1977" s="14" t="s">
        <v>3041</v>
      </c>
      <c r="G1977" s="15" t="s">
        <v>1165</v>
      </c>
      <c r="H1977" s="14" t="s">
        <v>1165</v>
      </c>
      <c r="I1977" s="14" t="s">
        <v>3033</v>
      </c>
      <c r="M1977" s="14" t="s">
        <v>3034</v>
      </c>
      <c r="O1977">
        <v>2004</v>
      </c>
      <c r="Q1977" t="s">
        <v>1329</v>
      </c>
      <c r="R1977">
        <v>14</v>
      </c>
      <c r="T1977" t="s">
        <v>3035</v>
      </c>
      <c r="U1977" s="14" t="s">
        <v>1246</v>
      </c>
      <c r="V1977" s="9" t="s">
        <v>3036</v>
      </c>
      <c r="W1977">
        <v>15</v>
      </c>
      <c r="X1977" s="9" t="s">
        <v>3038</v>
      </c>
      <c r="Z1977" s="5"/>
      <c r="AD1977" s="14" t="s">
        <v>1165</v>
      </c>
      <c r="AF1977" t="s">
        <v>1165</v>
      </c>
      <c r="AI1977" t="s">
        <v>1165</v>
      </c>
      <c r="AJ1977" s="15" t="s">
        <v>1148</v>
      </c>
      <c r="AK1977" s="15">
        <v>100</v>
      </c>
      <c r="AL1977" t="s">
        <v>1263</v>
      </c>
      <c r="AM1977">
        <f>104.468-101.915</f>
        <v>2.5529999999999973</v>
      </c>
      <c r="AP1977">
        <v>56</v>
      </c>
      <c r="AR1977" s="15" t="s">
        <v>1155</v>
      </c>
    </row>
    <row r="1978" spans="1:44" x14ac:dyDescent="0.2">
      <c r="A1978" t="s">
        <v>1378</v>
      </c>
      <c r="B1978" s="15" t="s">
        <v>1146</v>
      </c>
      <c r="C1978" s="15" t="s">
        <v>1149</v>
      </c>
      <c r="D1978" s="14" t="s">
        <v>475</v>
      </c>
      <c r="E1978" s="14" t="s">
        <v>3041</v>
      </c>
      <c r="G1978" s="15" t="s">
        <v>1165</v>
      </c>
      <c r="H1978" s="14" t="s">
        <v>1165</v>
      </c>
      <c r="I1978" s="14" t="s">
        <v>3033</v>
      </c>
      <c r="M1978" s="14" t="s">
        <v>3034</v>
      </c>
      <c r="O1978">
        <v>2004</v>
      </c>
      <c r="Q1978" t="s">
        <v>1329</v>
      </c>
      <c r="R1978">
        <v>14</v>
      </c>
      <c r="T1978" t="s">
        <v>3035</v>
      </c>
      <c r="U1978" s="14" t="s">
        <v>1246</v>
      </c>
      <c r="V1978" s="9" t="s">
        <v>3036</v>
      </c>
      <c r="W1978">
        <v>30</v>
      </c>
      <c r="X1978" s="9" t="s">
        <v>3038</v>
      </c>
      <c r="Z1978" s="5"/>
      <c r="AD1978" s="14" t="s">
        <v>1165</v>
      </c>
      <c r="AF1978" t="s">
        <v>1165</v>
      </c>
      <c r="AI1978" t="s">
        <v>1165</v>
      </c>
      <c r="AJ1978" s="15" t="s">
        <v>1148</v>
      </c>
      <c r="AK1978" s="15">
        <v>63.191000000000003</v>
      </c>
      <c r="AL1978" t="s">
        <v>1263</v>
      </c>
      <c r="AM1978">
        <f>66.596-63.191</f>
        <v>3.4050000000000011</v>
      </c>
      <c r="AP1978">
        <v>28</v>
      </c>
      <c r="AR1978" s="15" t="s">
        <v>1155</v>
      </c>
    </row>
    <row r="1979" spans="1:44" x14ac:dyDescent="0.2">
      <c r="A1979" t="s">
        <v>1378</v>
      </c>
      <c r="B1979" s="15" t="s">
        <v>1146</v>
      </c>
      <c r="C1979" s="15" t="s">
        <v>1149</v>
      </c>
      <c r="D1979" s="14" t="s">
        <v>475</v>
      </c>
      <c r="E1979" s="14" t="s">
        <v>3041</v>
      </c>
      <c r="G1979" s="15" t="s">
        <v>1165</v>
      </c>
      <c r="H1979" s="14" t="s">
        <v>1165</v>
      </c>
      <c r="I1979" s="14" t="s">
        <v>3033</v>
      </c>
      <c r="M1979" s="14" t="s">
        <v>3034</v>
      </c>
      <c r="O1979">
        <v>2004</v>
      </c>
      <c r="Q1979" t="s">
        <v>1329</v>
      </c>
      <c r="R1979">
        <v>14</v>
      </c>
      <c r="T1979" t="s">
        <v>3035</v>
      </c>
      <c r="U1979" s="14" t="s">
        <v>1246</v>
      </c>
      <c r="V1979" s="9" t="s">
        <v>3036</v>
      </c>
      <c r="W1979">
        <v>30</v>
      </c>
      <c r="X1979" s="9" t="s">
        <v>3038</v>
      </c>
      <c r="Z1979" s="5"/>
      <c r="AD1979" s="14" t="s">
        <v>1165</v>
      </c>
      <c r="AF1979" t="s">
        <v>1165</v>
      </c>
      <c r="AI1979" t="s">
        <v>1165</v>
      </c>
      <c r="AJ1979" s="15" t="s">
        <v>1148</v>
      </c>
      <c r="AK1979" s="15">
        <v>100</v>
      </c>
      <c r="AL1979" t="s">
        <v>1263</v>
      </c>
      <c r="AM1979">
        <f>103.191-101.064</f>
        <v>2.1270000000000095</v>
      </c>
      <c r="AP1979">
        <v>56</v>
      </c>
      <c r="AR1979" s="15" t="s">
        <v>1155</v>
      </c>
    </row>
    <row r="1980" spans="1:44" x14ac:dyDescent="0.2">
      <c r="A1980" t="s">
        <v>1378</v>
      </c>
      <c r="B1980" s="15" t="s">
        <v>1146</v>
      </c>
      <c r="C1980" s="15" t="s">
        <v>1149</v>
      </c>
      <c r="D1980" s="14" t="s">
        <v>475</v>
      </c>
      <c r="E1980" s="14" t="s">
        <v>3041</v>
      </c>
      <c r="G1980" s="15" t="s">
        <v>1165</v>
      </c>
      <c r="H1980" s="14" t="s">
        <v>1165</v>
      </c>
      <c r="I1980" s="14" t="s">
        <v>3033</v>
      </c>
      <c r="M1980" s="14" t="s">
        <v>3034</v>
      </c>
      <c r="O1980">
        <v>2004</v>
      </c>
      <c r="Q1980" t="s">
        <v>1329</v>
      </c>
      <c r="R1980">
        <v>14</v>
      </c>
      <c r="T1980" t="s">
        <v>3035</v>
      </c>
      <c r="U1980" s="14" t="s">
        <v>1246</v>
      </c>
      <c r="V1980" s="9" t="s">
        <v>3036</v>
      </c>
      <c r="W1980">
        <v>60</v>
      </c>
      <c r="X1980" s="9" t="s">
        <v>3038</v>
      </c>
      <c r="Z1980" s="5"/>
      <c r="AD1980" s="14" t="s">
        <v>1165</v>
      </c>
      <c r="AF1980" t="s">
        <v>1165</v>
      </c>
      <c r="AI1980" t="s">
        <v>1165</v>
      </c>
      <c r="AJ1980" s="15" t="s">
        <v>1148</v>
      </c>
      <c r="AK1980" s="15">
        <v>80.850999999999999</v>
      </c>
      <c r="AL1980" t="s">
        <v>1263</v>
      </c>
      <c r="AM1980">
        <f>85.319-80.851</f>
        <v>4.4680000000000035</v>
      </c>
      <c r="AP1980">
        <v>28</v>
      </c>
      <c r="AR1980" s="15" t="s">
        <v>1155</v>
      </c>
    </row>
    <row r="1981" spans="1:44" x14ac:dyDescent="0.2">
      <c r="A1981" t="s">
        <v>1378</v>
      </c>
      <c r="B1981" s="15" t="s">
        <v>1146</v>
      </c>
      <c r="C1981" s="15" t="s">
        <v>1149</v>
      </c>
      <c r="D1981" s="14" t="s">
        <v>475</v>
      </c>
      <c r="E1981" s="14" t="s">
        <v>3041</v>
      </c>
      <c r="G1981" s="15" t="s">
        <v>1165</v>
      </c>
      <c r="H1981" s="14" t="s">
        <v>1165</v>
      </c>
      <c r="I1981" s="14" t="s">
        <v>3033</v>
      </c>
      <c r="M1981" s="14" t="s">
        <v>3034</v>
      </c>
      <c r="O1981">
        <v>2004</v>
      </c>
      <c r="Q1981" t="s">
        <v>1329</v>
      </c>
      <c r="R1981">
        <v>14</v>
      </c>
      <c r="T1981" t="s">
        <v>3035</v>
      </c>
      <c r="U1981" s="14" t="s">
        <v>1246</v>
      </c>
      <c r="V1981" s="9" t="s">
        <v>3036</v>
      </c>
      <c r="W1981">
        <v>60</v>
      </c>
      <c r="X1981" s="9" t="s">
        <v>3038</v>
      </c>
      <c r="Z1981" s="5"/>
      <c r="AD1981" s="14" t="s">
        <v>1165</v>
      </c>
      <c r="AF1981" t="s">
        <v>1165</v>
      </c>
      <c r="AI1981" t="s">
        <v>1165</v>
      </c>
      <c r="AJ1981" s="15" t="s">
        <v>1148</v>
      </c>
      <c r="AK1981" s="15">
        <v>87.447000000000003</v>
      </c>
      <c r="AL1981" t="s">
        <v>1263</v>
      </c>
      <c r="AM1981">
        <f>93.83-87.447</f>
        <v>6.3829999999999956</v>
      </c>
      <c r="AP1981">
        <v>56</v>
      </c>
      <c r="AR1981" s="15" t="s">
        <v>1155</v>
      </c>
    </row>
    <row r="1982" spans="1:44" x14ac:dyDescent="0.2">
      <c r="A1982" t="s">
        <v>1378</v>
      </c>
      <c r="B1982" s="15" t="s">
        <v>1146</v>
      </c>
      <c r="C1982" s="15" t="s">
        <v>1149</v>
      </c>
      <c r="D1982" s="14" t="s">
        <v>475</v>
      </c>
      <c r="E1982" s="14" t="s">
        <v>3041</v>
      </c>
      <c r="G1982" s="15" t="s">
        <v>1165</v>
      </c>
      <c r="H1982" s="14" t="s">
        <v>1165</v>
      </c>
      <c r="I1982" s="14" t="s">
        <v>3033</v>
      </c>
      <c r="M1982" s="14" t="s">
        <v>3034</v>
      </c>
      <c r="O1982">
        <v>2004</v>
      </c>
      <c r="Q1982" t="s">
        <v>1329</v>
      </c>
      <c r="R1982">
        <v>14</v>
      </c>
      <c r="T1982" t="s">
        <v>3035</v>
      </c>
      <c r="U1982" s="14" t="s">
        <v>1246</v>
      </c>
      <c r="V1982" s="9" t="s">
        <v>3036</v>
      </c>
      <c r="W1982">
        <v>90</v>
      </c>
      <c r="X1982" s="9" t="s">
        <v>3038</v>
      </c>
      <c r="Z1982" s="5"/>
      <c r="AD1982" s="14" t="s">
        <v>1165</v>
      </c>
      <c r="AF1982" t="s">
        <v>1165</v>
      </c>
      <c r="AI1982" t="s">
        <v>1165</v>
      </c>
      <c r="AJ1982" s="15" t="s">
        <v>1148</v>
      </c>
      <c r="AK1982" s="15">
        <v>90.850999999999999</v>
      </c>
      <c r="AL1982" t="s">
        <v>1263</v>
      </c>
      <c r="AM1982">
        <f>94.681-90.851</f>
        <v>3.8299999999999983</v>
      </c>
      <c r="AP1982">
        <v>28</v>
      </c>
      <c r="AR1982" s="15" t="s">
        <v>1155</v>
      </c>
    </row>
    <row r="1983" spans="1:44" x14ac:dyDescent="0.2">
      <c r="A1983" t="s">
        <v>1378</v>
      </c>
      <c r="B1983" s="15" t="s">
        <v>1146</v>
      </c>
      <c r="C1983" s="15" t="s">
        <v>1149</v>
      </c>
      <c r="D1983" s="14" t="s">
        <v>475</v>
      </c>
      <c r="E1983" s="14" t="s">
        <v>3041</v>
      </c>
      <c r="G1983" s="15" t="s">
        <v>1165</v>
      </c>
      <c r="H1983" s="14" t="s">
        <v>1165</v>
      </c>
      <c r="I1983" s="14" t="s">
        <v>3033</v>
      </c>
      <c r="M1983" s="14" t="s">
        <v>3034</v>
      </c>
      <c r="O1983">
        <v>2004</v>
      </c>
      <c r="Q1983" t="s">
        <v>1329</v>
      </c>
      <c r="R1983">
        <v>14</v>
      </c>
      <c r="T1983" t="s">
        <v>3035</v>
      </c>
      <c r="U1983" s="14" t="s">
        <v>1246</v>
      </c>
      <c r="V1983" s="9" t="s">
        <v>3036</v>
      </c>
      <c r="W1983">
        <v>90</v>
      </c>
      <c r="X1983" s="9" t="s">
        <v>3038</v>
      </c>
      <c r="Z1983" s="5"/>
      <c r="AD1983" s="14" t="s">
        <v>1165</v>
      </c>
      <c r="AF1983" t="s">
        <v>1165</v>
      </c>
      <c r="AI1983" t="s">
        <v>1165</v>
      </c>
      <c r="AJ1983" s="15" t="s">
        <v>1148</v>
      </c>
      <c r="AK1983" s="15">
        <v>98.084999999999994</v>
      </c>
      <c r="AL1983" t="s">
        <v>1263</v>
      </c>
      <c r="AM1983">
        <f>100.638-98.085</f>
        <v>2.5530000000000115</v>
      </c>
      <c r="AP1983">
        <v>56</v>
      </c>
      <c r="AR1983" s="15" t="s">
        <v>1155</v>
      </c>
    </row>
    <row r="1984" spans="1:44" x14ac:dyDescent="0.2">
      <c r="A1984" t="s">
        <v>1378</v>
      </c>
      <c r="B1984" s="15" t="s">
        <v>1146</v>
      </c>
      <c r="C1984" s="15" t="s">
        <v>1149</v>
      </c>
      <c r="D1984" s="14" t="s">
        <v>475</v>
      </c>
      <c r="E1984" s="14" t="s">
        <v>3041</v>
      </c>
      <c r="G1984" s="15" t="s">
        <v>1165</v>
      </c>
      <c r="H1984" s="14" t="s">
        <v>1165</v>
      </c>
      <c r="I1984" s="14" t="s">
        <v>3033</v>
      </c>
      <c r="M1984" s="14" t="s">
        <v>3034</v>
      </c>
      <c r="O1984">
        <v>2004</v>
      </c>
      <c r="Q1984" t="s">
        <v>1329</v>
      </c>
      <c r="R1984">
        <v>14</v>
      </c>
      <c r="T1984" t="s">
        <v>3035</v>
      </c>
      <c r="U1984" s="14" t="s">
        <v>1246</v>
      </c>
      <c r="V1984" s="9" t="s">
        <v>3036</v>
      </c>
      <c r="W1984">
        <v>120</v>
      </c>
      <c r="X1984" s="9" t="s">
        <v>3038</v>
      </c>
      <c r="Z1984" s="5"/>
      <c r="AD1984" s="14" t="s">
        <v>1165</v>
      </c>
      <c r="AF1984" t="s">
        <v>1165</v>
      </c>
      <c r="AI1984" t="s">
        <v>1165</v>
      </c>
      <c r="AJ1984" s="15" t="s">
        <v>1148</v>
      </c>
      <c r="AK1984" s="15">
        <v>100</v>
      </c>
      <c r="AL1984" t="s">
        <v>1263</v>
      </c>
      <c r="AM1984">
        <f>103.333-100</f>
        <v>3.3329999999999984</v>
      </c>
      <c r="AP1984">
        <v>28</v>
      </c>
      <c r="AR1984" s="15" t="s">
        <v>1155</v>
      </c>
    </row>
    <row r="1985" spans="1:44" x14ac:dyDescent="0.2">
      <c r="A1985" t="s">
        <v>1378</v>
      </c>
      <c r="B1985" s="15" t="s">
        <v>1146</v>
      </c>
      <c r="C1985" s="15" t="s">
        <v>1149</v>
      </c>
      <c r="D1985" s="14" t="s">
        <v>475</v>
      </c>
      <c r="E1985" s="14" t="s">
        <v>3041</v>
      </c>
      <c r="G1985" s="15" t="s">
        <v>1165</v>
      </c>
      <c r="H1985" s="14" t="s">
        <v>1165</v>
      </c>
      <c r="I1985" s="14" t="s">
        <v>3033</v>
      </c>
      <c r="M1985" s="14" t="s">
        <v>3034</v>
      </c>
      <c r="O1985">
        <v>2004</v>
      </c>
      <c r="Q1985" t="s">
        <v>1329</v>
      </c>
      <c r="R1985">
        <v>14</v>
      </c>
      <c r="T1985" t="s">
        <v>3035</v>
      </c>
      <c r="U1985" s="14" t="s">
        <v>1246</v>
      </c>
      <c r="V1985" s="9" t="s">
        <v>3036</v>
      </c>
      <c r="W1985">
        <v>120</v>
      </c>
      <c r="X1985" s="9" t="s">
        <v>3038</v>
      </c>
      <c r="Z1985" s="5"/>
      <c r="AD1985" s="14" t="s">
        <v>1165</v>
      </c>
      <c r="AF1985" t="s">
        <v>1165</v>
      </c>
      <c r="AI1985" t="s">
        <v>1165</v>
      </c>
      <c r="AJ1985" s="15" t="s">
        <v>1148</v>
      </c>
      <c r="AK1985" s="15">
        <v>100</v>
      </c>
      <c r="AL1985" t="s">
        <v>1263</v>
      </c>
      <c r="AM1985">
        <f>104.752-102.199</f>
        <v>2.5529999999999973</v>
      </c>
      <c r="AP1985">
        <v>56</v>
      </c>
      <c r="AR1985" s="15" t="s">
        <v>1155</v>
      </c>
    </row>
    <row r="1986" spans="1:44" x14ac:dyDescent="0.2">
      <c r="A1986" t="s">
        <v>1378</v>
      </c>
      <c r="B1986" s="15" t="s">
        <v>1146</v>
      </c>
      <c r="C1986" s="15" t="s">
        <v>1149</v>
      </c>
      <c r="D1986" s="14" t="s">
        <v>475</v>
      </c>
      <c r="E1986" s="14" t="s">
        <v>3041</v>
      </c>
      <c r="G1986" s="15" t="s">
        <v>1165</v>
      </c>
      <c r="H1986" s="14" t="s">
        <v>1165</v>
      </c>
      <c r="I1986" s="14" t="s">
        <v>3033</v>
      </c>
      <c r="M1986" s="14" t="s">
        <v>3034</v>
      </c>
      <c r="O1986">
        <v>2004</v>
      </c>
      <c r="Q1986" t="s">
        <v>1329</v>
      </c>
      <c r="R1986">
        <v>14</v>
      </c>
      <c r="T1986" t="s">
        <v>3035</v>
      </c>
      <c r="U1986" s="14" t="s">
        <v>1246</v>
      </c>
      <c r="V1986" s="9" t="s">
        <v>3036</v>
      </c>
      <c r="W1986">
        <v>150</v>
      </c>
      <c r="X1986" s="9" t="s">
        <v>3038</v>
      </c>
      <c r="Z1986" s="5"/>
      <c r="AD1986" s="14" t="s">
        <v>1165</v>
      </c>
      <c r="AF1986" t="s">
        <v>1165</v>
      </c>
      <c r="AI1986" t="s">
        <v>1165</v>
      </c>
      <c r="AJ1986" s="15" t="s">
        <v>1148</v>
      </c>
      <c r="AK1986" s="15">
        <v>98.510999999999996</v>
      </c>
      <c r="AL1986" t="s">
        <v>1263</v>
      </c>
      <c r="AM1986">
        <f>100.213-98.511</f>
        <v>1.7019999999999982</v>
      </c>
      <c r="AP1986">
        <v>28</v>
      </c>
      <c r="AR1986" s="15" t="s">
        <v>1155</v>
      </c>
    </row>
    <row r="1987" spans="1:44" x14ac:dyDescent="0.2">
      <c r="A1987" t="s">
        <v>1378</v>
      </c>
      <c r="B1987" s="15" t="s">
        <v>1146</v>
      </c>
      <c r="C1987" s="15" t="s">
        <v>1149</v>
      </c>
      <c r="D1987" s="14" t="s">
        <v>475</v>
      </c>
      <c r="E1987" s="14" t="s">
        <v>3041</v>
      </c>
      <c r="G1987" s="15" t="s">
        <v>1165</v>
      </c>
      <c r="H1987" s="14" t="s">
        <v>1165</v>
      </c>
      <c r="I1987" s="14" t="s">
        <v>3033</v>
      </c>
      <c r="M1987" s="14" t="s">
        <v>3034</v>
      </c>
      <c r="O1987">
        <v>2004</v>
      </c>
      <c r="Q1987" t="s">
        <v>1329</v>
      </c>
      <c r="R1987">
        <v>14</v>
      </c>
      <c r="T1987" t="s">
        <v>3035</v>
      </c>
      <c r="U1987" s="14" t="s">
        <v>1246</v>
      </c>
      <c r="V1987" s="9" t="s">
        <v>3036</v>
      </c>
      <c r="W1987">
        <v>150</v>
      </c>
      <c r="X1987" s="9" t="s">
        <v>3038</v>
      </c>
      <c r="Z1987" s="5"/>
      <c r="AD1987" s="14" t="s">
        <v>1165</v>
      </c>
      <c r="AF1987" t="s">
        <v>1165</v>
      </c>
      <c r="AI1987" t="s">
        <v>1165</v>
      </c>
      <c r="AJ1987" s="15" t="s">
        <v>1148</v>
      </c>
      <c r="AK1987" s="15">
        <v>99.361999999999995</v>
      </c>
      <c r="AL1987" t="s">
        <v>1263</v>
      </c>
      <c r="AM1987">
        <f>100.496-99.362</f>
        <v>1.1340000000000003</v>
      </c>
      <c r="AP1987">
        <v>56</v>
      </c>
      <c r="AR1987" s="15" t="s">
        <v>1155</v>
      </c>
    </row>
    <row r="1988" spans="1:44" x14ac:dyDescent="0.2">
      <c r="A1988" t="s">
        <v>1378</v>
      </c>
      <c r="B1988" s="15" t="s">
        <v>1146</v>
      </c>
      <c r="C1988" s="15" t="s">
        <v>1149</v>
      </c>
      <c r="D1988" s="14" t="s">
        <v>475</v>
      </c>
      <c r="E1988" s="14" t="s">
        <v>3041</v>
      </c>
      <c r="G1988" s="15" t="s">
        <v>1165</v>
      </c>
      <c r="H1988" s="14" t="s">
        <v>1165</v>
      </c>
      <c r="I1988" s="14" t="s">
        <v>3033</v>
      </c>
      <c r="M1988" s="14" t="s">
        <v>3034</v>
      </c>
      <c r="O1988">
        <v>2004</v>
      </c>
      <c r="Q1988" t="s">
        <v>1329</v>
      </c>
      <c r="R1988">
        <v>14</v>
      </c>
      <c r="T1988" t="s">
        <v>3035</v>
      </c>
      <c r="U1988" s="14" t="s">
        <v>1246</v>
      </c>
      <c r="V1988" s="9" t="s">
        <v>3036</v>
      </c>
      <c r="W1988">
        <v>180</v>
      </c>
      <c r="X1988" s="9" t="s">
        <v>3038</v>
      </c>
      <c r="Z1988" s="5"/>
      <c r="AD1988" s="14" t="s">
        <v>1165</v>
      </c>
      <c r="AF1988" t="s">
        <v>1165</v>
      </c>
      <c r="AI1988" t="s">
        <v>1165</v>
      </c>
      <c r="AJ1988" s="15" t="s">
        <v>1148</v>
      </c>
      <c r="AK1988" s="15">
        <v>92.27</v>
      </c>
      <c r="AL1988" t="s">
        <v>1263</v>
      </c>
      <c r="AM1988">
        <f>95.957-92.27</f>
        <v>3.6869999999999976</v>
      </c>
      <c r="AP1988">
        <v>28</v>
      </c>
      <c r="AR1988" s="15" t="s">
        <v>1155</v>
      </c>
    </row>
    <row r="1989" spans="1:44" x14ac:dyDescent="0.2">
      <c r="A1989" t="s">
        <v>1378</v>
      </c>
      <c r="B1989" s="15" t="s">
        <v>1146</v>
      </c>
      <c r="C1989" s="15" t="s">
        <v>1149</v>
      </c>
      <c r="D1989" s="14" t="s">
        <v>475</v>
      </c>
      <c r="E1989" s="14" t="s">
        <v>3041</v>
      </c>
      <c r="G1989" s="15" t="s">
        <v>1165</v>
      </c>
      <c r="H1989" s="14" t="s">
        <v>1165</v>
      </c>
      <c r="I1989" s="14" t="s">
        <v>3033</v>
      </c>
      <c r="M1989" s="14" t="s">
        <v>3034</v>
      </c>
      <c r="O1989">
        <v>2004</v>
      </c>
      <c r="Q1989" t="s">
        <v>1329</v>
      </c>
      <c r="R1989">
        <v>14</v>
      </c>
      <c r="T1989" t="s">
        <v>3035</v>
      </c>
      <c r="U1989" s="14" t="s">
        <v>1246</v>
      </c>
      <c r="V1989" s="9" t="s">
        <v>3036</v>
      </c>
      <c r="W1989">
        <v>180</v>
      </c>
      <c r="X1989" s="9" t="s">
        <v>3038</v>
      </c>
      <c r="Z1989" s="5"/>
      <c r="AD1989" s="14" t="s">
        <v>1165</v>
      </c>
      <c r="AF1989" t="s">
        <v>1165</v>
      </c>
      <c r="AI1989" t="s">
        <v>1165</v>
      </c>
      <c r="AJ1989" s="15" t="s">
        <v>1148</v>
      </c>
      <c r="AK1989" s="15">
        <v>97.66</v>
      </c>
      <c r="AL1989" t="s">
        <v>1263</v>
      </c>
      <c r="AM1989">
        <f>101.348-97.66</f>
        <v>3.6880000000000024</v>
      </c>
      <c r="AP1989">
        <v>56</v>
      </c>
      <c r="AR1989" s="15" t="s">
        <v>1155</v>
      </c>
    </row>
    <row r="1990" spans="1:44" x14ac:dyDescent="0.2">
      <c r="A1990" t="s">
        <v>1378</v>
      </c>
      <c r="B1990" s="15" t="s">
        <v>1146</v>
      </c>
      <c r="C1990" s="15" t="s">
        <v>1149</v>
      </c>
      <c r="D1990" s="14" t="s">
        <v>475</v>
      </c>
      <c r="E1990" s="14" t="s">
        <v>3041</v>
      </c>
      <c r="G1990" s="15" t="s">
        <v>1165</v>
      </c>
      <c r="H1990" s="14" t="s">
        <v>1165</v>
      </c>
      <c r="I1990" s="14" t="s">
        <v>3033</v>
      </c>
      <c r="M1990" s="14" t="s">
        <v>3034</v>
      </c>
      <c r="O1990">
        <v>2004</v>
      </c>
      <c r="Q1990" t="s">
        <v>1329</v>
      </c>
      <c r="R1990">
        <v>14</v>
      </c>
      <c r="T1990" t="s">
        <v>3035</v>
      </c>
      <c r="U1990" s="14" t="s">
        <v>1246</v>
      </c>
      <c r="V1990" s="9" t="s">
        <v>3036</v>
      </c>
      <c r="W1990">
        <v>0</v>
      </c>
      <c r="X1990" s="9" t="s">
        <v>3039</v>
      </c>
      <c r="Z1990" s="5"/>
      <c r="AD1990" s="14" t="s">
        <v>1165</v>
      </c>
      <c r="AF1990" t="s">
        <v>1165</v>
      </c>
      <c r="AI1990" t="s">
        <v>1165</v>
      </c>
      <c r="AJ1990" s="15" t="s">
        <v>1148</v>
      </c>
      <c r="AK1990" s="15">
        <v>45.417000000000002</v>
      </c>
      <c r="AL1990" t="s">
        <v>1263</v>
      </c>
      <c r="AM1990">
        <f>59.375-45.417</f>
        <v>13.957999999999998</v>
      </c>
      <c r="AP1990">
        <v>28</v>
      </c>
      <c r="AR1990" s="15" t="s">
        <v>1155</v>
      </c>
    </row>
    <row r="1991" spans="1:44" x14ac:dyDescent="0.2">
      <c r="A1991" t="s">
        <v>1378</v>
      </c>
      <c r="B1991" s="15" t="s">
        <v>1146</v>
      </c>
      <c r="C1991" s="15" t="s">
        <v>1149</v>
      </c>
      <c r="D1991" s="14" t="s">
        <v>475</v>
      </c>
      <c r="E1991" s="14" t="s">
        <v>3041</v>
      </c>
      <c r="G1991" s="15" t="s">
        <v>1165</v>
      </c>
      <c r="H1991" s="14" t="s">
        <v>1165</v>
      </c>
      <c r="I1991" s="14" t="s">
        <v>3033</v>
      </c>
      <c r="M1991" s="14" t="s">
        <v>3034</v>
      </c>
      <c r="O1991">
        <v>2004</v>
      </c>
      <c r="Q1991" t="s">
        <v>1329</v>
      </c>
      <c r="R1991">
        <v>14</v>
      </c>
      <c r="T1991" t="s">
        <v>3035</v>
      </c>
      <c r="U1991" s="14" t="s">
        <v>1246</v>
      </c>
      <c r="V1991" s="9" t="s">
        <v>3036</v>
      </c>
      <c r="W1991">
        <v>0</v>
      </c>
      <c r="X1991" s="9" t="s">
        <v>3039</v>
      </c>
      <c r="Z1991" s="5"/>
      <c r="AD1991" s="14" t="s">
        <v>1165</v>
      </c>
      <c r="AF1991" t="s">
        <v>1165</v>
      </c>
      <c r="AI1991" t="s">
        <v>1165</v>
      </c>
      <c r="AJ1991" s="15" t="s">
        <v>1148</v>
      </c>
      <c r="AK1991" s="15">
        <v>51.597000000000001</v>
      </c>
      <c r="AL1991" t="s">
        <v>1263</v>
      </c>
      <c r="AM1991">
        <f>64.097-51.597</f>
        <v>12.499999999999993</v>
      </c>
      <c r="AP1991">
        <v>56</v>
      </c>
      <c r="AR1991" s="15" t="s">
        <v>1155</v>
      </c>
    </row>
    <row r="1992" spans="1:44" x14ac:dyDescent="0.2">
      <c r="A1992" t="s">
        <v>1378</v>
      </c>
      <c r="B1992" s="15" t="s">
        <v>1146</v>
      </c>
      <c r="C1992" s="15" t="s">
        <v>1149</v>
      </c>
      <c r="D1992" s="14" t="s">
        <v>475</v>
      </c>
      <c r="E1992" s="14" t="s">
        <v>3041</v>
      </c>
      <c r="G1992" s="15" t="s">
        <v>1165</v>
      </c>
      <c r="H1992" s="14" t="s">
        <v>1165</v>
      </c>
      <c r="I1992" s="14" t="s">
        <v>3033</v>
      </c>
      <c r="M1992" s="14" t="s">
        <v>3034</v>
      </c>
      <c r="O1992">
        <v>2004</v>
      </c>
      <c r="Q1992" t="s">
        <v>1329</v>
      </c>
      <c r="R1992">
        <v>14</v>
      </c>
      <c r="T1992" t="s">
        <v>3035</v>
      </c>
      <c r="U1992" s="14" t="s">
        <v>1246</v>
      </c>
      <c r="V1992" s="9" t="s">
        <v>3036</v>
      </c>
      <c r="W1992">
        <v>15</v>
      </c>
      <c r="X1992" s="9" t="s">
        <v>3039</v>
      </c>
      <c r="Z1992" s="5"/>
      <c r="AD1992" s="14" t="s">
        <v>1165</v>
      </c>
      <c r="AF1992" t="s">
        <v>1165</v>
      </c>
      <c r="AI1992" t="s">
        <v>1165</v>
      </c>
      <c r="AJ1992" s="15" t="s">
        <v>1148</v>
      </c>
      <c r="AK1992" s="15">
        <v>90.763999999999996</v>
      </c>
      <c r="AL1992" t="s">
        <v>1263</v>
      </c>
      <c r="AM1992">
        <f>94.653-90.764</f>
        <v>3.88900000000001</v>
      </c>
      <c r="AP1992">
        <v>28</v>
      </c>
      <c r="AR1992" s="15" t="s">
        <v>1155</v>
      </c>
    </row>
    <row r="1993" spans="1:44" x14ac:dyDescent="0.2">
      <c r="A1993" t="s">
        <v>1378</v>
      </c>
      <c r="B1993" s="15" t="s">
        <v>1146</v>
      </c>
      <c r="C1993" s="15" t="s">
        <v>1149</v>
      </c>
      <c r="D1993" s="14" t="s">
        <v>475</v>
      </c>
      <c r="E1993" s="14" t="s">
        <v>3041</v>
      </c>
      <c r="G1993" s="15" t="s">
        <v>1165</v>
      </c>
      <c r="H1993" s="14" t="s">
        <v>1165</v>
      </c>
      <c r="I1993" s="14" t="s">
        <v>3033</v>
      </c>
      <c r="M1993" s="14" t="s">
        <v>3034</v>
      </c>
      <c r="O1993">
        <v>2004</v>
      </c>
      <c r="Q1993" t="s">
        <v>1329</v>
      </c>
      <c r="R1993">
        <v>14</v>
      </c>
      <c r="T1993" t="s">
        <v>3035</v>
      </c>
      <c r="U1993" s="14" t="s">
        <v>1246</v>
      </c>
      <c r="V1993" s="9" t="s">
        <v>3036</v>
      </c>
      <c r="W1993">
        <v>15</v>
      </c>
      <c r="X1993" s="9" t="s">
        <v>3039</v>
      </c>
      <c r="Z1993" s="5"/>
      <c r="AD1993" s="14" t="s">
        <v>1165</v>
      </c>
      <c r="AF1993" t="s">
        <v>1165</v>
      </c>
      <c r="AI1993" t="s">
        <v>1165</v>
      </c>
      <c r="AJ1993" s="15" t="s">
        <v>1148</v>
      </c>
      <c r="AK1993" s="15">
        <v>92.153000000000006</v>
      </c>
      <c r="AL1993" t="s">
        <v>1263</v>
      </c>
      <c r="AM1993">
        <f>96.597-92.153</f>
        <v>4.4439999999999884</v>
      </c>
      <c r="AP1993">
        <v>56</v>
      </c>
      <c r="AR1993" s="15" t="s">
        <v>1155</v>
      </c>
    </row>
    <row r="1994" spans="1:44" x14ac:dyDescent="0.2">
      <c r="A1994" t="s">
        <v>1378</v>
      </c>
      <c r="B1994" s="15" t="s">
        <v>1146</v>
      </c>
      <c r="C1994" s="15" t="s">
        <v>1149</v>
      </c>
      <c r="D1994" s="14" t="s">
        <v>475</v>
      </c>
      <c r="E1994" s="14" t="s">
        <v>3041</v>
      </c>
      <c r="G1994" s="15" t="s">
        <v>1165</v>
      </c>
      <c r="H1994" s="14" t="s">
        <v>1165</v>
      </c>
      <c r="I1994" s="14" t="s">
        <v>3033</v>
      </c>
      <c r="M1994" s="14" t="s">
        <v>3034</v>
      </c>
      <c r="O1994">
        <v>2004</v>
      </c>
      <c r="Q1994" t="s">
        <v>1329</v>
      </c>
      <c r="R1994">
        <v>14</v>
      </c>
      <c r="T1994" t="s">
        <v>3035</v>
      </c>
      <c r="U1994" s="14" t="s">
        <v>1246</v>
      </c>
      <c r="V1994" s="9" t="s">
        <v>3036</v>
      </c>
      <c r="W1994">
        <v>30</v>
      </c>
      <c r="X1994" s="9" t="s">
        <v>3039</v>
      </c>
      <c r="Z1994" s="5"/>
      <c r="AD1994" s="14" t="s">
        <v>1165</v>
      </c>
      <c r="AF1994" t="s">
        <v>1165</v>
      </c>
      <c r="AI1994" t="s">
        <v>1165</v>
      </c>
      <c r="AJ1994" s="15" t="s">
        <v>1148</v>
      </c>
      <c r="AK1994" s="15">
        <v>95.486000000000004</v>
      </c>
      <c r="AL1994" t="s">
        <v>1263</v>
      </c>
      <c r="AM1994">
        <f>96.875-95.486</f>
        <v>1.3889999999999958</v>
      </c>
      <c r="AP1994">
        <v>28</v>
      </c>
      <c r="AR1994" s="15" t="s">
        <v>1155</v>
      </c>
    </row>
    <row r="1995" spans="1:44" x14ac:dyDescent="0.2">
      <c r="A1995" t="s">
        <v>1378</v>
      </c>
      <c r="B1995" s="15" t="s">
        <v>1146</v>
      </c>
      <c r="C1995" s="15" t="s">
        <v>1149</v>
      </c>
      <c r="D1995" s="14" t="s">
        <v>475</v>
      </c>
      <c r="E1995" s="14" t="s">
        <v>3041</v>
      </c>
      <c r="G1995" s="15" t="s">
        <v>1165</v>
      </c>
      <c r="H1995" s="14" t="s">
        <v>1165</v>
      </c>
      <c r="I1995" s="14" t="s">
        <v>3033</v>
      </c>
      <c r="M1995" s="14" t="s">
        <v>3034</v>
      </c>
      <c r="O1995">
        <v>2004</v>
      </c>
      <c r="Q1995" t="s">
        <v>1329</v>
      </c>
      <c r="R1995">
        <v>14</v>
      </c>
      <c r="T1995" t="s">
        <v>3035</v>
      </c>
      <c r="U1995" s="14" t="s">
        <v>1246</v>
      </c>
      <c r="V1995" s="9" t="s">
        <v>3036</v>
      </c>
      <c r="W1995">
        <v>30</v>
      </c>
      <c r="X1995" s="9" t="s">
        <v>3039</v>
      </c>
      <c r="Z1995" s="5"/>
      <c r="AD1995" s="14" t="s">
        <v>1165</v>
      </c>
      <c r="AF1995" t="s">
        <v>1165</v>
      </c>
      <c r="AI1995" t="s">
        <v>1165</v>
      </c>
      <c r="AJ1995" s="15" t="s">
        <v>1148</v>
      </c>
      <c r="AK1995" s="15">
        <v>95.763999999999996</v>
      </c>
      <c r="AL1995" t="s">
        <v>1263</v>
      </c>
      <c r="AM1995">
        <f>97.708-95.764</f>
        <v>1.9440000000000026</v>
      </c>
      <c r="AP1995">
        <v>56</v>
      </c>
      <c r="AR1995" s="15" t="s">
        <v>1155</v>
      </c>
    </row>
    <row r="1996" spans="1:44" x14ac:dyDescent="0.2">
      <c r="A1996" t="s">
        <v>1378</v>
      </c>
      <c r="B1996" s="15" t="s">
        <v>1146</v>
      </c>
      <c r="C1996" s="15" t="s">
        <v>1149</v>
      </c>
      <c r="D1996" s="14" t="s">
        <v>475</v>
      </c>
      <c r="E1996" s="14" t="s">
        <v>3041</v>
      </c>
      <c r="G1996" s="15" t="s">
        <v>1165</v>
      </c>
      <c r="H1996" s="14" t="s">
        <v>1165</v>
      </c>
      <c r="I1996" s="14" t="s">
        <v>3033</v>
      </c>
      <c r="M1996" s="14" t="s">
        <v>3034</v>
      </c>
      <c r="O1996">
        <v>2004</v>
      </c>
      <c r="Q1996" t="s">
        <v>1329</v>
      </c>
      <c r="R1996">
        <v>14</v>
      </c>
      <c r="T1996" t="s">
        <v>3035</v>
      </c>
      <c r="U1996" s="14" t="s">
        <v>1246</v>
      </c>
      <c r="V1996" s="9" t="s">
        <v>3036</v>
      </c>
      <c r="W1996">
        <v>60</v>
      </c>
      <c r="X1996" s="9" t="s">
        <v>3039</v>
      </c>
      <c r="Z1996" s="5"/>
      <c r="AD1996" s="14" t="s">
        <v>1165</v>
      </c>
      <c r="AF1996" t="s">
        <v>1165</v>
      </c>
      <c r="AI1996" t="s">
        <v>1165</v>
      </c>
      <c r="AJ1996" s="15" t="s">
        <v>1148</v>
      </c>
      <c r="AK1996" s="15">
        <v>94.167000000000002</v>
      </c>
      <c r="AL1996" t="s">
        <v>1263</v>
      </c>
      <c r="AM1996">
        <f>96.597-94.167</f>
        <v>2.4299999999999926</v>
      </c>
      <c r="AP1996">
        <v>28</v>
      </c>
      <c r="AR1996" s="15" t="s">
        <v>1155</v>
      </c>
    </row>
    <row r="1997" spans="1:44" x14ac:dyDescent="0.2">
      <c r="A1997" t="s">
        <v>1378</v>
      </c>
      <c r="B1997" s="15" t="s">
        <v>1146</v>
      </c>
      <c r="C1997" s="15" t="s">
        <v>1149</v>
      </c>
      <c r="D1997" s="14" t="s">
        <v>475</v>
      </c>
      <c r="E1997" s="14" t="s">
        <v>3041</v>
      </c>
      <c r="G1997" s="15" t="s">
        <v>1165</v>
      </c>
      <c r="H1997" s="14" t="s">
        <v>1165</v>
      </c>
      <c r="I1997" s="14" t="s">
        <v>3033</v>
      </c>
      <c r="M1997" s="14" t="s">
        <v>3034</v>
      </c>
      <c r="O1997">
        <v>2004</v>
      </c>
      <c r="Q1997" t="s">
        <v>1329</v>
      </c>
      <c r="R1997">
        <v>14</v>
      </c>
      <c r="T1997" t="s">
        <v>3035</v>
      </c>
      <c r="U1997" s="14" t="s">
        <v>1246</v>
      </c>
      <c r="V1997" s="9" t="s">
        <v>3036</v>
      </c>
      <c r="W1997">
        <v>60</v>
      </c>
      <c r="X1997" s="9" t="s">
        <v>3039</v>
      </c>
      <c r="Z1997" s="5"/>
      <c r="AD1997" s="14" t="s">
        <v>1165</v>
      </c>
      <c r="AF1997" t="s">
        <v>1165</v>
      </c>
      <c r="AI1997" t="s">
        <v>1165</v>
      </c>
      <c r="AJ1997" s="15" t="s">
        <v>1148</v>
      </c>
      <c r="AK1997" s="15">
        <v>94.653000000000006</v>
      </c>
      <c r="AL1997" t="s">
        <v>1263</v>
      </c>
      <c r="AM1997">
        <f>97.431-94.653</f>
        <v>2.7779999999999916</v>
      </c>
      <c r="AP1997">
        <v>56</v>
      </c>
      <c r="AR1997" s="15" t="s">
        <v>1155</v>
      </c>
    </row>
    <row r="1998" spans="1:44" x14ac:dyDescent="0.2">
      <c r="A1998" t="s">
        <v>1378</v>
      </c>
      <c r="B1998" s="15" t="s">
        <v>1146</v>
      </c>
      <c r="C1998" s="15" t="s">
        <v>1149</v>
      </c>
      <c r="D1998" s="14" t="s">
        <v>475</v>
      </c>
      <c r="E1998" s="14" t="s">
        <v>3041</v>
      </c>
      <c r="G1998" s="15" t="s">
        <v>1165</v>
      </c>
      <c r="H1998" s="14" t="s">
        <v>1165</v>
      </c>
      <c r="I1998" s="14" t="s">
        <v>3033</v>
      </c>
      <c r="M1998" s="14" t="s">
        <v>3034</v>
      </c>
      <c r="O1998">
        <v>2004</v>
      </c>
      <c r="Q1998" t="s">
        <v>1329</v>
      </c>
      <c r="R1998">
        <v>14</v>
      </c>
      <c r="T1998" t="s">
        <v>3035</v>
      </c>
      <c r="U1998" s="14" t="s">
        <v>1246</v>
      </c>
      <c r="V1998" s="9" t="s">
        <v>3036</v>
      </c>
      <c r="W1998">
        <v>90</v>
      </c>
      <c r="X1998" s="9" t="s">
        <v>3039</v>
      </c>
      <c r="Z1998" s="5"/>
      <c r="AD1998" s="14" t="s">
        <v>1165</v>
      </c>
      <c r="AF1998" t="s">
        <v>1165</v>
      </c>
      <c r="AI1998" t="s">
        <v>1165</v>
      </c>
      <c r="AJ1998" s="15" t="s">
        <v>1148</v>
      </c>
      <c r="AK1998" s="15">
        <v>89.930999999999997</v>
      </c>
      <c r="AL1998" t="s">
        <v>1263</v>
      </c>
      <c r="AM1998">
        <f>92.986-89.931</f>
        <v>3.0550000000000068</v>
      </c>
      <c r="AP1998">
        <v>28</v>
      </c>
      <c r="AR1998" s="15" t="s">
        <v>1155</v>
      </c>
    </row>
    <row r="1999" spans="1:44" x14ac:dyDescent="0.2">
      <c r="A1999" t="s">
        <v>1378</v>
      </c>
      <c r="B1999" s="15" t="s">
        <v>1146</v>
      </c>
      <c r="C1999" s="15" t="s">
        <v>1149</v>
      </c>
      <c r="D1999" s="14" t="s">
        <v>475</v>
      </c>
      <c r="E1999" s="14" t="s">
        <v>3041</v>
      </c>
      <c r="G1999" s="15" t="s">
        <v>1165</v>
      </c>
      <c r="H1999" s="14" t="s">
        <v>1165</v>
      </c>
      <c r="I1999" s="14" t="s">
        <v>3033</v>
      </c>
      <c r="M1999" s="14" t="s">
        <v>3034</v>
      </c>
      <c r="O1999">
        <v>2004</v>
      </c>
      <c r="Q1999" t="s">
        <v>1329</v>
      </c>
      <c r="R1999">
        <v>14</v>
      </c>
      <c r="T1999" t="s">
        <v>3035</v>
      </c>
      <c r="U1999" s="14" t="s">
        <v>1246</v>
      </c>
      <c r="V1999" s="9" t="s">
        <v>3036</v>
      </c>
      <c r="W1999">
        <v>90</v>
      </c>
      <c r="X1999" s="9" t="s">
        <v>3039</v>
      </c>
      <c r="Z1999" s="5"/>
      <c r="AD1999" s="14" t="s">
        <v>1165</v>
      </c>
      <c r="AF1999" t="s">
        <v>1165</v>
      </c>
      <c r="AI1999" t="s">
        <v>1165</v>
      </c>
      <c r="AJ1999" s="15" t="s">
        <v>1148</v>
      </c>
      <c r="AK1999" s="15">
        <v>91.319000000000003</v>
      </c>
      <c r="AL1999" t="s">
        <v>1263</v>
      </c>
      <c r="AM1999">
        <f>94.653-91.319</f>
        <v>3.3340000000000032</v>
      </c>
      <c r="AP1999">
        <v>56</v>
      </c>
      <c r="AR1999" s="15" t="s">
        <v>1155</v>
      </c>
    </row>
    <row r="2000" spans="1:44" x14ac:dyDescent="0.2">
      <c r="A2000" t="s">
        <v>1378</v>
      </c>
      <c r="B2000" s="15" t="s">
        <v>1146</v>
      </c>
      <c r="C2000" s="15" t="s">
        <v>1149</v>
      </c>
      <c r="D2000" s="14" t="s">
        <v>475</v>
      </c>
      <c r="E2000" s="14" t="s">
        <v>3041</v>
      </c>
      <c r="G2000" s="15" t="s">
        <v>1165</v>
      </c>
      <c r="H2000" s="14" t="s">
        <v>1165</v>
      </c>
      <c r="I2000" s="14" t="s">
        <v>3033</v>
      </c>
      <c r="M2000" s="14" t="s">
        <v>3034</v>
      </c>
      <c r="O2000">
        <v>2004</v>
      </c>
      <c r="Q2000" t="s">
        <v>1329</v>
      </c>
      <c r="R2000">
        <v>14</v>
      </c>
      <c r="T2000" t="s">
        <v>3035</v>
      </c>
      <c r="U2000" s="14" t="s">
        <v>1246</v>
      </c>
      <c r="V2000" s="9" t="s">
        <v>3036</v>
      </c>
      <c r="W2000">
        <v>120</v>
      </c>
      <c r="X2000" s="9" t="s">
        <v>3039</v>
      </c>
      <c r="Z2000" s="5"/>
      <c r="AD2000" s="14" t="s">
        <v>1165</v>
      </c>
      <c r="AF2000" t="s">
        <v>1165</v>
      </c>
      <c r="AI2000" t="s">
        <v>1165</v>
      </c>
      <c r="AJ2000" s="15" t="s">
        <v>1148</v>
      </c>
      <c r="AK2000" s="15">
        <v>91.319000000000003</v>
      </c>
      <c r="AL2000" t="s">
        <v>1263</v>
      </c>
      <c r="AM2000">
        <f>93.264-91.319</f>
        <v>1.9449999999999932</v>
      </c>
      <c r="AP2000">
        <v>28</v>
      </c>
      <c r="AR2000" s="15" t="s">
        <v>1155</v>
      </c>
    </row>
    <row r="2001" spans="1:44" x14ac:dyDescent="0.2">
      <c r="A2001" t="s">
        <v>1378</v>
      </c>
      <c r="B2001" s="15" t="s">
        <v>1146</v>
      </c>
      <c r="C2001" s="15" t="s">
        <v>1149</v>
      </c>
      <c r="D2001" s="14" t="s">
        <v>475</v>
      </c>
      <c r="E2001" s="14" t="s">
        <v>3041</v>
      </c>
      <c r="G2001" s="15" t="s">
        <v>1165</v>
      </c>
      <c r="H2001" s="14" t="s">
        <v>1165</v>
      </c>
      <c r="I2001" s="14" t="s">
        <v>3033</v>
      </c>
      <c r="M2001" s="14" t="s">
        <v>3034</v>
      </c>
      <c r="O2001">
        <v>2004</v>
      </c>
      <c r="Q2001" t="s">
        <v>1329</v>
      </c>
      <c r="R2001">
        <v>14</v>
      </c>
      <c r="T2001" t="s">
        <v>3035</v>
      </c>
      <c r="U2001" s="14" t="s">
        <v>1246</v>
      </c>
      <c r="V2001" s="9" t="s">
        <v>3036</v>
      </c>
      <c r="W2001">
        <v>120</v>
      </c>
      <c r="X2001" s="9" t="s">
        <v>3039</v>
      </c>
      <c r="Z2001" s="5"/>
      <c r="AD2001" s="14" t="s">
        <v>1165</v>
      </c>
      <c r="AF2001" t="s">
        <v>1165</v>
      </c>
      <c r="AI2001" t="s">
        <v>1165</v>
      </c>
      <c r="AJ2001" s="15" t="s">
        <v>1148</v>
      </c>
      <c r="AK2001" s="15">
        <v>91.875</v>
      </c>
      <c r="AL2001" t="s">
        <v>1263</v>
      </c>
      <c r="AM2001">
        <f>94.097-91.875</f>
        <v>2.2219999999999942</v>
      </c>
      <c r="AP2001">
        <v>56</v>
      </c>
      <c r="AR2001" s="15" t="s">
        <v>1155</v>
      </c>
    </row>
    <row r="2002" spans="1:44" x14ac:dyDescent="0.2">
      <c r="A2002" t="s">
        <v>1378</v>
      </c>
      <c r="B2002" s="15" t="s">
        <v>1146</v>
      </c>
      <c r="C2002" s="15" t="s">
        <v>1149</v>
      </c>
      <c r="D2002" s="14" t="s">
        <v>475</v>
      </c>
      <c r="E2002" s="14" t="s">
        <v>3041</v>
      </c>
      <c r="G2002" s="15" t="s">
        <v>1165</v>
      </c>
      <c r="H2002" s="14" t="s">
        <v>1165</v>
      </c>
      <c r="I2002" s="14" t="s">
        <v>3033</v>
      </c>
      <c r="M2002" s="14" t="s">
        <v>3034</v>
      </c>
      <c r="O2002">
        <v>2004</v>
      </c>
      <c r="Q2002" t="s">
        <v>1329</v>
      </c>
      <c r="R2002">
        <v>14</v>
      </c>
      <c r="T2002" t="s">
        <v>3035</v>
      </c>
      <c r="U2002" s="14" t="s">
        <v>1246</v>
      </c>
      <c r="V2002" s="9" t="s">
        <v>3036</v>
      </c>
      <c r="W2002">
        <v>150</v>
      </c>
      <c r="X2002" s="9" t="s">
        <v>3039</v>
      </c>
      <c r="Z2002" s="5"/>
      <c r="AD2002" s="14" t="s">
        <v>1165</v>
      </c>
      <c r="AF2002" t="s">
        <v>1165</v>
      </c>
      <c r="AI2002" t="s">
        <v>1165</v>
      </c>
      <c r="AJ2002" s="15" t="s">
        <v>1148</v>
      </c>
      <c r="AK2002" s="15">
        <v>93.332999999999998</v>
      </c>
      <c r="AL2002" t="s">
        <v>1263</v>
      </c>
      <c r="AM2002">
        <f>95.764-93.333</f>
        <v>2.4309999999999974</v>
      </c>
      <c r="AP2002">
        <v>28</v>
      </c>
      <c r="AR2002" s="15" t="s">
        <v>1155</v>
      </c>
    </row>
    <row r="2003" spans="1:44" x14ac:dyDescent="0.2">
      <c r="A2003" t="s">
        <v>1378</v>
      </c>
      <c r="B2003" s="15" t="s">
        <v>1146</v>
      </c>
      <c r="C2003" s="15" t="s">
        <v>1149</v>
      </c>
      <c r="D2003" s="14" t="s">
        <v>475</v>
      </c>
      <c r="E2003" s="14" t="s">
        <v>3041</v>
      </c>
      <c r="G2003" s="15" t="s">
        <v>1165</v>
      </c>
      <c r="H2003" s="14" t="s">
        <v>1165</v>
      </c>
      <c r="I2003" s="14" t="s">
        <v>3033</v>
      </c>
      <c r="M2003" s="14" t="s">
        <v>3034</v>
      </c>
      <c r="O2003">
        <v>2004</v>
      </c>
      <c r="Q2003" t="s">
        <v>1329</v>
      </c>
      <c r="R2003">
        <v>14</v>
      </c>
      <c r="T2003" t="s">
        <v>3035</v>
      </c>
      <c r="U2003" s="14" t="s">
        <v>1246</v>
      </c>
      <c r="V2003" s="9" t="s">
        <v>3036</v>
      </c>
      <c r="W2003">
        <v>150</v>
      </c>
      <c r="X2003" s="9" t="s">
        <v>3039</v>
      </c>
      <c r="Z2003" s="5"/>
      <c r="AD2003" s="14" t="s">
        <v>1165</v>
      </c>
      <c r="AF2003" t="s">
        <v>1165</v>
      </c>
      <c r="AI2003" t="s">
        <v>1165</v>
      </c>
      <c r="AJ2003" s="15" t="s">
        <v>1148</v>
      </c>
      <c r="AK2003" s="15">
        <v>92.986000000000004</v>
      </c>
      <c r="AL2003" t="s">
        <v>1263</v>
      </c>
      <c r="AM2003">
        <f>95.764-92.986</f>
        <v>2.7779999999999916</v>
      </c>
      <c r="AP2003">
        <v>56</v>
      </c>
      <c r="AR2003" s="15" t="s">
        <v>1155</v>
      </c>
    </row>
    <row r="2004" spans="1:44" x14ac:dyDescent="0.2">
      <c r="A2004" t="s">
        <v>1378</v>
      </c>
      <c r="B2004" s="15" t="s">
        <v>1146</v>
      </c>
      <c r="C2004" s="15" t="s">
        <v>1149</v>
      </c>
      <c r="D2004" s="14" t="s">
        <v>475</v>
      </c>
      <c r="E2004" s="14" t="s">
        <v>3041</v>
      </c>
      <c r="G2004" s="15" t="s">
        <v>1165</v>
      </c>
      <c r="H2004" s="14" t="s">
        <v>1165</v>
      </c>
      <c r="I2004" s="14" t="s">
        <v>3033</v>
      </c>
      <c r="M2004" s="14" t="s">
        <v>3034</v>
      </c>
      <c r="O2004">
        <v>2004</v>
      </c>
      <c r="Q2004" t="s">
        <v>1329</v>
      </c>
      <c r="R2004">
        <v>14</v>
      </c>
      <c r="T2004" t="s">
        <v>3035</v>
      </c>
      <c r="U2004" s="14" t="s">
        <v>1246</v>
      </c>
      <c r="V2004" s="9" t="s">
        <v>3036</v>
      </c>
      <c r="W2004">
        <v>180</v>
      </c>
      <c r="X2004" s="9" t="s">
        <v>3039</v>
      </c>
      <c r="Z2004" s="5"/>
      <c r="AD2004" s="14" t="s">
        <v>1165</v>
      </c>
      <c r="AF2004" t="s">
        <v>1165</v>
      </c>
      <c r="AI2004" t="s">
        <v>1165</v>
      </c>
      <c r="AJ2004" s="15" t="s">
        <v>1148</v>
      </c>
      <c r="AK2004" s="15">
        <v>86.042000000000002</v>
      </c>
      <c r="AL2004" t="s">
        <v>1263</v>
      </c>
      <c r="AM2004">
        <f>90.764-86.042</f>
        <v>4.7219999999999942</v>
      </c>
      <c r="AP2004">
        <v>28</v>
      </c>
      <c r="AR2004" s="15" t="s">
        <v>1155</v>
      </c>
    </row>
    <row r="2005" spans="1:44" x14ac:dyDescent="0.2">
      <c r="A2005" t="s">
        <v>1378</v>
      </c>
      <c r="B2005" s="15" t="s">
        <v>1146</v>
      </c>
      <c r="C2005" s="15" t="s">
        <v>1149</v>
      </c>
      <c r="D2005" s="14" t="s">
        <v>475</v>
      </c>
      <c r="E2005" s="14" t="s">
        <v>3041</v>
      </c>
      <c r="G2005" s="15" t="s">
        <v>1165</v>
      </c>
      <c r="H2005" s="14" t="s">
        <v>1165</v>
      </c>
      <c r="I2005" s="14" t="s">
        <v>3033</v>
      </c>
      <c r="M2005" s="14" t="s">
        <v>3034</v>
      </c>
      <c r="O2005">
        <v>2004</v>
      </c>
      <c r="Q2005" t="s">
        <v>1329</v>
      </c>
      <c r="R2005">
        <v>14</v>
      </c>
      <c r="T2005" t="s">
        <v>3035</v>
      </c>
      <c r="U2005" s="14" t="s">
        <v>1246</v>
      </c>
      <c r="V2005" s="9" t="s">
        <v>3036</v>
      </c>
      <c r="W2005">
        <v>180</v>
      </c>
      <c r="X2005" s="9" t="s">
        <v>3039</v>
      </c>
      <c r="Z2005" s="5"/>
      <c r="AD2005" s="14" t="s">
        <v>1165</v>
      </c>
      <c r="AF2005" t="s">
        <v>1165</v>
      </c>
      <c r="AI2005" t="s">
        <v>1165</v>
      </c>
      <c r="AJ2005" s="15" t="s">
        <v>1148</v>
      </c>
      <c r="AK2005" s="15">
        <v>85.763999999999996</v>
      </c>
      <c r="AL2005" t="s">
        <v>1263</v>
      </c>
      <c r="AM2005">
        <f>91.042-85.764</f>
        <v>5.2780000000000058</v>
      </c>
      <c r="AP2005">
        <v>56</v>
      </c>
      <c r="AR2005" s="15" t="s">
        <v>1155</v>
      </c>
    </row>
    <row r="2006" spans="1:44" x14ac:dyDescent="0.2">
      <c r="A2006" t="s">
        <v>1378</v>
      </c>
      <c r="B2006" s="15" t="s">
        <v>1146</v>
      </c>
      <c r="C2006" s="15" t="s">
        <v>1149</v>
      </c>
      <c r="D2006" s="14" t="s">
        <v>475</v>
      </c>
      <c r="E2006" s="14" t="s">
        <v>3041</v>
      </c>
      <c r="G2006" s="15" t="s">
        <v>1165</v>
      </c>
      <c r="H2006" s="14" t="s">
        <v>1165</v>
      </c>
      <c r="I2006" s="14" t="s">
        <v>3033</v>
      </c>
      <c r="M2006" s="14" t="s">
        <v>3034</v>
      </c>
      <c r="O2006">
        <v>2004</v>
      </c>
      <c r="Q2006" t="s">
        <v>1329</v>
      </c>
      <c r="R2006">
        <v>14</v>
      </c>
      <c r="T2006" t="s">
        <v>3035</v>
      </c>
      <c r="U2006" s="14" t="s">
        <v>1246</v>
      </c>
      <c r="V2006" s="9" t="s">
        <v>3036</v>
      </c>
      <c r="W2006">
        <v>0</v>
      </c>
      <c r="X2006" s="9" t="s">
        <v>3040</v>
      </c>
      <c r="Z2006" s="5"/>
      <c r="AD2006" s="14" t="s">
        <v>1165</v>
      </c>
      <c r="AF2006" t="s">
        <v>1165</v>
      </c>
      <c r="AI2006" t="s">
        <v>1165</v>
      </c>
      <c r="AJ2006" s="15" t="s">
        <v>1148</v>
      </c>
      <c r="AK2006" s="15">
        <v>2.0880000000000001</v>
      </c>
      <c r="AL2006" t="s">
        <v>1263</v>
      </c>
      <c r="AM2006">
        <v>0</v>
      </c>
      <c r="AP2006">
        <v>28</v>
      </c>
      <c r="AR2006" s="15" t="s">
        <v>1155</v>
      </c>
    </row>
    <row r="2007" spans="1:44" x14ac:dyDescent="0.2">
      <c r="A2007" t="s">
        <v>1378</v>
      </c>
      <c r="B2007" s="15" t="s">
        <v>1146</v>
      </c>
      <c r="C2007" s="15" t="s">
        <v>1149</v>
      </c>
      <c r="D2007" s="14" t="s">
        <v>475</v>
      </c>
      <c r="E2007" s="14" t="s">
        <v>3041</v>
      </c>
      <c r="G2007" s="15" t="s">
        <v>1165</v>
      </c>
      <c r="H2007" s="14" t="s">
        <v>1165</v>
      </c>
      <c r="I2007" s="14" t="s">
        <v>3033</v>
      </c>
      <c r="M2007" s="14" t="s">
        <v>3034</v>
      </c>
      <c r="O2007">
        <v>2004</v>
      </c>
      <c r="Q2007" t="s">
        <v>1329</v>
      </c>
      <c r="R2007">
        <v>14</v>
      </c>
      <c r="T2007" t="s">
        <v>3035</v>
      </c>
      <c r="U2007" s="14" t="s">
        <v>1246</v>
      </c>
      <c r="V2007" s="9" t="s">
        <v>3036</v>
      </c>
      <c r="W2007">
        <v>0</v>
      </c>
      <c r="X2007" s="9" t="s">
        <v>3040</v>
      </c>
      <c r="Z2007" s="5"/>
      <c r="AD2007" s="14" t="s">
        <v>1165</v>
      </c>
      <c r="AF2007" t="s">
        <v>1165</v>
      </c>
      <c r="AI2007" t="s">
        <v>1165</v>
      </c>
      <c r="AJ2007" s="15" t="s">
        <v>1148</v>
      </c>
      <c r="AK2007" s="15">
        <v>2.0880000000000001</v>
      </c>
      <c r="AL2007" t="s">
        <v>1263</v>
      </c>
      <c r="AM2007">
        <v>0</v>
      </c>
      <c r="AP2007">
        <v>56</v>
      </c>
      <c r="AR2007" s="15" t="s">
        <v>1155</v>
      </c>
    </row>
    <row r="2008" spans="1:44" x14ac:dyDescent="0.2">
      <c r="A2008" t="s">
        <v>1378</v>
      </c>
      <c r="B2008" s="15" t="s">
        <v>1146</v>
      </c>
      <c r="C2008" s="15" t="s">
        <v>1149</v>
      </c>
      <c r="D2008" s="14" t="s">
        <v>475</v>
      </c>
      <c r="E2008" s="14" t="s">
        <v>3041</v>
      </c>
      <c r="G2008" s="15" t="s">
        <v>1165</v>
      </c>
      <c r="H2008" s="14" t="s">
        <v>1165</v>
      </c>
      <c r="I2008" s="14" t="s">
        <v>3033</v>
      </c>
      <c r="M2008" s="14" t="s">
        <v>3034</v>
      </c>
      <c r="O2008">
        <v>2004</v>
      </c>
      <c r="Q2008" t="s">
        <v>1329</v>
      </c>
      <c r="R2008">
        <v>14</v>
      </c>
      <c r="T2008" t="s">
        <v>3035</v>
      </c>
      <c r="U2008" s="14" t="s">
        <v>1246</v>
      </c>
      <c r="V2008" s="9" t="s">
        <v>3036</v>
      </c>
      <c r="W2008">
        <v>15</v>
      </c>
      <c r="X2008" s="9" t="s">
        <v>3040</v>
      </c>
      <c r="Z2008" s="5"/>
      <c r="AD2008" s="14" t="s">
        <v>1165</v>
      </c>
      <c r="AF2008" t="s">
        <v>1165</v>
      </c>
      <c r="AI2008" t="s">
        <v>1165</v>
      </c>
      <c r="AJ2008" s="15" t="s">
        <v>1148</v>
      </c>
      <c r="AK2008" s="15">
        <v>6.9359999999999999</v>
      </c>
      <c r="AL2008" t="s">
        <v>1263</v>
      </c>
      <c r="AM2008">
        <f>9.36-6.936</f>
        <v>2.4239999999999995</v>
      </c>
      <c r="AP2008">
        <v>28</v>
      </c>
      <c r="AR2008" s="15" t="s">
        <v>1155</v>
      </c>
    </row>
    <row r="2009" spans="1:44" x14ac:dyDescent="0.2">
      <c r="A2009" t="s">
        <v>1378</v>
      </c>
      <c r="B2009" s="15" t="s">
        <v>1146</v>
      </c>
      <c r="C2009" s="15" t="s">
        <v>1149</v>
      </c>
      <c r="D2009" s="14" t="s">
        <v>475</v>
      </c>
      <c r="E2009" s="14" t="s">
        <v>3041</v>
      </c>
      <c r="G2009" s="15" t="s">
        <v>1165</v>
      </c>
      <c r="H2009" s="14" t="s">
        <v>1165</v>
      </c>
      <c r="I2009" s="14" t="s">
        <v>3033</v>
      </c>
      <c r="M2009" s="14" t="s">
        <v>3034</v>
      </c>
      <c r="O2009">
        <v>2004</v>
      </c>
      <c r="Q2009" t="s">
        <v>1329</v>
      </c>
      <c r="R2009">
        <v>14</v>
      </c>
      <c r="T2009" t="s">
        <v>3035</v>
      </c>
      <c r="U2009" s="14" t="s">
        <v>1246</v>
      </c>
      <c r="V2009" s="9" t="s">
        <v>3036</v>
      </c>
      <c r="W2009">
        <v>15</v>
      </c>
      <c r="X2009" s="9" t="s">
        <v>3040</v>
      </c>
      <c r="Z2009" s="5"/>
      <c r="AD2009" s="14" t="s">
        <v>1165</v>
      </c>
      <c r="AF2009" t="s">
        <v>1165</v>
      </c>
      <c r="AI2009" t="s">
        <v>1165</v>
      </c>
      <c r="AJ2009" s="15" t="s">
        <v>1148</v>
      </c>
      <c r="AK2009" s="15">
        <v>7.2050000000000001</v>
      </c>
      <c r="AL2009" t="s">
        <v>1263</v>
      </c>
      <c r="AM2009">
        <f>9.091-7.205</f>
        <v>1.8859999999999992</v>
      </c>
      <c r="AP2009">
        <v>56</v>
      </c>
      <c r="AR2009" s="15" t="s">
        <v>1155</v>
      </c>
    </row>
    <row r="2010" spans="1:44" x14ac:dyDescent="0.2">
      <c r="A2010" t="s">
        <v>1378</v>
      </c>
      <c r="B2010" s="15" t="s">
        <v>1146</v>
      </c>
      <c r="C2010" s="15" t="s">
        <v>1149</v>
      </c>
      <c r="D2010" s="14" t="s">
        <v>475</v>
      </c>
      <c r="E2010" s="14" t="s">
        <v>3041</v>
      </c>
      <c r="G2010" s="15" t="s">
        <v>1165</v>
      </c>
      <c r="H2010" s="14" t="s">
        <v>1165</v>
      </c>
      <c r="I2010" s="14" t="s">
        <v>3033</v>
      </c>
      <c r="M2010" s="14" t="s">
        <v>3034</v>
      </c>
      <c r="O2010">
        <v>2004</v>
      </c>
      <c r="Q2010" t="s">
        <v>1329</v>
      </c>
      <c r="R2010">
        <v>14</v>
      </c>
      <c r="T2010" t="s">
        <v>3035</v>
      </c>
      <c r="U2010" s="14" t="s">
        <v>1246</v>
      </c>
      <c r="V2010" s="9" t="s">
        <v>3036</v>
      </c>
      <c r="W2010">
        <v>30</v>
      </c>
      <c r="X2010" s="9" t="s">
        <v>3040</v>
      </c>
      <c r="Z2010" s="5"/>
      <c r="AD2010" s="14" t="s">
        <v>1165</v>
      </c>
      <c r="AF2010" t="s">
        <v>1165</v>
      </c>
      <c r="AI2010" t="s">
        <v>1165</v>
      </c>
      <c r="AJ2010" s="15" t="s">
        <v>1148</v>
      </c>
      <c r="AK2010" s="15">
        <v>52.189</v>
      </c>
      <c r="AL2010" t="s">
        <v>1263</v>
      </c>
      <c r="AM2010">
        <f>58.653-52.189</f>
        <v>6.4639999999999986</v>
      </c>
      <c r="AP2010">
        <v>28</v>
      </c>
      <c r="AR2010" s="15" t="s">
        <v>1155</v>
      </c>
    </row>
    <row r="2011" spans="1:44" x14ac:dyDescent="0.2">
      <c r="A2011" t="s">
        <v>1378</v>
      </c>
      <c r="B2011" s="15" t="s">
        <v>1146</v>
      </c>
      <c r="C2011" s="15" t="s">
        <v>1149</v>
      </c>
      <c r="D2011" s="14" t="s">
        <v>475</v>
      </c>
      <c r="E2011" s="14" t="s">
        <v>3041</v>
      </c>
      <c r="G2011" s="15" t="s">
        <v>1165</v>
      </c>
      <c r="H2011" s="14" t="s">
        <v>1165</v>
      </c>
      <c r="I2011" s="14" t="s">
        <v>3033</v>
      </c>
      <c r="M2011" s="14" t="s">
        <v>3034</v>
      </c>
      <c r="O2011">
        <v>2004</v>
      </c>
      <c r="Q2011" t="s">
        <v>1329</v>
      </c>
      <c r="R2011">
        <v>14</v>
      </c>
      <c r="T2011" t="s">
        <v>3035</v>
      </c>
      <c r="U2011" s="14" t="s">
        <v>1246</v>
      </c>
      <c r="V2011" s="9" t="s">
        <v>3036</v>
      </c>
      <c r="W2011">
        <v>30</v>
      </c>
      <c r="X2011" s="9" t="s">
        <v>3040</v>
      </c>
      <c r="Z2011" s="5"/>
      <c r="AD2011" s="14" t="s">
        <v>1165</v>
      </c>
      <c r="AF2011" t="s">
        <v>1165</v>
      </c>
      <c r="AI2011" t="s">
        <v>1165</v>
      </c>
      <c r="AJ2011" s="15" t="s">
        <v>1148</v>
      </c>
      <c r="AK2011" s="15">
        <v>52.189</v>
      </c>
      <c r="AL2011" t="s">
        <v>1263</v>
      </c>
      <c r="AM2011">
        <f>58.653-52.189</f>
        <v>6.4639999999999986</v>
      </c>
      <c r="AP2011">
        <v>56</v>
      </c>
      <c r="AR2011" s="15" t="s">
        <v>1155</v>
      </c>
    </row>
    <row r="2012" spans="1:44" x14ac:dyDescent="0.2">
      <c r="A2012" t="s">
        <v>1378</v>
      </c>
      <c r="B2012" s="15" t="s">
        <v>1146</v>
      </c>
      <c r="C2012" s="15" t="s">
        <v>1149</v>
      </c>
      <c r="D2012" s="14" t="s">
        <v>475</v>
      </c>
      <c r="E2012" s="14" t="s">
        <v>3041</v>
      </c>
      <c r="G2012" s="15" t="s">
        <v>1165</v>
      </c>
      <c r="H2012" s="14" t="s">
        <v>1165</v>
      </c>
      <c r="I2012" s="14" t="s">
        <v>3033</v>
      </c>
      <c r="M2012" s="14" t="s">
        <v>3034</v>
      </c>
      <c r="O2012">
        <v>2004</v>
      </c>
      <c r="Q2012" t="s">
        <v>1329</v>
      </c>
      <c r="R2012">
        <v>14</v>
      </c>
      <c r="T2012" t="s">
        <v>3035</v>
      </c>
      <c r="U2012" s="14" t="s">
        <v>1246</v>
      </c>
      <c r="V2012" s="9" t="s">
        <v>3036</v>
      </c>
      <c r="W2012">
        <v>60</v>
      </c>
      <c r="X2012" s="9" t="s">
        <v>3040</v>
      </c>
      <c r="Z2012" s="5"/>
      <c r="AD2012" s="14" t="s">
        <v>1165</v>
      </c>
      <c r="AF2012" t="s">
        <v>1165</v>
      </c>
      <c r="AI2012" t="s">
        <v>1165</v>
      </c>
      <c r="AJ2012" s="15" t="s">
        <v>1148</v>
      </c>
      <c r="AK2012" s="15">
        <v>30.64</v>
      </c>
      <c r="AL2012" t="s">
        <v>1263</v>
      </c>
      <c r="AM2012">
        <f>36.835-30.64</f>
        <v>6.1950000000000003</v>
      </c>
      <c r="AP2012">
        <v>28</v>
      </c>
      <c r="AR2012" s="15" t="s">
        <v>1155</v>
      </c>
    </row>
    <row r="2013" spans="1:44" x14ac:dyDescent="0.2">
      <c r="A2013" t="s">
        <v>1378</v>
      </c>
      <c r="B2013" s="15" t="s">
        <v>1146</v>
      </c>
      <c r="C2013" s="15" t="s">
        <v>1149</v>
      </c>
      <c r="D2013" s="14" t="s">
        <v>475</v>
      </c>
      <c r="E2013" s="14" t="s">
        <v>3041</v>
      </c>
      <c r="G2013" s="15" t="s">
        <v>1165</v>
      </c>
      <c r="H2013" s="14" t="s">
        <v>1165</v>
      </c>
      <c r="I2013" s="14" t="s">
        <v>3033</v>
      </c>
      <c r="M2013" s="14" t="s">
        <v>3034</v>
      </c>
      <c r="O2013">
        <v>2004</v>
      </c>
      <c r="Q2013" t="s">
        <v>1329</v>
      </c>
      <c r="R2013">
        <v>14</v>
      </c>
      <c r="T2013" t="s">
        <v>3035</v>
      </c>
      <c r="U2013" s="14" t="s">
        <v>1246</v>
      </c>
      <c r="V2013" s="9" t="s">
        <v>3036</v>
      </c>
      <c r="W2013">
        <v>60</v>
      </c>
      <c r="X2013" s="9" t="s">
        <v>3040</v>
      </c>
      <c r="Z2013" s="5"/>
      <c r="AD2013" s="14" t="s">
        <v>1165</v>
      </c>
      <c r="AF2013" t="s">
        <v>1165</v>
      </c>
      <c r="AI2013" t="s">
        <v>1165</v>
      </c>
      <c r="AJ2013" s="15" t="s">
        <v>1148</v>
      </c>
      <c r="AK2013" s="15">
        <v>30.37</v>
      </c>
      <c r="AL2013" t="s">
        <v>1263</v>
      </c>
      <c r="AM2013">
        <f>36.835-30.37</f>
        <v>6.4649999999999999</v>
      </c>
      <c r="AP2013">
        <v>56</v>
      </c>
      <c r="AR2013" s="15" t="s">
        <v>1155</v>
      </c>
    </row>
    <row r="2014" spans="1:44" x14ac:dyDescent="0.2">
      <c r="A2014" t="s">
        <v>1378</v>
      </c>
      <c r="B2014" s="15" t="s">
        <v>1146</v>
      </c>
      <c r="C2014" s="15" t="s">
        <v>1149</v>
      </c>
      <c r="D2014" s="14" t="s">
        <v>475</v>
      </c>
      <c r="E2014" s="14" t="s">
        <v>3041</v>
      </c>
      <c r="G2014" s="15" t="s">
        <v>1165</v>
      </c>
      <c r="H2014" s="14" t="s">
        <v>1165</v>
      </c>
      <c r="I2014" s="14" t="s">
        <v>3033</v>
      </c>
      <c r="M2014" s="14" t="s">
        <v>3034</v>
      </c>
      <c r="O2014">
        <v>2004</v>
      </c>
      <c r="Q2014" t="s">
        <v>1329</v>
      </c>
      <c r="R2014">
        <v>14</v>
      </c>
      <c r="T2014" t="s">
        <v>3035</v>
      </c>
      <c r="U2014" s="14" t="s">
        <v>1246</v>
      </c>
      <c r="V2014" s="9" t="s">
        <v>3036</v>
      </c>
      <c r="W2014">
        <v>90</v>
      </c>
      <c r="X2014" s="9" t="s">
        <v>3040</v>
      </c>
      <c r="Z2014" s="5"/>
      <c r="AD2014" s="14" t="s">
        <v>1165</v>
      </c>
      <c r="AF2014" t="s">
        <v>1165</v>
      </c>
      <c r="AI2014" t="s">
        <v>1165</v>
      </c>
      <c r="AJ2014" s="15" t="s">
        <v>1148</v>
      </c>
      <c r="AK2014" s="15">
        <v>42.02</v>
      </c>
      <c r="AL2014" t="s">
        <v>1263</v>
      </c>
      <c r="AM2014">
        <f>49.764-42.02</f>
        <v>7.7439999999999998</v>
      </c>
      <c r="AP2014">
        <v>28</v>
      </c>
      <c r="AR2014" s="15" t="s">
        <v>1155</v>
      </c>
    </row>
    <row r="2015" spans="1:44" x14ac:dyDescent="0.2">
      <c r="A2015" t="s">
        <v>1378</v>
      </c>
      <c r="B2015" s="15" t="s">
        <v>1146</v>
      </c>
      <c r="C2015" s="15" t="s">
        <v>1149</v>
      </c>
      <c r="D2015" s="14" t="s">
        <v>475</v>
      </c>
      <c r="E2015" s="14" t="s">
        <v>3041</v>
      </c>
      <c r="G2015" s="15" t="s">
        <v>1165</v>
      </c>
      <c r="H2015" s="14" t="s">
        <v>1165</v>
      </c>
      <c r="I2015" s="14" t="s">
        <v>3033</v>
      </c>
      <c r="M2015" s="14" t="s">
        <v>3034</v>
      </c>
      <c r="O2015">
        <v>2004</v>
      </c>
      <c r="Q2015" t="s">
        <v>1329</v>
      </c>
      <c r="R2015">
        <v>14</v>
      </c>
      <c r="T2015" t="s">
        <v>3035</v>
      </c>
      <c r="U2015" s="14" t="s">
        <v>1246</v>
      </c>
      <c r="V2015" s="9" t="s">
        <v>3036</v>
      </c>
      <c r="W2015">
        <v>90</v>
      </c>
      <c r="X2015" s="9" t="s">
        <v>3040</v>
      </c>
      <c r="Z2015" s="5"/>
      <c r="AD2015" s="14" t="s">
        <v>1165</v>
      </c>
      <c r="AF2015" t="s">
        <v>1165</v>
      </c>
      <c r="AI2015" t="s">
        <v>1165</v>
      </c>
      <c r="AJ2015" s="15" t="s">
        <v>1148</v>
      </c>
      <c r="AK2015" s="15">
        <v>42.222000000000001</v>
      </c>
      <c r="AL2015" t="s">
        <v>1263</v>
      </c>
      <c r="AM2015">
        <f>49.495-42.222</f>
        <v>7.2729999999999961</v>
      </c>
      <c r="AP2015">
        <v>56</v>
      </c>
      <c r="AR2015" s="15" t="s">
        <v>1155</v>
      </c>
    </row>
    <row r="2016" spans="1:44" x14ac:dyDescent="0.2">
      <c r="A2016" t="s">
        <v>1378</v>
      </c>
      <c r="B2016" s="15" t="s">
        <v>1146</v>
      </c>
      <c r="C2016" s="15" t="s">
        <v>1149</v>
      </c>
      <c r="D2016" s="14" t="s">
        <v>475</v>
      </c>
      <c r="E2016" s="14" t="s">
        <v>3041</v>
      </c>
      <c r="G2016" s="15" t="s">
        <v>1165</v>
      </c>
      <c r="H2016" s="14" t="s">
        <v>1165</v>
      </c>
      <c r="I2016" s="14" t="s">
        <v>3033</v>
      </c>
      <c r="M2016" s="14" t="s">
        <v>3034</v>
      </c>
      <c r="O2016">
        <v>2004</v>
      </c>
      <c r="Q2016" t="s">
        <v>1329</v>
      </c>
      <c r="R2016">
        <v>14</v>
      </c>
      <c r="T2016" t="s">
        <v>3035</v>
      </c>
      <c r="U2016" s="14" t="s">
        <v>1246</v>
      </c>
      <c r="V2016" s="9" t="s">
        <v>3036</v>
      </c>
      <c r="W2016">
        <v>120</v>
      </c>
      <c r="X2016" s="9" t="s">
        <v>3040</v>
      </c>
      <c r="Z2016" s="5"/>
      <c r="AD2016" s="14" t="s">
        <v>1165</v>
      </c>
      <c r="AF2016" t="s">
        <v>1165</v>
      </c>
      <c r="AI2016" t="s">
        <v>1165</v>
      </c>
      <c r="AJ2016" s="15" t="s">
        <v>1148</v>
      </c>
      <c r="AK2016" s="15">
        <v>43.838000000000001</v>
      </c>
      <c r="AL2016" t="s">
        <v>1263</v>
      </c>
      <c r="AM2016">
        <f>50.303-43.838</f>
        <v>6.4649999999999963</v>
      </c>
      <c r="AP2016">
        <v>28</v>
      </c>
      <c r="AR2016" s="15" t="s">
        <v>1155</v>
      </c>
    </row>
    <row r="2017" spans="1:44" x14ac:dyDescent="0.2">
      <c r="A2017" t="s">
        <v>1378</v>
      </c>
      <c r="B2017" s="15" t="s">
        <v>1146</v>
      </c>
      <c r="C2017" s="15" t="s">
        <v>1149</v>
      </c>
      <c r="D2017" s="14" t="s">
        <v>475</v>
      </c>
      <c r="E2017" s="14" t="s">
        <v>3041</v>
      </c>
      <c r="G2017" s="15" t="s">
        <v>1165</v>
      </c>
      <c r="H2017" s="14" t="s">
        <v>1165</v>
      </c>
      <c r="I2017" s="14" t="s">
        <v>3033</v>
      </c>
      <c r="M2017" s="14" t="s">
        <v>3034</v>
      </c>
      <c r="O2017">
        <v>2004</v>
      </c>
      <c r="Q2017" t="s">
        <v>1329</v>
      </c>
      <c r="R2017">
        <v>14</v>
      </c>
      <c r="T2017" t="s">
        <v>3035</v>
      </c>
      <c r="U2017" s="14" t="s">
        <v>1246</v>
      </c>
      <c r="V2017" s="9" t="s">
        <v>3036</v>
      </c>
      <c r="W2017">
        <v>120</v>
      </c>
      <c r="X2017" s="9" t="s">
        <v>3040</v>
      </c>
      <c r="Z2017" s="5"/>
      <c r="AD2017" s="14" t="s">
        <v>1165</v>
      </c>
      <c r="AF2017" t="s">
        <v>1165</v>
      </c>
      <c r="AI2017" t="s">
        <v>1165</v>
      </c>
      <c r="AJ2017" s="15" t="s">
        <v>1148</v>
      </c>
      <c r="AK2017" s="15">
        <v>44.377000000000002</v>
      </c>
      <c r="AL2017" t="s">
        <v>1263</v>
      </c>
      <c r="AM2017">
        <f>50.572-44.377</f>
        <v>6.1950000000000003</v>
      </c>
      <c r="AP2017">
        <v>56</v>
      </c>
      <c r="AR2017" s="15" t="s">
        <v>1155</v>
      </c>
    </row>
    <row r="2018" spans="1:44" x14ac:dyDescent="0.2">
      <c r="A2018" t="s">
        <v>1378</v>
      </c>
      <c r="B2018" s="15" t="s">
        <v>1146</v>
      </c>
      <c r="C2018" s="15" t="s">
        <v>1149</v>
      </c>
      <c r="D2018" s="14" t="s">
        <v>475</v>
      </c>
      <c r="E2018" s="14" t="s">
        <v>3041</v>
      </c>
      <c r="G2018" s="15" t="s">
        <v>1165</v>
      </c>
      <c r="H2018" s="14" t="s">
        <v>1165</v>
      </c>
      <c r="I2018" s="14" t="s">
        <v>3033</v>
      </c>
      <c r="M2018" s="14" t="s">
        <v>3034</v>
      </c>
      <c r="O2018">
        <v>2004</v>
      </c>
      <c r="Q2018" t="s">
        <v>1329</v>
      </c>
      <c r="R2018">
        <v>14</v>
      </c>
      <c r="T2018" t="s">
        <v>3035</v>
      </c>
      <c r="U2018" s="14" t="s">
        <v>1246</v>
      </c>
      <c r="V2018" s="9" t="s">
        <v>3036</v>
      </c>
      <c r="W2018">
        <v>150</v>
      </c>
      <c r="X2018" s="9" t="s">
        <v>3040</v>
      </c>
      <c r="Z2018" s="5"/>
      <c r="AD2018" s="14" t="s">
        <v>1165</v>
      </c>
      <c r="AF2018" t="s">
        <v>1165</v>
      </c>
      <c r="AI2018" t="s">
        <v>1165</v>
      </c>
      <c r="AJ2018" s="15" t="s">
        <v>1148</v>
      </c>
      <c r="AK2018" s="15">
        <v>2.3570000000000002</v>
      </c>
      <c r="AL2018" t="s">
        <v>1263</v>
      </c>
      <c r="AM2018">
        <v>0</v>
      </c>
      <c r="AP2018">
        <v>28</v>
      </c>
      <c r="AR2018" s="15" t="s">
        <v>1155</v>
      </c>
    </row>
    <row r="2019" spans="1:44" x14ac:dyDescent="0.2">
      <c r="A2019" t="s">
        <v>1378</v>
      </c>
      <c r="B2019" s="15" t="s">
        <v>1146</v>
      </c>
      <c r="C2019" s="15" t="s">
        <v>1149</v>
      </c>
      <c r="D2019" s="14" t="s">
        <v>475</v>
      </c>
      <c r="E2019" s="14" t="s">
        <v>3041</v>
      </c>
      <c r="G2019" s="15" t="s">
        <v>1165</v>
      </c>
      <c r="H2019" s="14" t="s">
        <v>1165</v>
      </c>
      <c r="I2019" s="14" t="s">
        <v>3033</v>
      </c>
      <c r="M2019" s="14" t="s">
        <v>3034</v>
      </c>
      <c r="O2019">
        <v>2004</v>
      </c>
      <c r="Q2019" t="s">
        <v>1329</v>
      </c>
      <c r="R2019">
        <v>14</v>
      </c>
      <c r="T2019" t="s">
        <v>3035</v>
      </c>
      <c r="U2019" s="14" t="s">
        <v>1246</v>
      </c>
      <c r="V2019" s="9" t="s">
        <v>3036</v>
      </c>
      <c r="W2019">
        <v>150</v>
      </c>
      <c r="X2019" s="9" t="s">
        <v>3040</v>
      </c>
      <c r="Z2019" s="5"/>
      <c r="AD2019" s="14" t="s">
        <v>1165</v>
      </c>
      <c r="AF2019" t="s">
        <v>1165</v>
      </c>
      <c r="AI2019" t="s">
        <v>1165</v>
      </c>
      <c r="AJ2019" s="15" t="s">
        <v>1148</v>
      </c>
      <c r="AK2019" s="15">
        <v>2.0880000000000001</v>
      </c>
      <c r="AL2019" t="s">
        <v>1263</v>
      </c>
      <c r="AM2019">
        <v>0</v>
      </c>
      <c r="AP2019">
        <v>56</v>
      </c>
      <c r="AR2019" s="15" t="s">
        <v>1155</v>
      </c>
    </row>
    <row r="2020" spans="1:44" x14ac:dyDescent="0.2">
      <c r="A2020" t="s">
        <v>1378</v>
      </c>
      <c r="B2020" s="15" t="s">
        <v>1146</v>
      </c>
      <c r="C2020" s="15" t="s">
        <v>1149</v>
      </c>
      <c r="D2020" s="14" t="s">
        <v>475</v>
      </c>
      <c r="E2020" s="14" t="s">
        <v>3041</v>
      </c>
      <c r="G2020" s="15" t="s">
        <v>1165</v>
      </c>
      <c r="H2020" s="14" t="s">
        <v>1165</v>
      </c>
      <c r="I2020" s="14" t="s">
        <v>3033</v>
      </c>
      <c r="M2020" s="14" t="s">
        <v>3034</v>
      </c>
      <c r="O2020">
        <v>2004</v>
      </c>
      <c r="Q2020" t="s">
        <v>1329</v>
      </c>
      <c r="R2020">
        <v>14</v>
      </c>
      <c r="T2020" t="s">
        <v>3035</v>
      </c>
      <c r="U2020" s="14" t="s">
        <v>1246</v>
      </c>
      <c r="V2020" s="9" t="s">
        <v>3036</v>
      </c>
      <c r="W2020">
        <v>180</v>
      </c>
      <c r="X2020" s="9" t="s">
        <v>3040</v>
      </c>
      <c r="Z2020" s="5"/>
      <c r="AD2020" s="14" t="s">
        <v>1165</v>
      </c>
      <c r="AF2020" t="s">
        <v>1165</v>
      </c>
      <c r="AI2020" t="s">
        <v>1165</v>
      </c>
      <c r="AJ2020" s="15" t="s">
        <v>1148</v>
      </c>
      <c r="AK2020" s="15">
        <v>4.242</v>
      </c>
      <c r="AL2020" t="s">
        <v>1263</v>
      </c>
      <c r="AM2020">
        <f>6.397-4.242</f>
        <v>2.1550000000000002</v>
      </c>
      <c r="AP2020">
        <v>28</v>
      </c>
      <c r="AR2020" s="15" t="s">
        <v>1155</v>
      </c>
    </row>
    <row r="2021" spans="1:44" x14ac:dyDescent="0.2">
      <c r="A2021" t="s">
        <v>1378</v>
      </c>
      <c r="B2021" s="15" t="s">
        <v>1146</v>
      </c>
      <c r="C2021" s="15" t="s">
        <v>1149</v>
      </c>
      <c r="D2021" s="14" t="s">
        <v>475</v>
      </c>
      <c r="E2021" s="14" t="s">
        <v>3041</v>
      </c>
      <c r="G2021" s="15" t="s">
        <v>1165</v>
      </c>
      <c r="H2021" s="14" t="s">
        <v>1165</v>
      </c>
      <c r="I2021" s="14" t="s">
        <v>3033</v>
      </c>
      <c r="M2021" s="14" t="s">
        <v>3034</v>
      </c>
      <c r="O2021">
        <v>2004</v>
      </c>
      <c r="Q2021" t="s">
        <v>1329</v>
      </c>
      <c r="R2021">
        <v>14</v>
      </c>
      <c r="T2021" t="s">
        <v>3035</v>
      </c>
      <c r="U2021" s="14" t="s">
        <v>1246</v>
      </c>
      <c r="V2021" s="9" t="s">
        <v>3036</v>
      </c>
      <c r="W2021">
        <v>180</v>
      </c>
      <c r="X2021" s="9" t="s">
        <v>3040</v>
      </c>
      <c r="Z2021" s="5"/>
      <c r="AD2021" s="14" t="s">
        <v>1165</v>
      </c>
      <c r="AF2021" t="s">
        <v>1165</v>
      </c>
      <c r="AI2021" t="s">
        <v>1165</v>
      </c>
      <c r="AJ2021" s="15" t="s">
        <v>1148</v>
      </c>
      <c r="AK2021" s="15">
        <v>4.242</v>
      </c>
      <c r="AL2021" t="s">
        <v>1263</v>
      </c>
      <c r="AM2021">
        <f>6.128-4.242</f>
        <v>1.8860000000000001</v>
      </c>
      <c r="AP2021">
        <v>56</v>
      </c>
      <c r="AR2021" s="15" t="s">
        <v>1155</v>
      </c>
    </row>
    <row r="2022" spans="1:44" x14ac:dyDescent="0.2">
      <c r="A2022" t="s">
        <v>1378</v>
      </c>
      <c r="B2022" s="15" t="s">
        <v>1146</v>
      </c>
      <c r="C2022" s="15" t="s">
        <v>1149</v>
      </c>
      <c r="D2022" s="14" t="s">
        <v>475</v>
      </c>
      <c r="E2022" s="14" t="s">
        <v>3042</v>
      </c>
      <c r="G2022" s="15" t="s">
        <v>1165</v>
      </c>
      <c r="H2022" s="14" t="s">
        <v>1165</v>
      </c>
      <c r="I2022" s="14" t="s">
        <v>3033</v>
      </c>
      <c r="M2022" s="14" t="s">
        <v>3034</v>
      </c>
      <c r="O2022">
        <v>2004</v>
      </c>
      <c r="Q2022" t="s">
        <v>1329</v>
      </c>
      <c r="R2022">
        <v>14</v>
      </c>
      <c r="T2022" t="s">
        <v>3035</v>
      </c>
      <c r="U2022" s="14" t="s">
        <v>1246</v>
      </c>
      <c r="V2022" s="9" t="s">
        <v>3036</v>
      </c>
      <c r="W2022">
        <v>0</v>
      </c>
      <c r="X2022" s="9" t="s">
        <v>3037</v>
      </c>
      <c r="Z2022" s="5"/>
      <c r="AD2022" s="14" t="s">
        <v>1165</v>
      </c>
      <c r="AF2022" t="s">
        <v>1165</v>
      </c>
      <c r="AI2022" t="s">
        <v>1165</v>
      </c>
      <c r="AJ2022" s="15" t="s">
        <v>1148</v>
      </c>
      <c r="AK2022" s="15">
        <v>0</v>
      </c>
      <c r="AL2022" t="s">
        <v>1263</v>
      </c>
      <c r="AM2022">
        <v>0</v>
      </c>
      <c r="AP2022">
        <v>28</v>
      </c>
      <c r="AR2022" s="15" t="s">
        <v>1155</v>
      </c>
    </row>
    <row r="2023" spans="1:44" x14ac:dyDescent="0.2">
      <c r="A2023" t="s">
        <v>1378</v>
      </c>
      <c r="B2023" s="15" t="s">
        <v>1146</v>
      </c>
      <c r="C2023" s="15" t="s">
        <v>1149</v>
      </c>
      <c r="D2023" s="14" t="s">
        <v>475</v>
      </c>
      <c r="E2023" s="14" t="s">
        <v>3042</v>
      </c>
      <c r="G2023" s="15" t="s">
        <v>1165</v>
      </c>
      <c r="H2023" s="14" t="s">
        <v>1165</v>
      </c>
      <c r="I2023" s="14" t="s">
        <v>3033</v>
      </c>
      <c r="M2023" s="14" t="s">
        <v>3034</v>
      </c>
      <c r="O2023">
        <v>2004</v>
      </c>
      <c r="Q2023" t="s">
        <v>1329</v>
      </c>
      <c r="R2023">
        <v>14</v>
      </c>
      <c r="T2023" t="s">
        <v>3035</v>
      </c>
      <c r="U2023" s="14" t="s">
        <v>1246</v>
      </c>
      <c r="V2023" s="9" t="s">
        <v>3036</v>
      </c>
      <c r="W2023">
        <v>0</v>
      </c>
      <c r="X2023" s="9" t="s">
        <v>3037</v>
      </c>
      <c r="Z2023" s="5"/>
      <c r="AD2023" s="14" t="s">
        <v>1165</v>
      </c>
      <c r="AF2023" t="s">
        <v>1165</v>
      </c>
      <c r="AI2023" t="s">
        <v>1165</v>
      </c>
      <c r="AJ2023" s="15" t="s">
        <v>1148</v>
      </c>
      <c r="AK2023" s="15">
        <v>2.7269999999999999</v>
      </c>
      <c r="AL2023" t="s">
        <v>1263</v>
      </c>
      <c r="AM2023">
        <f>4.685-2.727</f>
        <v>1.9579999999999997</v>
      </c>
      <c r="AP2023">
        <v>56</v>
      </c>
      <c r="AR2023" s="15" t="s">
        <v>1155</v>
      </c>
    </row>
    <row r="2024" spans="1:44" x14ac:dyDescent="0.2">
      <c r="A2024" t="s">
        <v>1378</v>
      </c>
      <c r="B2024" s="15" t="s">
        <v>1146</v>
      </c>
      <c r="C2024" s="15" t="s">
        <v>1149</v>
      </c>
      <c r="D2024" s="14" t="s">
        <v>475</v>
      </c>
      <c r="E2024" s="14" t="s">
        <v>3042</v>
      </c>
      <c r="G2024" s="15" t="s">
        <v>1165</v>
      </c>
      <c r="H2024" s="14" t="s">
        <v>1165</v>
      </c>
      <c r="I2024" s="14" t="s">
        <v>3033</v>
      </c>
      <c r="M2024" s="14" t="s">
        <v>3034</v>
      </c>
      <c r="O2024">
        <v>2004</v>
      </c>
      <c r="Q2024" t="s">
        <v>1329</v>
      </c>
      <c r="R2024">
        <v>14</v>
      </c>
      <c r="T2024" t="s">
        <v>3035</v>
      </c>
      <c r="U2024" s="14" t="s">
        <v>1246</v>
      </c>
      <c r="V2024" s="9" t="s">
        <v>3036</v>
      </c>
      <c r="W2024">
        <v>15</v>
      </c>
      <c r="X2024" s="9" t="s">
        <v>3037</v>
      </c>
      <c r="Z2024" s="5"/>
      <c r="AD2024" s="14" t="s">
        <v>1165</v>
      </c>
      <c r="AF2024" t="s">
        <v>1165</v>
      </c>
      <c r="AI2024" t="s">
        <v>1165</v>
      </c>
      <c r="AJ2024" s="15" t="s">
        <v>1148</v>
      </c>
      <c r="AK2024" s="15">
        <v>8.6010000000000009</v>
      </c>
      <c r="AL2024" t="s">
        <v>1263</v>
      </c>
      <c r="AM2024">
        <f>11.119-8.601</f>
        <v>2.5179999999999989</v>
      </c>
      <c r="AP2024">
        <v>28</v>
      </c>
      <c r="AR2024" s="15" t="s">
        <v>1155</v>
      </c>
    </row>
    <row r="2025" spans="1:44" x14ac:dyDescent="0.2">
      <c r="A2025" t="s">
        <v>1378</v>
      </c>
      <c r="B2025" s="15" t="s">
        <v>1146</v>
      </c>
      <c r="C2025" s="15" t="s">
        <v>1149</v>
      </c>
      <c r="D2025" s="14" t="s">
        <v>475</v>
      </c>
      <c r="E2025" s="14" t="s">
        <v>3042</v>
      </c>
      <c r="G2025" s="15" t="s">
        <v>1165</v>
      </c>
      <c r="H2025" s="14" t="s">
        <v>1165</v>
      </c>
      <c r="I2025" s="14" t="s">
        <v>3033</v>
      </c>
      <c r="M2025" s="14" t="s">
        <v>3034</v>
      </c>
      <c r="O2025">
        <v>2004</v>
      </c>
      <c r="Q2025" t="s">
        <v>1329</v>
      </c>
      <c r="R2025">
        <v>14</v>
      </c>
      <c r="T2025" t="s">
        <v>3035</v>
      </c>
      <c r="U2025" s="14" t="s">
        <v>1246</v>
      </c>
      <c r="V2025" s="9" t="s">
        <v>3036</v>
      </c>
      <c r="W2025">
        <v>15</v>
      </c>
      <c r="X2025" s="9" t="s">
        <v>3037</v>
      </c>
      <c r="Z2025" s="5"/>
      <c r="AD2025" s="14" t="s">
        <v>1165</v>
      </c>
      <c r="AF2025" t="s">
        <v>1165</v>
      </c>
      <c r="AI2025" t="s">
        <v>1165</v>
      </c>
      <c r="AJ2025" s="15" t="s">
        <v>1148</v>
      </c>
      <c r="AK2025" s="15">
        <v>38.530999999999999</v>
      </c>
      <c r="AL2025" t="s">
        <v>1263</v>
      </c>
      <c r="AM2025">
        <f>48.322-38.531</f>
        <v>9.7910000000000039</v>
      </c>
      <c r="AP2025">
        <v>56</v>
      </c>
      <c r="AR2025" s="15" t="s">
        <v>1155</v>
      </c>
    </row>
    <row r="2026" spans="1:44" x14ac:dyDescent="0.2">
      <c r="A2026" t="s">
        <v>1378</v>
      </c>
      <c r="B2026" s="15" t="s">
        <v>1146</v>
      </c>
      <c r="C2026" s="15" t="s">
        <v>1149</v>
      </c>
      <c r="D2026" s="14" t="s">
        <v>475</v>
      </c>
      <c r="E2026" s="14" t="s">
        <v>3042</v>
      </c>
      <c r="G2026" s="15" t="s">
        <v>1165</v>
      </c>
      <c r="H2026" s="14" t="s">
        <v>1165</v>
      </c>
      <c r="I2026" s="14" t="s">
        <v>3033</v>
      </c>
      <c r="M2026" s="14" t="s">
        <v>3034</v>
      </c>
      <c r="O2026">
        <v>2004</v>
      </c>
      <c r="Q2026" t="s">
        <v>1329</v>
      </c>
      <c r="R2026">
        <v>14</v>
      </c>
      <c r="T2026" t="s">
        <v>3035</v>
      </c>
      <c r="U2026" s="14" t="s">
        <v>1246</v>
      </c>
      <c r="V2026" s="9" t="s">
        <v>3036</v>
      </c>
      <c r="W2026">
        <v>30</v>
      </c>
      <c r="X2026" s="9" t="s">
        <v>3037</v>
      </c>
      <c r="Z2026" s="5"/>
      <c r="AD2026" s="14" t="s">
        <v>1165</v>
      </c>
      <c r="AF2026" t="s">
        <v>1165</v>
      </c>
      <c r="AI2026" t="s">
        <v>1165</v>
      </c>
      <c r="AJ2026" s="15" t="s">
        <v>1148</v>
      </c>
      <c r="AK2026" s="15">
        <v>2.448</v>
      </c>
      <c r="AL2026" t="s">
        <v>1263</v>
      </c>
      <c r="AM2026">
        <f>4.126-2.448</f>
        <v>1.6780000000000004</v>
      </c>
      <c r="AP2026">
        <v>28</v>
      </c>
      <c r="AR2026" s="15" t="s">
        <v>1155</v>
      </c>
    </row>
    <row r="2027" spans="1:44" x14ac:dyDescent="0.2">
      <c r="A2027" t="s">
        <v>1378</v>
      </c>
      <c r="B2027" s="15" t="s">
        <v>1146</v>
      </c>
      <c r="C2027" s="15" t="s">
        <v>1149</v>
      </c>
      <c r="D2027" s="14" t="s">
        <v>475</v>
      </c>
      <c r="E2027" s="14" t="s">
        <v>3042</v>
      </c>
      <c r="G2027" s="15" t="s">
        <v>1165</v>
      </c>
      <c r="H2027" s="14" t="s">
        <v>1165</v>
      </c>
      <c r="I2027" s="14" t="s">
        <v>3033</v>
      </c>
      <c r="M2027" s="14" t="s">
        <v>3034</v>
      </c>
      <c r="O2027">
        <v>2004</v>
      </c>
      <c r="Q2027" t="s">
        <v>1329</v>
      </c>
      <c r="R2027">
        <v>14</v>
      </c>
      <c r="T2027" t="s">
        <v>3035</v>
      </c>
      <c r="U2027" s="14" t="s">
        <v>1246</v>
      </c>
      <c r="V2027" s="9" t="s">
        <v>3036</v>
      </c>
      <c r="W2027">
        <v>30</v>
      </c>
      <c r="X2027" s="9" t="s">
        <v>3037</v>
      </c>
      <c r="Z2027" s="5"/>
      <c r="AD2027" s="14" t="s">
        <v>1165</v>
      </c>
      <c r="AF2027" t="s">
        <v>1165</v>
      </c>
      <c r="AI2027" t="s">
        <v>1165</v>
      </c>
      <c r="AJ2027" s="15" t="s">
        <v>1148</v>
      </c>
      <c r="AK2027" s="15">
        <v>76.572999999999993</v>
      </c>
      <c r="AL2027" t="s">
        <v>1263</v>
      </c>
      <c r="AM2027">
        <f>81.049-76.573</f>
        <v>4.4760000000000133</v>
      </c>
      <c r="AP2027">
        <v>56</v>
      </c>
      <c r="AR2027" s="15" t="s">
        <v>1155</v>
      </c>
    </row>
    <row r="2028" spans="1:44" x14ac:dyDescent="0.2">
      <c r="A2028" t="s">
        <v>1378</v>
      </c>
      <c r="B2028" s="15" t="s">
        <v>1146</v>
      </c>
      <c r="C2028" s="15" t="s">
        <v>1149</v>
      </c>
      <c r="D2028" s="14" t="s">
        <v>475</v>
      </c>
      <c r="E2028" s="14" t="s">
        <v>3042</v>
      </c>
      <c r="G2028" s="15" t="s">
        <v>1165</v>
      </c>
      <c r="H2028" s="14" t="s">
        <v>1165</v>
      </c>
      <c r="I2028" s="14" t="s">
        <v>3033</v>
      </c>
      <c r="M2028" s="14" t="s">
        <v>3034</v>
      </c>
      <c r="O2028">
        <v>2004</v>
      </c>
      <c r="Q2028" t="s">
        <v>1329</v>
      </c>
      <c r="R2028">
        <v>14</v>
      </c>
      <c r="T2028" t="s">
        <v>3035</v>
      </c>
      <c r="U2028" s="14" t="s">
        <v>1246</v>
      </c>
      <c r="V2028" s="9" t="s">
        <v>3036</v>
      </c>
      <c r="W2028">
        <v>60</v>
      </c>
      <c r="X2028" s="9" t="s">
        <v>3037</v>
      </c>
      <c r="Z2028" s="5"/>
      <c r="AD2028" s="14" t="s">
        <v>1165</v>
      </c>
      <c r="AF2028" t="s">
        <v>1165</v>
      </c>
      <c r="AI2028" t="s">
        <v>1165</v>
      </c>
      <c r="AJ2028" s="15" t="s">
        <v>1148</v>
      </c>
      <c r="AK2028" s="15">
        <v>80.978999999999999</v>
      </c>
      <c r="AM2028">
        <f>85.245-80.979</f>
        <v>4.2660000000000053</v>
      </c>
      <c r="AP2028">
        <v>28</v>
      </c>
      <c r="AR2028" s="15" t="s">
        <v>1155</v>
      </c>
    </row>
    <row r="2029" spans="1:44" x14ac:dyDescent="0.2">
      <c r="A2029" t="s">
        <v>1378</v>
      </c>
      <c r="B2029" s="15" t="s">
        <v>1146</v>
      </c>
      <c r="C2029" s="15" t="s">
        <v>1149</v>
      </c>
      <c r="D2029" s="14" t="s">
        <v>475</v>
      </c>
      <c r="E2029" s="14" t="s">
        <v>3042</v>
      </c>
      <c r="G2029" s="15" t="s">
        <v>1165</v>
      </c>
      <c r="H2029" s="14" t="s">
        <v>1165</v>
      </c>
      <c r="I2029" s="14" t="s">
        <v>3033</v>
      </c>
      <c r="M2029" s="14" t="s">
        <v>3034</v>
      </c>
      <c r="O2029">
        <v>2004</v>
      </c>
      <c r="Q2029" t="s">
        <v>1329</v>
      </c>
      <c r="R2029">
        <v>14</v>
      </c>
      <c r="T2029" t="s">
        <v>3035</v>
      </c>
      <c r="U2029" s="14" t="s">
        <v>1246</v>
      </c>
      <c r="V2029" s="9" t="s">
        <v>3036</v>
      </c>
      <c r="W2029">
        <v>60</v>
      </c>
      <c r="X2029" s="9" t="s">
        <v>3037</v>
      </c>
      <c r="Z2029" s="5"/>
      <c r="AD2029" s="14" t="s">
        <v>1165</v>
      </c>
      <c r="AF2029" t="s">
        <v>1165</v>
      </c>
      <c r="AI2029" t="s">
        <v>1165</v>
      </c>
      <c r="AJ2029" s="15" t="s">
        <v>1148</v>
      </c>
      <c r="AK2029" s="15">
        <v>92.238</v>
      </c>
      <c r="AL2029" t="s">
        <v>1263</v>
      </c>
      <c r="AM2029">
        <f>95.874-92.238</f>
        <v>3.6359999999999957</v>
      </c>
      <c r="AP2029">
        <v>56</v>
      </c>
      <c r="AR2029" s="15" t="s">
        <v>1155</v>
      </c>
    </row>
    <row r="2030" spans="1:44" x14ac:dyDescent="0.2">
      <c r="A2030" t="s">
        <v>1378</v>
      </c>
      <c r="B2030" s="15" t="s">
        <v>1146</v>
      </c>
      <c r="C2030" s="15" t="s">
        <v>1149</v>
      </c>
      <c r="D2030" s="14" t="s">
        <v>475</v>
      </c>
      <c r="E2030" s="14" t="s">
        <v>3042</v>
      </c>
      <c r="G2030" s="15" t="s">
        <v>1165</v>
      </c>
      <c r="H2030" s="14" t="s">
        <v>1165</v>
      </c>
      <c r="I2030" s="14" t="s">
        <v>3033</v>
      </c>
      <c r="M2030" s="14" t="s">
        <v>3034</v>
      </c>
      <c r="O2030">
        <v>2004</v>
      </c>
      <c r="Q2030" t="s">
        <v>1329</v>
      </c>
      <c r="R2030">
        <v>14</v>
      </c>
      <c r="T2030" t="s">
        <v>3035</v>
      </c>
      <c r="U2030" s="14" t="s">
        <v>1246</v>
      </c>
      <c r="V2030" s="9" t="s">
        <v>3036</v>
      </c>
      <c r="W2030">
        <v>90</v>
      </c>
      <c r="X2030" s="9" t="s">
        <v>3037</v>
      </c>
      <c r="Z2030" s="5"/>
      <c r="AD2030" s="14" t="s">
        <v>1165</v>
      </c>
      <c r="AF2030" t="s">
        <v>1165</v>
      </c>
      <c r="AI2030" t="s">
        <v>1165</v>
      </c>
      <c r="AJ2030" s="15" t="s">
        <v>1148</v>
      </c>
      <c r="AK2030" s="15">
        <v>89.441000000000003</v>
      </c>
      <c r="AL2030" t="s">
        <v>1263</v>
      </c>
      <c r="AM2030">
        <f>92.238-89.441</f>
        <v>2.796999999999997</v>
      </c>
      <c r="AP2030">
        <v>28</v>
      </c>
      <c r="AR2030" s="15" t="s">
        <v>1155</v>
      </c>
    </row>
    <row r="2031" spans="1:44" x14ac:dyDescent="0.2">
      <c r="A2031" t="s">
        <v>1378</v>
      </c>
      <c r="B2031" s="15" t="s">
        <v>1146</v>
      </c>
      <c r="C2031" s="15" t="s">
        <v>1149</v>
      </c>
      <c r="D2031" s="14" t="s">
        <v>475</v>
      </c>
      <c r="E2031" s="14" t="s">
        <v>3042</v>
      </c>
      <c r="G2031" s="15" t="s">
        <v>1165</v>
      </c>
      <c r="H2031" s="14" t="s">
        <v>1165</v>
      </c>
      <c r="I2031" s="14" t="s">
        <v>3033</v>
      </c>
      <c r="M2031" s="14" t="s">
        <v>3034</v>
      </c>
      <c r="O2031">
        <v>2004</v>
      </c>
      <c r="Q2031" t="s">
        <v>1329</v>
      </c>
      <c r="R2031">
        <v>14</v>
      </c>
      <c r="T2031" t="s">
        <v>3035</v>
      </c>
      <c r="U2031" s="14" t="s">
        <v>1246</v>
      </c>
      <c r="V2031" s="9" t="s">
        <v>3036</v>
      </c>
      <c r="W2031">
        <v>90</v>
      </c>
      <c r="X2031" s="9" t="s">
        <v>3037</v>
      </c>
      <c r="Z2031" s="5"/>
      <c r="AD2031" s="14" t="s">
        <v>1165</v>
      </c>
      <c r="AF2031" t="s">
        <v>1165</v>
      </c>
      <c r="AI2031" t="s">
        <v>1165</v>
      </c>
      <c r="AJ2031" s="15" t="s">
        <v>1148</v>
      </c>
      <c r="AK2031" s="15">
        <v>96.153999999999996</v>
      </c>
      <c r="AL2031" t="s">
        <v>1263</v>
      </c>
      <c r="AM2031">
        <f>99.231-96.154</f>
        <v>3.0769999999999982</v>
      </c>
      <c r="AP2031">
        <v>56</v>
      </c>
      <c r="AR2031" s="15" t="s">
        <v>1155</v>
      </c>
    </row>
    <row r="2032" spans="1:44" x14ac:dyDescent="0.2">
      <c r="A2032" t="s">
        <v>1378</v>
      </c>
      <c r="B2032" s="15" t="s">
        <v>1146</v>
      </c>
      <c r="C2032" s="15" t="s">
        <v>1149</v>
      </c>
      <c r="D2032" s="14" t="s">
        <v>475</v>
      </c>
      <c r="E2032" s="14" t="s">
        <v>3042</v>
      </c>
      <c r="G2032" s="15" t="s">
        <v>1165</v>
      </c>
      <c r="H2032" s="14" t="s">
        <v>1165</v>
      </c>
      <c r="I2032" s="14" t="s">
        <v>3033</v>
      </c>
      <c r="M2032" s="14" t="s">
        <v>3034</v>
      </c>
      <c r="O2032">
        <v>2004</v>
      </c>
      <c r="Q2032" t="s">
        <v>1329</v>
      </c>
      <c r="R2032">
        <v>14</v>
      </c>
      <c r="T2032" t="s">
        <v>3035</v>
      </c>
      <c r="U2032" s="14" t="s">
        <v>1246</v>
      </c>
      <c r="V2032" s="9" t="s">
        <v>3036</v>
      </c>
      <c r="W2032">
        <v>120</v>
      </c>
      <c r="X2032" s="9" t="s">
        <v>3037</v>
      </c>
      <c r="Z2032" s="5"/>
      <c r="AD2032" s="14" t="s">
        <v>1165</v>
      </c>
      <c r="AF2032" t="s">
        <v>1165</v>
      </c>
      <c r="AI2032" t="s">
        <v>1165</v>
      </c>
      <c r="AJ2032" s="15" t="s">
        <v>1148</v>
      </c>
      <c r="AK2032" s="15">
        <v>89.72</v>
      </c>
      <c r="AL2032" t="s">
        <v>1263</v>
      </c>
      <c r="AM2032">
        <f>91.678-89.72</f>
        <v>1.9579999999999984</v>
      </c>
      <c r="AP2032">
        <v>28</v>
      </c>
      <c r="AR2032" s="15" t="s">
        <v>1155</v>
      </c>
    </row>
    <row r="2033" spans="1:44" x14ac:dyDescent="0.2">
      <c r="A2033" t="s">
        <v>1378</v>
      </c>
      <c r="B2033" s="15" t="s">
        <v>1146</v>
      </c>
      <c r="C2033" s="15" t="s">
        <v>1149</v>
      </c>
      <c r="D2033" s="14" t="s">
        <v>475</v>
      </c>
      <c r="E2033" s="14" t="s">
        <v>3042</v>
      </c>
      <c r="G2033" s="15" t="s">
        <v>1165</v>
      </c>
      <c r="H2033" s="14" t="s">
        <v>1165</v>
      </c>
      <c r="I2033" s="14" t="s">
        <v>3033</v>
      </c>
      <c r="M2033" s="14" t="s">
        <v>3034</v>
      </c>
      <c r="O2033">
        <v>2004</v>
      </c>
      <c r="Q2033" t="s">
        <v>1329</v>
      </c>
      <c r="R2033">
        <v>14</v>
      </c>
      <c r="T2033" t="s">
        <v>3035</v>
      </c>
      <c r="U2033" s="14" t="s">
        <v>1246</v>
      </c>
      <c r="V2033" s="9" t="s">
        <v>3036</v>
      </c>
      <c r="W2033">
        <v>120</v>
      </c>
      <c r="X2033" s="9" t="s">
        <v>3037</v>
      </c>
      <c r="Z2033" s="5"/>
      <c r="AD2033" s="14" t="s">
        <v>1165</v>
      </c>
      <c r="AF2033" t="s">
        <v>1165</v>
      </c>
      <c r="AI2033" t="s">
        <v>1165</v>
      </c>
      <c r="AJ2033" s="15" t="s">
        <v>1148</v>
      </c>
      <c r="AK2033" s="15">
        <v>91.399000000000001</v>
      </c>
      <c r="AL2033" t="s">
        <v>1263</v>
      </c>
      <c r="AM2033">
        <f>93.636-91.399</f>
        <v>2.2369999999999948</v>
      </c>
      <c r="AP2033">
        <v>56</v>
      </c>
      <c r="AR2033" s="15" t="s">
        <v>1155</v>
      </c>
    </row>
    <row r="2034" spans="1:44" x14ac:dyDescent="0.2">
      <c r="A2034" t="s">
        <v>1378</v>
      </c>
      <c r="B2034" s="15" t="s">
        <v>1146</v>
      </c>
      <c r="C2034" s="15" t="s">
        <v>1149</v>
      </c>
      <c r="D2034" s="14" t="s">
        <v>475</v>
      </c>
      <c r="E2034" s="14" t="s">
        <v>3042</v>
      </c>
      <c r="G2034" s="15" t="s">
        <v>1165</v>
      </c>
      <c r="H2034" s="14" t="s">
        <v>1165</v>
      </c>
      <c r="I2034" s="14" t="s">
        <v>3033</v>
      </c>
      <c r="M2034" s="14" t="s">
        <v>3034</v>
      </c>
      <c r="O2034">
        <v>2004</v>
      </c>
      <c r="Q2034" t="s">
        <v>1329</v>
      </c>
      <c r="R2034">
        <v>14</v>
      </c>
      <c r="T2034" t="s">
        <v>3035</v>
      </c>
      <c r="U2034" s="14" t="s">
        <v>1246</v>
      </c>
      <c r="V2034" s="9" t="s">
        <v>3036</v>
      </c>
      <c r="W2034">
        <v>150</v>
      </c>
      <c r="X2034" s="9" t="s">
        <v>3037</v>
      </c>
      <c r="Z2034" s="5"/>
      <c r="AD2034" s="14" t="s">
        <v>1165</v>
      </c>
      <c r="AF2034" t="s">
        <v>1165</v>
      </c>
      <c r="AI2034" t="s">
        <v>1165</v>
      </c>
      <c r="AJ2034" s="15" t="s">
        <v>1148</v>
      </c>
      <c r="AK2034" s="15">
        <v>87.203000000000003</v>
      </c>
      <c r="AL2034" t="s">
        <v>1263</v>
      </c>
      <c r="AM2034">
        <f>93.357-87.203</f>
        <v>6.1539999999999964</v>
      </c>
      <c r="AP2034">
        <v>28</v>
      </c>
      <c r="AR2034" s="15" t="s">
        <v>1155</v>
      </c>
    </row>
    <row r="2035" spans="1:44" x14ac:dyDescent="0.2">
      <c r="A2035" t="s">
        <v>1378</v>
      </c>
      <c r="B2035" s="15" t="s">
        <v>1146</v>
      </c>
      <c r="C2035" s="15" t="s">
        <v>1149</v>
      </c>
      <c r="D2035" s="14" t="s">
        <v>475</v>
      </c>
      <c r="E2035" s="14" t="s">
        <v>3042</v>
      </c>
      <c r="G2035" s="15" t="s">
        <v>1165</v>
      </c>
      <c r="H2035" s="14" t="s">
        <v>1165</v>
      </c>
      <c r="I2035" s="14" t="s">
        <v>3033</v>
      </c>
      <c r="M2035" s="14" t="s">
        <v>3034</v>
      </c>
      <c r="O2035">
        <v>2004</v>
      </c>
      <c r="Q2035" t="s">
        <v>1329</v>
      </c>
      <c r="R2035">
        <v>14</v>
      </c>
      <c r="T2035" t="s">
        <v>3035</v>
      </c>
      <c r="U2035" s="14" t="s">
        <v>1246</v>
      </c>
      <c r="V2035" s="9" t="s">
        <v>3036</v>
      </c>
      <c r="W2035">
        <v>150</v>
      </c>
      <c r="X2035" s="9" t="s">
        <v>3037</v>
      </c>
      <c r="Z2035" s="5"/>
      <c r="AD2035" s="14" t="s">
        <v>1165</v>
      </c>
      <c r="AF2035" t="s">
        <v>1165</v>
      </c>
      <c r="AI2035" t="s">
        <v>1165</v>
      </c>
      <c r="AJ2035" s="15" t="s">
        <v>1148</v>
      </c>
      <c r="AK2035" s="15">
        <v>90</v>
      </c>
      <c r="AL2035" t="s">
        <v>1263</v>
      </c>
      <c r="AM2035">
        <f>95.035-90</f>
        <v>5.0349999999999966</v>
      </c>
      <c r="AP2035">
        <v>56</v>
      </c>
      <c r="AR2035" s="15" t="s">
        <v>1155</v>
      </c>
    </row>
    <row r="2036" spans="1:44" x14ac:dyDescent="0.2">
      <c r="A2036" t="s">
        <v>1378</v>
      </c>
      <c r="B2036" s="15" t="s">
        <v>1146</v>
      </c>
      <c r="C2036" s="15" t="s">
        <v>1149</v>
      </c>
      <c r="D2036" s="14" t="s">
        <v>475</v>
      </c>
      <c r="E2036" s="14" t="s">
        <v>3042</v>
      </c>
      <c r="G2036" s="15" t="s">
        <v>1165</v>
      </c>
      <c r="H2036" s="14" t="s">
        <v>1165</v>
      </c>
      <c r="I2036" s="14" t="s">
        <v>3033</v>
      </c>
      <c r="M2036" s="14" t="s">
        <v>3034</v>
      </c>
      <c r="O2036">
        <v>2004</v>
      </c>
      <c r="Q2036" t="s">
        <v>1329</v>
      </c>
      <c r="R2036">
        <v>14</v>
      </c>
      <c r="T2036" t="s">
        <v>3035</v>
      </c>
      <c r="U2036" s="14" t="s">
        <v>1246</v>
      </c>
      <c r="V2036" s="9" t="s">
        <v>3036</v>
      </c>
      <c r="W2036">
        <v>180</v>
      </c>
      <c r="X2036" s="9" t="s">
        <v>3037</v>
      </c>
      <c r="Z2036" s="5"/>
      <c r="AD2036" s="14" t="s">
        <v>1165</v>
      </c>
      <c r="AF2036" t="s">
        <v>1165</v>
      </c>
      <c r="AI2036" t="s">
        <v>1165</v>
      </c>
      <c r="AJ2036" s="15" t="s">
        <v>1148</v>
      </c>
      <c r="AK2036" s="15">
        <v>92.238</v>
      </c>
      <c r="AL2036" t="s">
        <v>1263</v>
      </c>
      <c r="AM2036">
        <f>94.755-92.238</f>
        <v>2.5169999999999959</v>
      </c>
      <c r="AP2036">
        <v>28</v>
      </c>
      <c r="AR2036" s="15" t="s">
        <v>1155</v>
      </c>
    </row>
    <row r="2037" spans="1:44" x14ac:dyDescent="0.2">
      <c r="A2037" t="s">
        <v>1378</v>
      </c>
      <c r="B2037" s="15" t="s">
        <v>1146</v>
      </c>
      <c r="C2037" s="15" t="s">
        <v>1149</v>
      </c>
      <c r="D2037" s="14" t="s">
        <v>475</v>
      </c>
      <c r="E2037" s="14" t="s">
        <v>3042</v>
      </c>
      <c r="G2037" s="15" t="s">
        <v>1165</v>
      </c>
      <c r="H2037" s="14" t="s">
        <v>1165</v>
      </c>
      <c r="I2037" s="14" t="s">
        <v>3033</v>
      </c>
      <c r="M2037" s="14" t="s">
        <v>3034</v>
      </c>
      <c r="O2037">
        <v>2004</v>
      </c>
      <c r="Q2037" t="s">
        <v>1329</v>
      </c>
      <c r="R2037">
        <v>14</v>
      </c>
      <c r="T2037" t="s">
        <v>3035</v>
      </c>
      <c r="U2037" s="14" t="s">
        <v>1246</v>
      </c>
      <c r="V2037" s="9" t="s">
        <v>3036</v>
      </c>
      <c r="W2037">
        <v>180</v>
      </c>
      <c r="X2037" s="9" t="s">
        <v>3037</v>
      </c>
      <c r="Z2037" s="5"/>
      <c r="AD2037" s="14" t="s">
        <v>1165</v>
      </c>
      <c r="AF2037" t="s">
        <v>1165</v>
      </c>
      <c r="AI2037" t="s">
        <v>1165</v>
      </c>
      <c r="AJ2037" s="15" t="s">
        <v>1148</v>
      </c>
      <c r="AK2037" s="15">
        <v>95.593999999999994</v>
      </c>
      <c r="AL2037" t="s">
        <v>1263</v>
      </c>
      <c r="AM2037">
        <f>98.112-95.594</f>
        <v>2.5180000000000007</v>
      </c>
      <c r="AP2037">
        <v>56</v>
      </c>
      <c r="AR2037" s="15" t="s">
        <v>1155</v>
      </c>
    </row>
    <row r="2038" spans="1:44" x14ac:dyDescent="0.2">
      <c r="A2038" t="s">
        <v>1378</v>
      </c>
      <c r="B2038" s="15" t="s">
        <v>1146</v>
      </c>
      <c r="C2038" s="15" t="s">
        <v>1149</v>
      </c>
      <c r="D2038" s="14" t="s">
        <v>475</v>
      </c>
      <c r="E2038" s="14" t="s">
        <v>3042</v>
      </c>
      <c r="G2038" s="15" t="s">
        <v>1165</v>
      </c>
      <c r="H2038" s="14" t="s">
        <v>1165</v>
      </c>
      <c r="I2038" s="14" t="s">
        <v>3033</v>
      </c>
      <c r="M2038" s="14" t="s">
        <v>3034</v>
      </c>
      <c r="O2038">
        <v>2004</v>
      </c>
      <c r="Q2038" t="s">
        <v>1329</v>
      </c>
      <c r="R2038">
        <v>14</v>
      </c>
      <c r="T2038" t="s">
        <v>3035</v>
      </c>
      <c r="U2038" s="14" t="s">
        <v>1246</v>
      </c>
      <c r="V2038" s="9" t="s">
        <v>3036</v>
      </c>
      <c r="W2038">
        <v>0</v>
      </c>
      <c r="X2038" s="9" t="s">
        <v>3038</v>
      </c>
      <c r="Z2038" s="5"/>
      <c r="AD2038" s="14" t="s">
        <v>1165</v>
      </c>
      <c r="AF2038" t="s">
        <v>1165</v>
      </c>
      <c r="AI2038" t="s">
        <v>1165</v>
      </c>
      <c r="AJ2038" s="15" t="s">
        <v>1148</v>
      </c>
      <c r="AK2038" s="15">
        <v>90.634</v>
      </c>
      <c r="AL2038" t="s">
        <v>1263</v>
      </c>
      <c r="AM2038">
        <f>96.549-90.634</f>
        <v>5.9150000000000063</v>
      </c>
      <c r="AP2038">
        <v>28</v>
      </c>
      <c r="AR2038" s="15" t="s">
        <v>1155</v>
      </c>
    </row>
    <row r="2039" spans="1:44" x14ac:dyDescent="0.2">
      <c r="A2039" t="s">
        <v>1378</v>
      </c>
      <c r="B2039" s="15" t="s">
        <v>1146</v>
      </c>
      <c r="C2039" s="15" t="s">
        <v>1149</v>
      </c>
      <c r="D2039" s="14" t="s">
        <v>475</v>
      </c>
      <c r="E2039" s="14" t="s">
        <v>3042</v>
      </c>
      <c r="G2039" s="15" t="s">
        <v>1165</v>
      </c>
      <c r="H2039" s="14" t="s">
        <v>1165</v>
      </c>
      <c r="I2039" s="14" t="s">
        <v>3033</v>
      </c>
      <c r="M2039" s="14" t="s">
        <v>3034</v>
      </c>
      <c r="O2039">
        <v>2004</v>
      </c>
      <c r="Q2039" t="s">
        <v>1329</v>
      </c>
      <c r="R2039">
        <v>14</v>
      </c>
      <c r="T2039" t="s">
        <v>3035</v>
      </c>
      <c r="U2039" s="14" t="s">
        <v>1246</v>
      </c>
      <c r="V2039" s="9" t="s">
        <v>3036</v>
      </c>
      <c r="W2039">
        <v>0</v>
      </c>
      <c r="X2039" s="9" t="s">
        <v>3038</v>
      </c>
      <c r="Z2039" s="5"/>
      <c r="AD2039" s="14" t="s">
        <v>1165</v>
      </c>
      <c r="AF2039" t="s">
        <v>1165</v>
      </c>
      <c r="AI2039" t="s">
        <v>1165</v>
      </c>
      <c r="AJ2039" s="15" t="s">
        <v>1148</v>
      </c>
      <c r="AK2039" s="15">
        <v>91.197000000000003</v>
      </c>
      <c r="AL2039" t="s">
        <v>1263</v>
      </c>
      <c r="AM2039">
        <f>96.549-91.197</f>
        <v>5.3520000000000039</v>
      </c>
      <c r="AP2039">
        <v>56</v>
      </c>
      <c r="AR2039" s="15" t="s">
        <v>1155</v>
      </c>
    </row>
    <row r="2040" spans="1:44" x14ac:dyDescent="0.2">
      <c r="A2040" t="s">
        <v>1378</v>
      </c>
      <c r="B2040" s="15" t="s">
        <v>1146</v>
      </c>
      <c r="C2040" s="15" t="s">
        <v>1149</v>
      </c>
      <c r="D2040" s="14" t="s">
        <v>475</v>
      </c>
      <c r="E2040" s="14" t="s">
        <v>3042</v>
      </c>
      <c r="G2040" s="15" t="s">
        <v>1165</v>
      </c>
      <c r="H2040" s="14" t="s">
        <v>1165</v>
      </c>
      <c r="I2040" s="14" t="s">
        <v>3033</v>
      </c>
      <c r="M2040" s="14" t="s">
        <v>3034</v>
      </c>
      <c r="O2040">
        <v>2004</v>
      </c>
      <c r="Q2040" t="s">
        <v>1329</v>
      </c>
      <c r="R2040">
        <v>14</v>
      </c>
      <c r="T2040" t="s">
        <v>3035</v>
      </c>
      <c r="U2040" s="14" t="s">
        <v>1246</v>
      </c>
      <c r="V2040" s="9" t="s">
        <v>3036</v>
      </c>
      <c r="W2040">
        <v>15</v>
      </c>
      <c r="X2040" s="9" t="s">
        <v>3038</v>
      </c>
      <c r="Z2040" s="5"/>
      <c r="AD2040" s="14" t="s">
        <v>1165</v>
      </c>
      <c r="AF2040" t="s">
        <v>1165</v>
      </c>
      <c r="AI2040" t="s">
        <v>1165</v>
      </c>
      <c r="AJ2040" s="15" t="s">
        <v>1148</v>
      </c>
      <c r="AK2040" s="15">
        <v>90.07</v>
      </c>
      <c r="AL2040" t="s">
        <v>1263</v>
      </c>
      <c r="AM2040">
        <f>92.606-90.07</f>
        <v>2.5360000000000014</v>
      </c>
      <c r="AP2040">
        <v>28</v>
      </c>
      <c r="AR2040" s="15" t="s">
        <v>1155</v>
      </c>
    </row>
    <row r="2041" spans="1:44" x14ac:dyDescent="0.2">
      <c r="A2041" t="s">
        <v>1378</v>
      </c>
      <c r="B2041" s="15" t="s">
        <v>1146</v>
      </c>
      <c r="C2041" s="15" t="s">
        <v>1149</v>
      </c>
      <c r="D2041" s="14" t="s">
        <v>475</v>
      </c>
      <c r="E2041" s="14" t="s">
        <v>3042</v>
      </c>
      <c r="G2041" s="15" t="s">
        <v>1165</v>
      </c>
      <c r="H2041" s="14" t="s">
        <v>1165</v>
      </c>
      <c r="I2041" s="14" t="s">
        <v>3033</v>
      </c>
      <c r="M2041" s="14" t="s">
        <v>3034</v>
      </c>
      <c r="O2041">
        <v>2004</v>
      </c>
      <c r="Q2041" t="s">
        <v>1329</v>
      </c>
      <c r="R2041">
        <v>14</v>
      </c>
      <c r="T2041" t="s">
        <v>3035</v>
      </c>
      <c r="U2041" s="14" t="s">
        <v>1246</v>
      </c>
      <c r="V2041" s="9" t="s">
        <v>3036</v>
      </c>
      <c r="W2041">
        <v>15</v>
      </c>
      <c r="X2041" s="9" t="s">
        <v>3038</v>
      </c>
      <c r="Z2041" s="5"/>
      <c r="AD2041" s="14" t="s">
        <v>1165</v>
      </c>
      <c r="AF2041" t="s">
        <v>1165</v>
      </c>
      <c r="AI2041" t="s">
        <v>1165</v>
      </c>
      <c r="AJ2041" s="15" t="s">
        <v>1148</v>
      </c>
      <c r="AK2041" s="15">
        <v>91.760999999999996</v>
      </c>
      <c r="AL2041" t="s">
        <v>1263</v>
      </c>
      <c r="AM2041">
        <f>94.859-91.761</f>
        <v>3.097999999999999</v>
      </c>
      <c r="AP2041">
        <v>56</v>
      </c>
      <c r="AR2041" s="15" t="s">
        <v>1155</v>
      </c>
    </row>
    <row r="2042" spans="1:44" x14ac:dyDescent="0.2">
      <c r="A2042" t="s">
        <v>1378</v>
      </c>
      <c r="B2042" s="15" t="s">
        <v>1146</v>
      </c>
      <c r="C2042" s="15" t="s">
        <v>1149</v>
      </c>
      <c r="D2042" s="14" t="s">
        <v>475</v>
      </c>
      <c r="E2042" s="14" t="s">
        <v>3042</v>
      </c>
      <c r="G2042" s="15" t="s">
        <v>1165</v>
      </c>
      <c r="H2042" s="14" t="s">
        <v>1165</v>
      </c>
      <c r="I2042" s="14" t="s">
        <v>3033</v>
      </c>
      <c r="M2042" s="14" t="s">
        <v>3034</v>
      </c>
      <c r="O2042">
        <v>2004</v>
      </c>
      <c r="Q2042" t="s">
        <v>1329</v>
      </c>
      <c r="R2042">
        <v>14</v>
      </c>
      <c r="T2042" t="s">
        <v>3035</v>
      </c>
      <c r="U2042" s="14" t="s">
        <v>1246</v>
      </c>
      <c r="V2042" s="9" t="s">
        <v>3036</v>
      </c>
      <c r="W2042">
        <v>30</v>
      </c>
      <c r="X2042" s="9" t="s">
        <v>3038</v>
      </c>
      <c r="Z2042" s="5"/>
      <c r="AD2042" s="14" t="s">
        <v>1165</v>
      </c>
      <c r="AF2042" t="s">
        <v>1165</v>
      </c>
      <c r="AI2042" t="s">
        <v>1165</v>
      </c>
      <c r="AJ2042" s="15" t="s">
        <v>1148</v>
      </c>
      <c r="AK2042" s="15">
        <v>98.239000000000004</v>
      </c>
      <c r="AL2042" t="s">
        <v>1263</v>
      </c>
      <c r="AM2042">
        <f>100.775-98.239</f>
        <v>2.5360000000000014</v>
      </c>
      <c r="AP2042">
        <v>28</v>
      </c>
      <c r="AR2042" s="15" t="s">
        <v>1155</v>
      </c>
    </row>
    <row r="2043" spans="1:44" x14ac:dyDescent="0.2">
      <c r="A2043" t="s">
        <v>1378</v>
      </c>
      <c r="B2043" s="15" t="s">
        <v>1146</v>
      </c>
      <c r="C2043" s="15" t="s">
        <v>1149</v>
      </c>
      <c r="D2043" s="14" t="s">
        <v>475</v>
      </c>
      <c r="E2043" s="14" t="s">
        <v>3042</v>
      </c>
      <c r="G2043" s="15" t="s">
        <v>1165</v>
      </c>
      <c r="H2043" s="14" t="s">
        <v>1165</v>
      </c>
      <c r="I2043" s="14" t="s">
        <v>3033</v>
      </c>
      <c r="M2043" s="14" t="s">
        <v>3034</v>
      </c>
      <c r="O2043">
        <v>2004</v>
      </c>
      <c r="Q2043" t="s">
        <v>1329</v>
      </c>
      <c r="R2043">
        <v>14</v>
      </c>
      <c r="T2043" t="s">
        <v>3035</v>
      </c>
      <c r="U2043" s="14" t="s">
        <v>1246</v>
      </c>
      <c r="V2043" s="9" t="s">
        <v>3036</v>
      </c>
      <c r="W2043">
        <v>30</v>
      </c>
      <c r="X2043" s="9" t="s">
        <v>3038</v>
      </c>
      <c r="Z2043" s="5"/>
      <c r="AD2043" s="14" t="s">
        <v>1165</v>
      </c>
      <c r="AF2043" t="s">
        <v>1165</v>
      </c>
      <c r="AI2043" t="s">
        <v>1165</v>
      </c>
      <c r="AJ2043" s="15" t="s">
        <v>1148</v>
      </c>
      <c r="AK2043" s="15">
        <v>99.93</v>
      </c>
      <c r="AL2043" t="s">
        <v>1263</v>
      </c>
      <c r="AM2043">
        <f>101.338-99.93</f>
        <v>1.407999999999987</v>
      </c>
      <c r="AP2043">
        <v>56</v>
      </c>
      <c r="AR2043" s="15" t="s">
        <v>1155</v>
      </c>
    </row>
    <row r="2044" spans="1:44" x14ac:dyDescent="0.2">
      <c r="A2044" t="s">
        <v>1378</v>
      </c>
      <c r="B2044" s="15" t="s">
        <v>1146</v>
      </c>
      <c r="C2044" s="15" t="s">
        <v>1149</v>
      </c>
      <c r="D2044" s="14" t="s">
        <v>475</v>
      </c>
      <c r="E2044" s="14" t="s">
        <v>3042</v>
      </c>
      <c r="G2044" s="15" t="s">
        <v>1165</v>
      </c>
      <c r="H2044" s="14" t="s">
        <v>1165</v>
      </c>
      <c r="I2044" s="14" t="s">
        <v>3033</v>
      </c>
      <c r="M2044" s="14" t="s">
        <v>3034</v>
      </c>
      <c r="O2044">
        <v>2004</v>
      </c>
      <c r="Q2044" t="s">
        <v>1329</v>
      </c>
      <c r="R2044">
        <v>14</v>
      </c>
      <c r="T2044" t="s">
        <v>3035</v>
      </c>
      <c r="U2044" s="14" t="s">
        <v>1246</v>
      </c>
      <c r="V2044" s="9" t="s">
        <v>3036</v>
      </c>
      <c r="W2044">
        <v>60</v>
      </c>
      <c r="X2044" s="9" t="s">
        <v>3038</v>
      </c>
      <c r="Z2044" s="5"/>
      <c r="AD2044" s="14" t="s">
        <v>1165</v>
      </c>
      <c r="AF2044" t="s">
        <v>1165</v>
      </c>
      <c r="AI2044" t="s">
        <v>1165</v>
      </c>
      <c r="AJ2044" s="15" t="s">
        <v>1148</v>
      </c>
      <c r="AK2044" s="15">
        <v>95.07</v>
      </c>
      <c r="AL2044" t="s">
        <v>1263</v>
      </c>
      <c r="AM2044">
        <f>99.085-95.07</f>
        <v>4.0150000000000006</v>
      </c>
      <c r="AP2044">
        <v>28</v>
      </c>
      <c r="AR2044" s="15" t="s">
        <v>1155</v>
      </c>
    </row>
    <row r="2045" spans="1:44" x14ac:dyDescent="0.2">
      <c r="A2045" t="s">
        <v>1378</v>
      </c>
      <c r="B2045" s="15" t="s">
        <v>1146</v>
      </c>
      <c r="C2045" s="15" t="s">
        <v>1149</v>
      </c>
      <c r="D2045" s="14" t="s">
        <v>475</v>
      </c>
      <c r="E2045" s="14" t="s">
        <v>3042</v>
      </c>
      <c r="G2045" s="15" t="s">
        <v>1165</v>
      </c>
      <c r="H2045" s="14" t="s">
        <v>1165</v>
      </c>
      <c r="I2045" s="14" t="s">
        <v>3033</v>
      </c>
      <c r="M2045" s="14" t="s">
        <v>3034</v>
      </c>
      <c r="O2045">
        <v>2004</v>
      </c>
      <c r="Q2045" t="s">
        <v>1329</v>
      </c>
      <c r="R2045">
        <v>14</v>
      </c>
      <c r="T2045" t="s">
        <v>3035</v>
      </c>
      <c r="U2045" s="14" t="s">
        <v>1246</v>
      </c>
      <c r="V2045" s="9" t="s">
        <v>3036</v>
      </c>
      <c r="W2045">
        <v>60</v>
      </c>
      <c r="X2045" s="9" t="s">
        <v>3038</v>
      </c>
      <c r="Z2045" s="5"/>
      <c r="AD2045" s="14" t="s">
        <v>1165</v>
      </c>
      <c r="AF2045" t="s">
        <v>1165</v>
      </c>
      <c r="AI2045" t="s">
        <v>1165</v>
      </c>
      <c r="AJ2045" s="15" t="s">
        <v>1148</v>
      </c>
      <c r="AK2045" s="15">
        <v>94.858999999999995</v>
      </c>
      <c r="AL2045" t="s">
        <v>1263</v>
      </c>
      <c r="AM2045">
        <f>99.085-94.859</f>
        <v>4.2259999999999991</v>
      </c>
      <c r="AP2045">
        <v>56</v>
      </c>
      <c r="AR2045" s="15" t="s">
        <v>1155</v>
      </c>
    </row>
    <row r="2046" spans="1:44" x14ac:dyDescent="0.2">
      <c r="A2046" t="s">
        <v>1378</v>
      </c>
      <c r="B2046" s="15" t="s">
        <v>1146</v>
      </c>
      <c r="C2046" s="15" t="s">
        <v>1149</v>
      </c>
      <c r="D2046" s="14" t="s">
        <v>475</v>
      </c>
      <c r="E2046" s="14" t="s">
        <v>3042</v>
      </c>
      <c r="G2046" s="15" t="s">
        <v>1165</v>
      </c>
      <c r="H2046" s="14" t="s">
        <v>1165</v>
      </c>
      <c r="I2046" s="14" t="s">
        <v>3033</v>
      </c>
      <c r="M2046" s="14" t="s">
        <v>3034</v>
      </c>
      <c r="O2046">
        <v>2004</v>
      </c>
      <c r="Q2046" t="s">
        <v>1329</v>
      </c>
      <c r="R2046">
        <v>14</v>
      </c>
      <c r="T2046" t="s">
        <v>3035</v>
      </c>
      <c r="U2046" s="14" t="s">
        <v>1246</v>
      </c>
      <c r="V2046" s="9" t="s">
        <v>3036</v>
      </c>
      <c r="W2046">
        <v>90</v>
      </c>
      <c r="X2046" s="9" t="s">
        <v>3038</v>
      </c>
      <c r="Z2046" s="5"/>
      <c r="AD2046" s="14" t="s">
        <v>1165</v>
      </c>
      <c r="AF2046" t="s">
        <v>1165</v>
      </c>
      <c r="AI2046" t="s">
        <v>1165</v>
      </c>
      <c r="AJ2046" s="15" t="s">
        <v>1148</v>
      </c>
      <c r="AK2046" s="15">
        <v>98.521000000000001</v>
      </c>
      <c r="AL2046" t="s">
        <v>1263</v>
      </c>
      <c r="AM2046">
        <f>100.493-98.521</f>
        <v>1.9719999999999942</v>
      </c>
      <c r="AP2046">
        <v>28</v>
      </c>
      <c r="AR2046" s="15" t="s">
        <v>1155</v>
      </c>
    </row>
    <row r="2047" spans="1:44" x14ac:dyDescent="0.2">
      <c r="A2047" t="s">
        <v>1378</v>
      </c>
      <c r="B2047" s="15" t="s">
        <v>1146</v>
      </c>
      <c r="C2047" s="15" t="s">
        <v>1149</v>
      </c>
      <c r="D2047" s="14" t="s">
        <v>475</v>
      </c>
      <c r="E2047" s="14" t="s">
        <v>3042</v>
      </c>
      <c r="G2047" s="15" t="s">
        <v>1165</v>
      </c>
      <c r="H2047" s="14" t="s">
        <v>1165</v>
      </c>
      <c r="I2047" s="14" t="s">
        <v>3033</v>
      </c>
      <c r="M2047" s="14" t="s">
        <v>3034</v>
      </c>
      <c r="O2047">
        <v>2004</v>
      </c>
      <c r="Q2047" t="s">
        <v>1329</v>
      </c>
      <c r="R2047">
        <v>14</v>
      </c>
      <c r="T2047" t="s">
        <v>3035</v>
      </c>
      <c r="U2047" s="14" t="s">
        <v>1246</v>
      </c>
      <c r="V2047" s="9" t="s">
        <v>3036</v>
      </c>
      <c r="W2047">
        <v>90</v>
      </c>
      <c r="X2047" s="9" t="s">
        <v>3038</v>
      </c>
      <c r="Z2047" s="5"/>
      <c r="AD2047" s="14" t="s">
        <v>1165</v>
      </c>
      <c r="AF2047" t="s">
        <v>1165</v>
      </c>
      <c r="AI2047" t="s">
        <v>1165</v>
      </c>
      <c r="AJ2047" s="15" t="s">
        <v>1148</v>
      </c>
      <c r="AK2047" s="15">
        <v>99.647999999999996</v>
      </c>
      <c r="AL2047" t="s">
        <v>1263</v>
      </c>
      <c r="AM2047">
        <f>101.338-99.648</f>
        <v>1.6899999999999977</v>
      </c>
      <c r="AP2047">
        <v>56</v>
      </c>
      <c r="AR2047" s="15" t="s">
        <v>1155</v>
      </c>
    </row>
    <row r="2048" spans="1:44" x14ac:dyDescent="0.2">
      <c r="A2048" t="s">
        <v>1378</v>
      </c>
      <c r="B2048" s="15" t="s">
        <v>1146</v>
      </c>
      <c r="C2048" s="15" t="s">
        <v>1149</v>
      </c>
      <c r="D2048" s="14" t="s">
        <v>475</v>
      </c>
      <c r="E2048" s="14" t="s">
        <v>3042</v>
      </c>
      <c r="G2048" s="15" t="s">
        <v>1165</v>
      </c>
      <c r="H2048" s="14" t="s">
        <v>1165</v>
      </c>
      <c r="I2048" s="14" t="s">
        <v>3033</v>
      </c>
      <c r="M2048" s="14" t="s">
        <v>3034</v>
      </c>
      <c r="O2048">
        <v>2004</v>
      </c>
      <c r="Q2048" t="s">
        <v>1329</v>
      </c>
      <c r="R2048">
        <v>14</v>
      </c>
      <c r="T2048" t="s">
        <v>3035</v>
      </c>
      <c r="U2048" s="14" t="s">
        <v>1246</v>
      </c>
      <c r="V2048" s="9" t="s">
        <v>3036</v>
      </c>
      <c r="W2048">
        <v>120</v>
      </c>
      <c r="X2048" s="9" t="s">
        <v>3038</v>
      </c>
      <c r="Z2048" s="5"/>
      <c r="AD2048" s="14" t="s">
        <v>1165</v>
      </c>
      <c r="AF2048" t="s">
        <v>1165</v>
      </c>
      <c r="AI2048" t="s">
        <v>1165</v>
      </c>
      <c r="AJ2048" s="15" t="s">
        <v>1148</v>
      </c>
      <c r="AK2048" s="15">
        <v>94.013999999999996</v>
      </c>
      <c r="AL2048" t="s">
        <v>1263</v>
      </c>
      <c r="AM2048">
        <f>98.239-94.014</f>
        <v>4.2250000000000085</v>
      </c>
      <c r="AP2048">
        <v>28</v>
      </c>
      <c r="AR2048" s="15" t="s">
        <v>1155</v>
      </c>
    </row>
    <row r="2049" spans="1:44" x14ac:dyDescent="0.2">
      <c r="A2049" t="s">
        <v>1378</v>
      </c>
      <c r="B2049" s="15" t="s">
        <v>1146</v>
      </c>
      <c r="C2049" s="15" t="s">
        <v>1149</v>
      </c>
      <c r="D2049" s="14" t="s">
        <v>475</v>
      </c>
      <c r="E2049" s="14" t="s">
        <v>3042</v>
      </c>
      <c r="G2049" s="15" t="s">
        <v>1165</v>
      </c>
      <c r="H2049" s="14" t="s">
        <v>1165</v>
      </c>
      <c r="I2049" s="14" t="s">
        <v>3033</v>
      </c>
      <c r="M2049" s="14" t="s">
        <v>3034</v>
      </c>
      <c r="O2049">
        <v>2004</v>
      </c>
      <c r="Q2049" t="s">
        <v>1329</v>
      </c>
      <c r="R2049">
        <v>14</v>
      </c>
      <c r="T2049" t="s">
        <v>3035</v>
      </c>
      <c r="U2049" s="14" t="s">
        <v>1246</v>
      </c>
      <c r="V2049" s="9" t="s">
        <v>3036</v>
      </c>
      <c r="W2049">
        <v>120</v>
      </c>
      <c r="X2049" s="9" t="s">
        <v>3038</v>
      </c>
      <c r="Z2049" s="5"/>
      <c r="AD2049" s="14" t="s">
        <v>1165</v>
      </c>
      <c r="AF2049" t="s">
        <v>1165</v>
      </c>
      <c r="AI2049" t="s">
        <v>1165</v>
      </c>
      <c r="AJ2049" s="15" t="s">
        <v>1148</v>
      </c>
      <c r="AK2049" s="15">
        <v>96.268000000000001</v>
      </c>
      <c r="AL2049" t="s">
        <v>1263</v>
      </c>
      <c r="AM2049">
        <f>101.056-96.268</f>
        <v>4.7879999999999967</v>
      </c>
      <c r="AP2049">
        <v>56</v>
      </c>
      <c r="AR2049" s="15" t="s">
        <v>1155</v>
      </c>
    </row>
    <row r="2050" spans="1:44" x14ac:dyDescent="0.2">
      <c r="A2050" t="s">
        <v>1378</v>
      </c>
      <c r="B2050" s="15" t="s">
        <v>1146</v>
      </c>
      <c r="C2050" s="15" t="s">
        <v>1149</v>
      </c>
      <c r="D2050" s="14" t="s">
        <v>475</v>
      </c>
      <c r="E2050" s="14" t="s">
        <v>3042</v>
      </c>
      <c r="G2050" s="15" t="s">
        <v>1165</v>
      </c>
      <c r="H2050" s="14" t="s">
        <v>1165</v>
      </c>
      <c r="I2050" s="14" t="s">
        <v>3033</v>
      </c>
      <c r="M2050" s="14" t="s">
        <v>3034</v>
      </c>
      <c r="O2050">
        <v>2004</v>
      </c>
      <c r="Q2050" t="s">
        <v>1329</v>
      </c>
      <c r="R2050">
        <v>14</v>
      </c>
      <c r="T2050" t="s">
        <v>3035</v>
      </c>
      <c r="U2050" s="14" t="s">
        <v>1246</v>
      </c>
      <c r="V2050" s="9" t="s">
        <v>3036</v>
      </c>
      <c r="W2050">
        <v>150</v>
      </c>
      <c r="X2050" s="9" t="s">
        <v>3038</v>
      </c>
      <c r="Z2050" s="5"/>
      <c r="AD2050" s="14" t="s">
        <v>1165</v>
      </c>
      <c r="AF2050" t="s">
        <v>1165</v>
      </c>
      <c r="AI2050" t="s">
        <v>1165</v>
      </c>
      <c r="AJ2050" s="15" t="s">
        <v>1148</v>
      </c>
      <c r="AK2050" s="15">
        <v>93.731999999999999</v>
      </c>
      <c r="AL2050" t="s">
        <v>1263</v>
      </c>
      <c r="AM2050">
        <f>97.958-93.732</f>
        <v>4.2259999999999991</v>
      </c>
      <c r="AP2050">
        <v>28</v>
      </c>
      <c r="AR2050" s="15" t="s">
        <v>1155</v>
      </c>
    </row>
    <row r="2051" spans="1:44" x14ac:dyDescent="0.2">
      <c r="A2051" t="s">
        <v>1378</v>
      </c>
      <c r="B2051" s="15" t="s">
        <v>1146</v>
      </c>
      <c r="C2051" s="15" t="s">
        <v>1149</v>
      </c>
      <c r="D2051" s="14" t="s">
        <v>475</v>
      </c>
      <c r="E2051" s="14" t="s">
        <v>3042</v>
      </c>
      <c r="G2051" s="15" t="s">
        <v>1165</v>
      </c>
      <c r="H2051" s="14" t="s">
        <v>1165</v>
      </c>
      <c r="I2051" s="14" t="s">
        <v>3033</v>
      </c>
      <c r="M2051" s="14" t="s">
        <v>3034</v>
      </c>
      <c r="O2051">
        <v>2004</v>
      </c>
      <c r="Q2051" t="s">
        <v>1329</v>
      </c>
      <c r="R2051">
        <v>14</v>
      </c>
      <c r="T2051" t="s">
        <v>3035</v>
      </c>
      <c r="U2051" s="14" t="s">
        <v>1246</v>
      </c>
      <c r="V2051" s="9" t="s">
        <v>3036</v>
      </c>
      <c r="W2051">
        <v>150</v>
      </c>
      <c r="X2051" s="9" t="s">
        <v>3038</v>
      </c>
      <c r="Z2051" s="5"/>
      <c r="AD2051" s="14" t="s">
        <v>1165</v>
      </c>
      <c r="AF2051" t="s">
        <v>1165</v>
      </c>
      <c r="AI2051" t="s">
        <v>1165</v>
      </c>
      <c r="AJ2051" s="15" t="s">
        <v>1148</v>
      </c>
      <c r="AK2051" s="15">
        <v>94.013999999999996</v>
      </c>
      <c r="AL2051" t="s">
        <v>1263</v>
      </c>
      <c r="AM2051">
        <f>98.803-94.014</f>
        <v>4.7890000000000015</v>
      </c>
      <c r="AP2051">
        <v>56</v>
      </c>
      <c r="AR2051" s="15" t="s">
        <v>1155</v>
      </c>
    </row>
    <row r="2052" spans="1:44" x14ac:dyDescent="0.2">
      <c r="A2052" t="s">
        <v>1378</v>
      </c>
      <c r="B2052" s="15" t="s">
        <v>1146</v>
      </c>
      <c r="C2052" s="15" t="s">
        <v>1149</v>
      </c>
      <c r="D2052" s="14" t="s">
        <v>475</v>
      </c>
      <c r="E2052" s="14" t="s">
        <v>3042</v>
      </c>
      <c r="G2052" s="15" t="s">
        <v>1165</v>
      </c>
      <c r="H2052" s="14" t="s">
        <v>1165</v>
      </c>
      <c r="I2052" s="14" t="s">
        <v>3033</v>
      </c>
      <c r="M2052" s="14" t="s">
        <v>3034</v>
      </c>
      <c r="O2052">
        <v>2004</v>
      </c>
      <c r="Q2052" t="s">
        <v>1329</v>
      </c>
      <c r="R2052">
        <v>14</v>
      </c>
      <c r="T2052" t="s">
        <v>3035</v>
      </c>
      <c r="U2052" s="14" t="s">
        <v>1246</v>
      </c>
      <c r="V2052" s="9" t="s">
        <v>3036</v>
      </c>
      <c r="W2052">
        <v>180</v>
      </c>
      <c r="X2052" s="9" t="s">
        <v>3038</v>
      </c>
      <c r="Z2052" s="5"/>
      <c r="AD2052" s="14" t="s">
        <v>1165</v>
      </c>
      <c r="AF2052" t="s">
        <v>1165</v>
      </c>
      <c r="AI2052" t="s">
        <v>1165</v>
      </c>
      <c r="AJ2052" s="15" t="s">
        <v>1148</v>
      </c>
      <c r="AK2052" s="15">
        <v>94.858999999999995</v>
      </c>
      <c r="AL2052" t="s">
        <v>1263</v>
      </c>
      <c r="AM2052">
        <f>96.831-94.859</f>
        <v>1.9720000000000084</v>
      </c>
      <c r="AP2052">
        <v>28</v>
      </c>
      <c r="AR2052" s="15" t="s">
        <v>1155</v>
      </c>
    </row>
    <row r="2053" spans="1:44" x14ac:dyDescent="0.2">
      <c r="A2053" t="s">
        <v>1378</v>
      </c>
      <c r="B2053" s="15" t="s">
        <v>1146</v>
      </c>
      <c r="C2053" s="15" t="s">
        <v>1149</v>
      </c>
      <c r="D2053" s="14" t="s">
        <v>475</v>
      </c>
      <c r="E2053" s="14" t="s">
        <v>3042</v>
      </c>
      <c r="G2053" s="15" t="s">
        <v>1165</v>
      </c>
      <c r="H2053" s="14" t="s">
        <v>1165</v>
      </c>
      <c r="I2053" s="14" t="s">
        <v>3033</v>
      </c>
      <c r="M2053" s="14" t="s">
        <v>3034</v>
      </c>
      <c r="O2053">
        <v>2004</v>
      </c>
      <c r="Q2053" t="s">
        <v>1329</v>
      </c>
      <c r="R2053">
        <v>14</v>
      </c>
      <c r="T2053" t="s">
        <v>3035</v>
      </c>
      <c r="U2053" s="14" t="s">
        <v>1246</v>
      </c>
      <c r="V2053" s="9" t="s">
        <v>3036</v>
      </c>
      <c r="W2053">
        <v>180</v>
      </c>
      <c r="X2053" s="9" t="s">
        <v>3038</v>
      </c>
      <c r="Z2053" s="5"/>
      <c r="AD2053" s="14" t="s">
        <v>1165</v>
      </c>
      <c r="AF2053" t="s">
        <v>1165</v>
      </c>
      <c r="AI2053" t="s">
        <v>1165</v>
      </c>
      <c r="AJ2053" s="15" t="s">
        <v>1148</v>
      </c>
      <c r="AK2053" s="15">
        <v>94.858999999999995</v>
      </c>
      <c r="AL2053" t="s">
        <v>1263</v>
      </c>
      <c r="AM2053">
        <f>97.394-94.859</f>
        <v>2.5350000000000108</v>
      </c>
      <c r="AP2053">
        <v>56</v>
      </c>
      <c r="AR2053" s="15" t="s">
        <v>1155</v>
      </c>
    </row>
    <row r="2054" spans="1:44" x14ac:dyDescent="0.2">
      <c r="A2054" t="s">
        <v>1378</v>
      </c>
      <c r="B2054" s="15" t="s">
        <v>1146</v>
      </c>
      <c r="C2054" s="15" t="s">
        <v>1149</v>
      </c>
      <c r="D2054" s="14" t="s">
        <v>475</v>
      </c>
      <c r="E2054" s="14" t="s">
        <v>3042</v>
      </c>
      <c r="G2054" s="15" t="s">
        <v>1165</v>
      </c>
      <c r="H2054" s="14" t="s">
        <v>1165</v>
      </c>
      <c r="I2054" s="14" t="s">
        <v>3033</v>
      </c>
      <c r="M2054" s="14" t="s">
        <v>3034</v>
      </c>
      <c r="O2054">
        <v>2004</v>
      </c>
      <c r="Q2054" t="s">
        <v>1329</v>
      </c>
      <c r="R2054">
        <v>14</v>
      </c>
      <c r="T2054" t="s">
        <v>3035</v>
      </c>
      <c r="U2054" s="14" t="s">
        <v>1246</v>
      </c>
      <c r="V2054" s="9" t="s">
        <v>3036</v>
      </c>
      <c r="W2054">
        <v>0</v>
      </c>
      <c r="X2054" s="9" t="s">
        <v>3039</v>
      </c>
      <c r="Z2054" s="5"/>
      <c r="AD2054" s="14" t="s">
        <v>1165</v>
      </c>
      <c r="AF2054" t="s">
        <v>1165</v>
      </c>
      <c r="AI2054" t="s">
        <v>1165</v>
      </c>
      <c r="AJ2054" s="15" t="s">
        <v>1148</v>
      </c>
      <c r="AK2054" s="15">
        <v>97.343000000000004</v>
      </c>
      <c r="AL2054" t="s">
        <v>1263</v>
      </c>
      <c r="AM2054">
        <f>99.51-97.343</f>
        <v>2.1670000000000016</v>
      </c>
      <c r="AP2054">
        <v>28</v>
      </c>
      <c r="AR2054" s="15" t="s">
        <v>1155</v>
      </c>
    </row>
    <row r="2055" spans="1:44" x14ac:dyDescent="0.2">
      <c r="A2055" t="s">
        <v>1378</v>
      </c>
      <c r="B2055" s="15" t="s">
        <v>1146</v>
      </c>
      <c r="C2055" s="15" t="s">
        <v>1149</v>
      </c>
      <c r="D2055" s="14" t="s">
        <v>475</v>
      </c>
      <c r="E2055" s="14" t="s">
        <v>3042</v>
      </c>
      <c r="G2055" s="15" t="s">
        <v>1165</v>
      </c>
      <c r="H2055" s="14" t="s">
        <v>1165</v>
      </c>
      <c r="I2055" s="14" t="s">
        <v>3033</v>
      </c>
      <c r="M2055" s="14" t="s">
        <v>3034</v>
      </c>
      <c r="O2055">
        <v>2004</v>
      </c>
      <c r="Q2055" t="s">
        <v>1329</v>
      </c>
      <c r="R2055">
        <v>14</v>
      </c>
      <c r="T2055" t="s">
        <v>3035</v>
      </c>
      <c r="U2055" s="14" t="s">
        <v>1246</v>
      </c>
      <c r="V2055" s="9" t="s">
        <v>3036</v>
      </c>
      <c r="W2055">
        <v>0</v>
      </c>
      <c r="X2055" s="9" t="s">
        <v>3039</v>
      </c>
      <c r="Z2055" s="5"/>
      <c r="AD2055" s="14" t="s">
        <v>1165</v>
      </c>
      <c r="AF2055" t="s">
        <v>1165</v>
      </c>
      <c r="AI2055" t="s">
        <v>1165</v>
      </c>
      <c r="AJ2055" s="15" t="s">
        <v>1148</v>
      </c>
      <c r="AK2055" s="15">
        <v>97.831999999999994</v>
      </c>
      <c r="AL2055" t="s">
        <v>1263</v>
      </c>
      <c r="AM2055">
        <f>100.07-97.832</f>
        <v>2.2379999999999995</v>
      </c>
      <c r="AP2055">
        <v>56</v>
      </c>
      <c r="AR2055" s="15" t="s">
        <v>1155</v>
      </c>
    </row>
    <row r="2056" spans="1:44" x14ac:dyDescent="0.2">
      <c r="A2056" t="s">
        <v>1378</v>
      </c>
      <c r="B2056" s="15" t="s">
        <v>1146</v>
      </c>
      <c r="C2056" s="15" t="s">
        <v>1149</v>
      </c>
      <c r="D2056" s="14" t="s">
        <v>475</v>
      </c>
      <c r="E2056" s="14" t="s">
        <v>3042</v>
      </c>
      <c r="G2056" s="15" t="s">
        <v>1165</v>
      </c>
      <c r="H2056" s="14" t="s">
        <v>1165</v>
      </c>
      <c r="I2056" s="14" t="s">
        <v>3033</v>
      </c>
      <c r="M2056" s="14" t="s">
        <v>3034</v>
      </c>
      <c r="O2056">
        <v>2004</v>
      </c>
      <c r="Q2056" t="s">
        <v>1329</v>
      </c>
      <c r="R2056">
        <v>14</v>
      </c>
      <c r="T2056" t="s">
        <v>3035</v>
      </c>
      <c r="U2056" s="14" t="s">
        <v>1246</v>
      </c>
      <c r="V2056" s="9" t="s">
        <v>3036</v>
      </c>
      <c r="W2056">
        <v>15</v>
      </c>
      <c r="X2056" s="9" t="s">
        <v>3039</v>
      </c>
      <c r="Z2056" s="5"/>
      <c r="AD2056" s="14" t="s">
        <v>1165</v>
      </c>
      <c r="AF2056" t="s">
        <v>1165</v>
      </c>
      <c r="AI2056" t="s">
        <v>1165</v>
      </c>
      <c r="AJ2056" s="15" t="s">
        <v>1148</v>
      </c>
      <c r="AK2056" s="15">
        <v>95.314999999999998</v>
      </c>
      <c r="AL2056" t="s">
        <v>1263</v>
      </c>
      <c r="AM2056">
        <f>98.112-95.315</f>
        <v>2.796999999999997</v>
      </c>
      <c r="AP2056">
        <v>28</v>
      </c>
      <c r="AR2056" s="15" t="s">
        <v>1155</v>
      </c>
    </row>
    <row r="2057" spans="1:44" x14ac:dyDescent="0.2">
      <c r="A2057" t="s">
        <v>1378</v>
      </c>
      <c r="B2057" s="15" t="s">
        <v>1146</v>
      </c>
      <c r="C2057" s="15" t="s">
        <v>1149</v>
      </c>
      <c r="D2057" s="14" t="s">
        <v>475</v>
      </c>
      <c r="E2057" s="14" t="s">
        <v>3042</v>
      </c>
      <c r="G2057" s="15" t="s">
        <v>1165</v>
      </c>
      <c r="H2057" s="14" t="s">
        <v>1165</v>
      </c>
      <c r="I2057" s="14" t="s">
        <v>3033</v>
      </c>
      <c r="M2057" s="14" t="s">
        <v>3034</v>
      </c>
      <c r="O2057">
        <v>2004</v>
      </c>
      <c r="Q2057" t="s">
        <v>1329</v>
      </c>
      <c r="R2057">
        <v>14</v>
      </c>
      <c r="T2057" t="s">
        <v>3035</v>
      </c>
      <c r="U2057" s="14" t="s">
        <v>1246</v>
      </c>
      <c r="V2057" s="9" t="s">
        <v>3036</v>
      </c>
      <c r="W2057">
        <v>15</v>
      </c>
      <c r="X2057" s="9" t="s">
        <v>3039</v>
      </c>
      <c r="Z2057" s="5"/>
      <c r="AD2057" s="14" t="s">
        <v>1165</v>
      </c>
      <c r="AF2057" t="s">
        <v>1165</v>
      </c>
      <c r="AI2057" t="s">
        <v>1165</v>
      </c>
      <c r="AJ2057" s="15" t="s">
        <v>1148</v>
      </c>
      <c r="AK2057" s="15">
        <v>95.593999999999994</v>
      </c>
      <c r="AL2057" t="s">
        <v>1263</v>
      </c>
      <c r="AM2057">
        <f>98.112-95.594</f>
        <v>2.5180000000000007</v>
      </c>
      <c r="AP2057">
        <v>56</v>
      </c>
      <c r="AR2057" s="15" t="s">
        <v>1155</v>
      </c>
    </row>
    <row r="2058" spans="1:44" x14ac:dyDescent="0.2">
      <c r="A2058" t="s">
        <v>1378</v>
      </c>
      <c r="B2058" s="15" t="s">
        <v>1146</v>
      </c>
      <c r="C2058" s="15" t="s">
        <v>1149</v>
      </c>
      <c r="D2058" s="14" t="s">
        <v>475</v>
      </c>
      <c r="E2058" s="14" t="s">
        <v>3042</v>
      </c>
      <c r="G2058" s="15" t="s">
        <v>1165</v>
      </c>
      <c r="H2058" s="14" t="s">
        <v>1165</v>
      </c>
      <c r="I2058" s="14" t="s">
        <v>3033</v>
      </c>
      <c r="M2058" s="14" t="s">
        <v>3034</v>
      </c>
      <c r="O2058">
        <v>2004</v>
      </c>
      <c r="Q2058" t="s">
        <v>1329</v>
      </c>
      <c r="R2058">
        <v>14</v>
      </c>
      <c r="T2058" t="s">
        <v>3035</v>
      </c>
      <c r="U2058" s="14" t="s">
        <v>1246</v>
      </c>
      <c r="V2058" s="9" t="s">
        <v>3036</v>
      </c>
      <c r="W2058">
        <v>30</v>
      </c>
      <c r="X2058" s="9" t="s">
        <v>3039</v>
      </c>
      <c r="Z2058" s="5"/>
      <c r="AD2058" s="14" t="s">
        <v>1165</v>
      </c>
      <c r="AF2058" t="s">
        <v>1165</v>
      </c>
      <c r="AI2058" t="s">
        <v>1165</v>
      </c>
      <c r="AJ2058" s="15" t="s">
        <v>1148</v>
      </c>
      <c r="AK2058" s="15">
        <v>86.923000000000002</v>
      </c>
      <c r="AL2058" t="s">
        <v>1263</v>
      </c>
      <c r="AM2058">
        <f>90-86.923</f>
        <v>3.0769999999999982</v>
      </c>
      <c r="AP2058">
        <v>28</v>
      </c>
      <c r="AR2058" s="15" t="s">
        <v>1155</v>
      </c>
    </row>
    <row r="2059" spans="1:44" x14ac:dyDescent="0.2">
      <c r="A2059" t="s">
        <v>1378</v>
      </c>
      <c r="B2059" s="15" t="s">
        <v>1146</v>
      </c>
      <c r="C2059" s="15" t="s">
        <v>1149</v>
      </c>
      <c r="D2059" s="14" t="s">
        <v>475</v>
      </c>
      <c r="E2059" s="14" t="s">
        <v>3042</v>
      </c>
      <c r="G2059" s="15" t="s">
        <v>1165</v>
      </c>
      <c r="H2059" s="14" t="s">
        <v>1165</v>
      </c>
      <c r="I2059" s="14" t="s">
        <v>3033</v>
      </c>
      <c r="M2059" s="14" t="s">
        <v>3034</v>
      </c>
      <c r="O2059">
        <v>2004</v>
      </c>
      <c r="Q2059" t="s">
        <v>1329</v>
      </c>
      <c r="R2059">
        <v>14</v>
      </c>
      <c r="T2059" t="s">
        <v>3035</v>
      </c>
      <c r="U2059" s="14" t="s">
        <v>1246</v>
      </c>
      <c r="V2059" s="9" t="s">
        <v>3036</v>
      </c>
      <c r="W2059">
        <v>30</v>
      </c>
      <c r="X2059" s="9" t="s">
        <v>3039</v>
      </c>
      <c r="Z2059" s="5"/>
      <c r="AD2059" s="14" t="s">
        <v>1165</v>
      </c>
      <c r="AF2059" t="s">
        <v>1165</v>
      </c>
      <c r="AI2059" t="s">
        <v>1165</v>
      </c>
      <c r="AJ2059" s="15" t="s">
        <v>1148</v>
      </c>
      <c r="AK2059" s="15">
        <v>88.881</v>
      </c>
      <c r="AL2059" t="s">
        <v>1263</v>
      </c>
      <c r="AM2059">
        <f>91.678-88.881</f>
        <v>2.796999999999997</v>
      </c>
      <c r="AP2059">
        <v>56</v>
      </c>
      <c r="AR2059" s="15" t="s">
        <v>1155</v>
      </c>
    </row>
    <row r="2060" spans="1:44" x14ac:dyDescent="0.2">
      <c r="A2060" t="s">
        <v>1378</v>
      </c>
      <c r="B2060" s="15" t="s">
        <v>1146</v>
      </c>
      <c r="C2060" s="15" t="s">
        <v>1149</v>
      </c>
      <c r="D2060" s="14" t="s">
        <v>475</v>
      </c>
      <c r="E2060" s="14" t="s">
        <v>3042</v>
      </c>
      <c r="G2060" s="15" t="s">
        <v>1165</v>
      </c>
      <c r="H2060" s="14" t="s">
        <v>1165</v>
      </c>
      <c r="I2060" s="14" t="s">
        <v>3033</v>
      </c>
      <c r="M2060" s="14" t="s">
        <v>3034</v>
      </c>
      <c r="O2060">
        <v>2004</v>
      </c>
      <c r="Q2060" t="s">
        <v>1329</v>
      </c>
      <c r="R2060">
        <v>14</v>
      </c>
      <c r="T2060" t="s">
        <v>3035</v>
      </c>
      <c r="U2060" s="14" t="s">
        <v>1246</v>
      </c>
      <c r="V2060" s="9" t="s">
        <v>3036</v>
      </c>
      <c r="W2060">
        <v>60</v>
      </c>
      <c r="X2060" s="9" t="s">
        <v>3039</v>
      </c>
      <c r="Z2060" s="5"/>
      <c r="AD2060" s="14" t="s">
        <v>1165</v>
      </c>
      <c r="AF2060" t="s">
        <v>1165</v>
      </c>
      <c r="AI2060" t="s">
        <v>1165</v>
      </c>
      <c r="AJ2060" s="15" t="s">
        <v>1148</v>
      </c>
      <c r="AK2060" s="15">
        <v>95.314999999999998</v>
      </c>
      <c r="AL2060" t="s">
        <v>1263</v>
      </c>
      <c r="AM2060">
        <f>98.392-95.315</f>
        <v>3.0769999999999982</v>
      </c>
      <c r="AP2060">
        <v>28</v>
      </c>
      <c r="AR2060" s="15" t="s">
        <v>1155</v>
      </c>
    </row>
    <row r="2061" spans="1:44" x14ac:dyDescent="0.2">
      <c r="A2061" t="s">
        <v>1378</v>
      </c>
      <c r="B2061" s="15" t="s">
        <v>1146</v>
      </c>
      <c r="C2061" s="15" t="s">
        <v>1149</v>
      </c>
      <c r="D2061" s="14" t="s">
        <v>475</v>
      </c>
      <c r="E2061" s="14" t="s">
        <v>3042</v>
      </c>
      <c r="G2061" s="15" t="s">
        <v>1165</v>
      </c>
      <c r="H2061" s="14" t="s">
        <v>1165</v>
      </c>
      <c r="I2061" s="14" t="s">
        <v>3033</v>
      </c>
      <c r="M2061" s="14" t="s">
        <v>3034</v>
      </c>
      <c r="O2061">
        <v>2004</v>
      </c>
      <c r="Q2061" t="s">
        <v>1329</v>
      </c>
      <c r="R2061">
        <v>14</v>
      </c>
      <c r="T2061" t="s">
        <v>3035</v>
      </c>
      <c r="U2061" s="14" t="s">
        <v>1246</v>
      </c>
      <c r="V2061" s="9" t="s">
        <v>3036</v>
      </c>
      <c r="W2061">
        <v>60</v>
      </c>
      <c r="X2061" s="9" t="s">
        <v>3039</v>
      </c>
      <c r="Z2061" s="5"/>
      <c r="AD2061" s="14" t="s">
        <v>1165</v>
      </c>
      <c r="AF2061" t="s">
        <v>1165</v>
      </c>
      <c r="AI2061" t="s">
        <v>1165</v>
      </c>
      <c r="AJ2061" s="15" t="s">
        <v>1148</v>
      </c>
      <c r="AK2061" s="15">
        <v>95.314999999999998</v>
      </c>
      <c r="AL2061" t="s">
        <v>1263</v>
      </c>
      <c r="AM2061">
        <f>98.392-95.315</f>
        <v>3.0769999999999982</v>
      </c>
      <c r="AP2061">
        <v>56</v>
      </c>
      <c r="AR2061" s="15" t="s">
        <v>1155</v>
      </c>
    </row>
    <row r="2062" spans="1:44" x14ac:dyDescent="0.2">
      <c r="A2062" t="s">
        <v>1378</v>
      </c>
      <c r="B2062" s="15" t="s">
        <v>1146</v>
      </c>
      <c r="C2062" s="15" t="s">
        <v>1149</v>
      </c>
      <c r="D2062" s="14" t="s">
        <v>475</v>
      </c>
      <c r="E2062" s="14" t="s">
        <v>3042</v>
      </c>
      <c r="G2062" s="15" t="s">
        <v>1165</v>
      </c>
      <c r="H2062" s="14" t="s">
        <v>1165</v>
      </c>
      <c r="I2062" s="14" t="s">
        <v>3033</v>
      </c>
      <c r="M2062" s="14" t="s">
        <v>3034</v>
      </c>
      <c r="O2062">
        <v>2004</v>
      </c>
      <c r="Q2062" t="s">
        <v>1329</v>
      </c>
      <c r="R2062">
        <v>14</v>
      </c>
      <c r="T2062" t="s">
        <v>3035</v>
      </c>
      <c r="U2062" s="14" t="s">
        <v>1246</v>
      </c>
      <c r="V2062" s="9" t="s">
        <v>3036</v>
      </c>
      <c r="W2062">
        <v>90</v>
      </c>
      <c r="X2062" s="9" t="s">
        <v>3039</v>
      </c>
      <c r="Z2062" s="5"/>
      <c r="AD2062" s="14" t="s">
        <v>1165</v>
      </c>
      <c r="AF2062" t="s">
        <v>1165</v>
      </c>
      <c r="AI2062" t="s">
        <v>1165</v>
      </c>
      <c r="AJ2062" s="15" t="s">
        <v>1148</v>
      </c>
      <c r="AK2062" s="15">
        <v>95.873999999999995</v>
      </c>
      <c r="AL2062" t="s">
        <v>1263</v>
      </c>
      <c r="AM2062">
        <f>98.671-95.874</f>
        <v>2.7970000000000113</v>
      </c>
      <c r="AP2062">
        <v>28</v>
      </c>
      <c r="AR2062" s="15" t="s">
        <v>1155</v>
      </c>
    </row>
    <row r="2063" spans="1:44" x14ac:dyDescent="0.2">
      <c r="A2063" t="s">
        <v>1378</v>
      </c>
      <c r="B2063" s="15" t="s">
        <v>1146</v>
      </c>
      <c r="C2063" s="15" t="s">
        <v>1149</v>
      </c>
      <c r="D2063" s="14" t="s">
        <v>475</v>
      </c>
      <c r="E2063" s="14" t="s">
        <v>3042</v>
      </c>
      <c r="G2063" s="15" t="s">
        <v>1165</v>
      </c>
      <c r="H2063" s="14" t="s">
        <v>1165</v>
      </c>
      <c r="I2063" s="14" t="s">
        <v>3033</v>
      </c>
      <c r="M2063" s="14" t="s">
        <v>3034</v>
      </c>
      <c r="O2063">
        <v>2004</v>
      </c>
      <c r="Q2063" t="s">
        <v>1329</v>
      </c>
      <c r="R2063">
        <v>14</v>
      </c>
      <c r="T2063" t="s">
        <v>3035</v>
      </c>
      <c r="U2063" s="14" t="s">
        <v>1246</v>
      </c>
      <c r="V2063" s="9" t="s">
        <v>3036</v>
      </c>
      <c r="W2063">
        <v>90</v>
      </c>
      <c r="X2063" s="9" t="s">
        <v>3039</v>
      </c>
      <c r="Z2063" s="5"/>
      <c r="AD2063" s="14" t="s">
        <v>1165</v>
      </c>
      <c r="AF2063" t="s">
        <v>1165</v>
      </c>
      <c r="AI2063" t="s">
        <v>1165</v>
      </c>
      <c r="AJ2063" s="15" t="s">
        <v>1148</v>
      </c>
      <c r="AK2063" s="15">
        <v>96.433999999999997</v>
      </c>
      <c r="AL2063" t="s">
        <v>1263</v>
      </c>
      <c r="AM2063">
        <f>98.671-96.434</f>
        <v>2.237000000000009</v>
      </c>
      <c r="AP2063">
        <v>56</v>
      </c>
      <c r="AR2063" s="15" t="s">
        <v>1155</v>
      </c>
    </row>
    <row r="2064" spans="1:44" x14ac:dyDescent="0.2">
      <c r="A2064" t="s">
        <v>1378</v>
      </c>
      <c r="B2064" s="15" t="s">
        <v>1146</v>
      </c>
      <c r="C2064" s="15" t="s">
        <v>1149</v>
      </c>
      <c r="D2064" s="14" t="s">
        <v>475</v>
      </c>
      <c r="E2064" s="14" t="s">
        <v>3042</v>
      </c>
      <c r="G2064" s="15" t="s">
        <v>1165</v>
      </c>
      <c r="H2064" s="14" t="s">
        <v>1165</v>
      </c>
      <c r="I2064" s="14" t="s">
        <v>3033</v>
      </c>
      <c r="M2064" s="14" t="s">
        <v>3034</v>
      </c>
      <c r="O2064">
        <v>2004</v>
      </c>
      <c r="Q2064" t="s">
        <v>1329</v>
      </c>
      <c r="R2064">
        <v>14</v>
      </c>
      <c r="T2064" t="s">
        <v>3035</v>
      </c>
      <c r="U2064" s="14" t="s">
        <v>1246</v>
      </c>
      <c r="V2064" s="9" t="s">
        <v>3036</v>
      </c>
      <c r="W2064">
        <v>120</v>
      </c>
      <c r="X2064" s="9" t="s">
        <v>3039</v>
      </c>
      <c r="Z2064" s="5"/>
      <c r="AD2064" s="14" t="s">
        <v>1165</v>
      </c>
      <c r="AF2064" t="s">
        <v>1165</v>
      </c>
      <c r="AI2064" t="s">
        <v>1165</v>
      </c>
      <c r="AJ2064" s="15" t="s">
        <v>1148</v>
      </c>
      <c r="AK2064" s="15">
        <v>90.28</v>
      </c>
      <c r="AL2064" t="s">
        <v>1263</v>
      </c>
      <c r="AM2064">
        <f>92.238-90.28</f>
        <v>1.9579999999999984</v>
      </c>
      <c r="AP2064">
        <v>28</v>
      </c>
      <c r="AR2064" s="15" t="s">
        <v>1155</v>
      </c>
    </row>
    <row r="2065" spans="1:44" x14ac:dyDescent="0.2">
      <c r="A2065" t="s">
        <v>1378</v>
      </c>
      <c r="B2065" s="15" t="s">
        <v>1146</v>
      </c>
      <c r="C2065" s="15" t="s">
        <v>1149</v>
      </c>
      <c r="D2065" s="14" t="s">
        <v>475</v>
      </c>
      <c r="E2065" s="14" t="s">
        <v>3042</v>
      </c>
      <c r="G2065" s="15" t="s">
        <v>1165</v>
      </c>
      <c r="H2065" s="14" t="s">
        <v>1165</v>
      </c>
      <c r="I2065" s="14" t="s">
        <v>3033</v>
      </c>
      <c r="M2065" s="14" t="s">
        <v>3034</v>
      </c>
      <c r="O2065">
        <v>2004</v>
      </c>
      <c r="Q2065" t="s">
        <v>1329</v>
      </c>
      <c r="R2065">
        <v>14</v>
      </c>
      <c r="T2065" t="s">
        <v>3035</v>
      </c>
      <c r="U2065" s="14" t="s">
        <v>1246</v>
      </c>
      <c r="V2065" s="9" t="s">
        <v>3036</v>
      </c>
      <c r="W2065">
        <v>120</v>
      </c>
      <c r="X2065" s="9" t="s">
        <v>3039</v>
      </c>
      <c r="Z2065" s="5"/>
      <c r="AD2065" s="14" t="s">
        <v>1165</v>
      </c>
      <c r="AF2065" t="s">
        <v>1165</v>
      </c>
      <c r="AI2065" t="s">
        <v>1165</v>
      </c>
      <c r="AJ2065" s="15" t="s">
        <v>1148</v>
      </c>
      <c r="AK2065" s="15">
        <v>90</v>
      </c>
      <c r="AL2065" t="s">
        <v>1263</v>
      </c>
      <c r="AM2065">
        <f>92.517-90</f>
        <v>2.5169999999999959</v>
      </c>
      <c r="AP2065">
        <v>56</v>
      </c>
      <c r="AR2065" s="15" t="s">
        <v>1155</v>
      </c>
    </row>
    <row r="2066" spans="1:44" x14ac:dyDescent="0.2">
      <c r="A2066" t="s">
        <v>1378</v>
      </c>
      <c r="B2066" s="15" t="s">
        <v>1146</v>
      </c>
      <c r="C2066" s="15" t="s">
        <v>1149</v>
      </c>
      <c r="D2066" s="14" t="s">
        <v>475</v>
      </c>
      <c r="E2066" s="14" t="s">
        <v>3042</v>
      </c>
      <c r="G2066" s="15" t="s">
        <v>1165</v>
      </c>
      <c r="H2066" s="14" t="s">
        <v>1165</v>
      </c>
      <c r="I2066" s="14" t="s">
        <v>3033</v>
      </c>
      <c r="M2066" s="14" t="s">
        <v>3034</v>
      </c>
      <c r="O2066">
        <v>2004</v>
      </c>
      <c r="Q2066" t="s">
        <v>1329</v>
      </c>
      <c r="R2066">
        <v>14</v>
      </c>
      <c r="T2066" t="s">
        <v>3035</v>
      </c>
      <c r="U2066" s="14" t="s">
        <v>1246</v>
      </c>
      <c r="V2066" s="9" t="s">
        <v>3036</v>
      </c>
      <c r="W2066">
        <v>150</v>
      </c>
      <c r="X2066" s="9" t="s">
        <v>3039</v>
      </c>
      <c r="Z2066" s="5"/>
      <c r="AD2066" s="14" t="s">
        <v>1165</v>
      </c>
      <c r="AF2066" t="s">
        <v>1165</v>
      </c>
      <c r="AI2066" t="s">
        <v>1165</v>
      </c>
      <c r="AJ2066" s="15" t="s">
        <v>1148</v>
      </c>
      <c r="AK2066" s="15">
        <v>90.28</v>
      </c>
      <c r="AL2066" t="s">
        <v>1263</v>
      </c>
      <c r="AM2066">
        <f>92.797-90.28</f>
        <v>2.5169999999999959</v>
      </c>
      <c r="AP2066">
        <v>28</v>
      </c>
      <c r="AR2066" s="15" t="s">
        <v>1155</v>
      </c>
    </row>
    <row r="2067" spans="1:44" x14ac:dyDescent="0.2">
      <c r="A2067" t="s">
        <v>1378</v>
      </c>
      <c r="B2067" s="15" t="s">
        <v>1146</v>
      </c>
      <c r="C2067" s="15" t="s">
        <v>1149</v>
      </c>
      <c r="D2067" s="14" t="s">
        <v>475</v>
      </c>
      <c r="E2067" s="14" t="s">
        <v>3042</v>
      </c>
      <c r="G2067" s="15" t="s">
        <v>1165</v>
      </c>
      <c r="H2067" s="14" t="s">
        <v>1165</v>
      </c>
      <c r="I2067" s="14" t="s">
        <v>3033</v>
      </c>
      <c r="M2067" s="14" t="s">
        <v>3034</v>
      </c>
      <c r="O2067">
        <v>2004</v>
      </c>
      <c r="Q2067" t="s">
        <v>1329</v>
      </c>
      <c r="R2067">
        <v>14</v>
      </c>
      <c r="T2067" t="s">
        <v>3035</v>
      </c>
      <c r="U2067" s="14" t="s">
        <v>1246</v>
      </c>
      <c r="V2067" s="9" t="s">
        <v>3036</v>
      </c>
      <c r="W2067">
        <v>150</v>
      </c>
      <c r="X2067" s="9" t="s">
        <v>3039</v>
      </c>
      <c r="Z2067" s="5"/>
      <c r="AD2067" s="14" t="s">
        <v>1165</v>
      </c>
      <c r="AF2067" t="s">
        <v>1165</v>
      </c>
      <c r="AI2067" t="s">
        <v>1165</v>
      </c>
      <c r="AJ2067" s="15" t="s">
        <v>1148</v>
      </c>
      <c r="AK2067" s="15">
        <v>90.28</v>
      </c>
      <c r="AL2067" t="s">
        <v>1263</v>
      </c>
      <c r="AM2067">
        <f>93.357-90.28</f>
        <v>3.0769999999999982</v>
      </c>
      <c r="AP2067">
        <v>56</v>
      </c>
      <c r="AR2067" s="15" t="s">
        <v>1155</v>
      </c>
    </row>
    <row r="2068" spans="1:44" x14ac:dyDescent="0.2">
      <c r="A2068" t="s">
        <v>1378</v>
      </c>
      <c r="B2068" s="15" t="s">
        <v>1146</v>
      </c>
      <c r="C2068" s="15" t="s">
        <v>1149</v>
      </c>
      <c r="D2068" s="14" t="s">
        <v>475</v>
      </c>
      <c r="E2068" s="14" t="s">
        <v>3042</v>
      </c>
      <c r="G2068" s="15" t="s">
        <v>1165</v>
      </c>
      <c r="H2068" s="14" t="s">
        <v>1165</v>
      </c>
      <c r="I2068" s="14" t="s">
        <v>3033</v>
      </c>
      <c r="M2068" s="14" t="s">
        <v>3034</v>
      </c>
      <c r="O2068">
        <v>2004</v>
      </c>
      <c r="Q2068" t="s">
        <v>1329</v>
      </c>
      <c r="R2068">
        <v>14</v>
      </c>
      <c r="T2068" t="s">
        <v>3035</v>
      </c>
      <c r="U2068" s="14" t="s">
        <v>1246</v>
      </c>
      <c r="V2068" s="9" t="s">
        <v>3036</v>
      </c>
      <c r="W2068">
        <v>180</v>
      </c>
      <c r="X2068" s="9" t="s">
        <v>3039</v>
      </c>
      <c r="Z2068" s="5"/>
      <c r="AD2068" s="14" t="s">
        <v>1165</v>
      </c>
      <c r="AF2068" t="s">
        <v>1165</v>
      </c>
      <c r="AI2068" t="s">
        <v>1165</v>
      </c>
      <c r="AJ2068" s="15" t="s">
        <v>1148</v>
      </c>
      <c r="AK2068" s="15">
        <v>92.796999999999997</v>
      </c>
      <c r="AL2068" t="s">
        <v>1263</v>
      </c>
      <c r="AM2068">
        <f>96.993-92.797</f>
        <v>4.195999999999998</v>
      </c>
      <c r="AP2068">
        <v>28</v>
      </c>
      <c r="AR2068" s="15" t="s">
        <v>1155</v>
      </c>
    </row>
    <row r="2069" spans="1:44" x14ac:dyDescent="0.2">
      <c r="A2069" t="s">
        <v>1378</v>
      </c>
      <c r="B2069" s="15" t="s">
        <v>1146</v>
      </c>
      <c r="C2069" s="15" t="s">
        <v>1149</v>
      </c>
      <c r="D2069" s="14" t="s">
        <v>475</v>
      </c>
      <c r="E2069" s="14" t="s">
        <v>3042</v>
      </c>
      <c r="G2069" s="15" t="s">
        <v>1165</v>
      </c>
      <c r="H2069" s="14" t="s">
        <v>1165</v>
      </c>
      <c r="I2069" s="14" t="s">
        <v>3033</v>
      </c>
      <c r="M2069" s="14" t="s">
        <v>3034</v>
      </c>
      <c r="O2069">
        <v>2004</v>
      </c>
      <c r="Q2069" t="s">
        <v>1329</v>
      </c>
      <c r="R2069">
        <v>14</v>
      </c>
      <c r="T2069" t="s">
        <v>3035</v>
      </c>
      <c r="U2069" s="14" t="s">
        <v>1246</v>
      </c>
      <c r="V2069" s="9" t="s">
        <v>3036</v>
      </c>
      <c r="W2069">
        <v>180</v>
      </c>
      <c r="X2069" s="9" t="s">
        <v>3039</v>
      </c>
      <c r="Z2069" s="5"/>
      <c r="AD2069" s="14" t="s">
        <v>1165</v>
      </c>
      <c r="AF2069" t="s">
        <v>1165</v>
      </c>
      <c r="AI2069" t="s">
        <v>1165</v>
      </c>
      <c r="AJ2069" s="15" t="s">
        <v>1148</v>
      </c>
      <c r="AK2069" s="15">
        <v>92.516999999999996</v>
      </c>
      <c r="AL2069" t="s">
        <v>1263</v>
      </c>
      <c r="AM2069">
        <f>96.993-92.517</f>
        <v>4.4759999999999991</v>
      </c>
      <c r="AP2069">
        <v>56</v>
      </c>
      <c r="AR2069" s="15" t="s">
        <v>1155</v>
      </c>
    </row>
    <row r="2070" spans="1:44" x14ac:dyDescent="0.2">
      <c r="A2070" t="s">
        <v>1378</v>
      </c>
      <c r="B2070" s="15" t="s">
        <v>1146</v>
      </c>
      <c r="C2070" s="15" t="s">
        <v>1149</v>
      </c>
      <c r="D2070" s="14" t="s">
        <v>475</v>
      </c>
      <c r="E2070" s="14" t="s">
        <v>3042</v>
      </c>
      <c r="G2070" s="15" t="s">
        <v>1165</v>
      </c>
      <c r="H2070" s="14" t="s">
        <v>1165</v>
      </c>
      <c r="I2070" s="14" t="s">
        <v>3033</v>
      </c>
      <c r="M2070" s="14" t="s">
        <v>3034</v>
      </c>
      <c r="O2070">
        <v>2004</v>
      </c>
      <c r="Q2070" t="s">
        <v>1329</v>
      </c>
      <c r="R2070">
        <v>14</v>
      </c>
      <c r="T2070" t="s">
        <v>3035</v>
      </c>
      <c r="U2070" s="14" t="s">
        <v>1246</v>
      </c>
      <c r="V2070" s="9" t="s">
        <v>3036</v>
      </c>
      <c r="W2070">
        <v>0</v>
      </c>
      <c r="X2070" s="9" t="s">
        <v>3040</v>
      </c>
      <c r="Z2070" s="5"/>
      <c r="AD2070" s="14" t="s">
        <v>1165</v>
      </c>
      <c r="AF2070" t="s">
        <v>1165</v>
      </c>
      <c r="AI2070" t="s">
        <v>1165</v>
      </c>
      <c r="AJ2070" s="15" t="s">
        <v>1148</v>
      </c>
      <c r="AK2070" s="15">
        <v>36</v>
      </c>
      <c r="AL2070" t="s">
        <v>1263</v>
      </c>
      <c r="AM2070">
        <f>40.621-36</f>
        <v>4.6210000000000022</v>
      </c>
      <c r="AP2070">
        <v>28</v>
      </c>
      <c r="AR2070" s="15" t="s">
        <v>1155</v>
      </c>
    </row>
    <row r="2071" spans="1:44" x14ac:dyDescent="0.2">
      <c r="A2071" t="s">
        <v>1378</v>
      </c>
      <c r="B2071" s="15" t="s">
        <v>1146</v>
      </c>
      <c r="C2071" s="15" t="s">
        <v>1149</v>
      </c>
      <c r="D2071" s="14" t="s">
        <v>475</v>
      </c>
      <c r="E2071" s="14" t="s">
        <v>3042</v>
      </c>
      <c r="G2071" s="15" t="s">
        <v>1165</v>
      </c>
      <c r="H2071" s="14" t="s">
        <v>1165</v>
      </c>
      <c r="I2071" s="14" t="s">
        <v>3033</v>
      </c>
      <c r="M2071" s="14" t="s">
        <v>3034</v>
      </c>
      <c r="O2071">
        <v>2004</v>
      </c>
      <c r="Q2071" t="s">
        <v>1329</v>
      </c>
      <c r="R2071">
        <v>14</v>
      </c>
      <c r="T2071" t="s">
        <v>3035</v>
      </c>
      <c r="U2071" s="14" t="s">
        <v>1246</v>
      </c>
      <c r="V2071" s="9" t="s">
        <v>3036</v>
      </c>
      <c r="W2071">
        <v>0</v>
      </c>
      <c r="X2071" s="9" t="s">
        <v>3040</v>
      </c>
      <c r="Z2071" s="5"/>
      <c r="AD2071" s="14" t="s">
        <v>1165</v>
      </c>
      <c r="AF2071" t="s">
        <v>1165</v>
      </c>
      <c r="AI2071" t="s">
        <v>1165</v>
      </c>
      <c r="AJ2071" s="15" t="s">
        <v>1148</v>
      </c>
      <c r="AK2071" s="15">
        <v>51.103000000000002</v>
      </c>
      <c r="AL2071" t="s">
        <v>1263</v>
      </c>
      <c r="AM2071">
        <f>57.724-51.103</f>
        <v>6.6209999999999951</v>
      </c>
      <c r="AP2071">
        <v>56</v>
      </c>
      <c r="AR2071" s="15" t="s">
        <v>1155</v>
      </c>
    </row>
    <row r="2072" spans="1:44" x14ac:dyDescent="0.2">
      <c r="A2072" t="s">
        <v>1378</v>
      </c>
      <c r="B2072" s="15" t="s">
        <v>1146</v>
      </c>
      <c r="C2072" s="15" t="s">
        <v>1149</v>
      </c>
      <c r="D2072" s="14" t="s">
        <v>475</v>
      </c>
      <c r="E2072" s="14" t="s">
        <v>3042</v>
      </c>
      <c r="G2072" s="15" t="s">
        <v>1165</v>
      </c>
      <c r="H2072" s="14" t="s">
        <v>1165</v>
      </c>
      <c r="I2072" s="14" t="s">
        <v>3033</v>
      </c>
      <c r="M2072" s="14" t="s">
        <v>3034</v>
      </c>
      <c r="O2072">
        <v>2004</v>
      </c>
      <c r="Q2072" t="s">
        <v>1329</v>
      </c>
      <c r="R2072">
        <v>14</v>
      </c>
      <c r="T2072" t="s">
        <v>3035</v>
      </c>
      <c r="U2072" s="14" t="s">
        <v>1246</v>
      </c>
      <c r="V2072" s="9" t="s">
        <v>3036</v>
      </c>
      <c r="W2072">
        <v>15</v>
      </c>
      <c r="X2072" s="9" t="s">
        <v>3040</v>
      </c>
      <c r="Z2072" s="5"/>
      <c r="AD2072" s="14" t="s">
        <v>1165</v>
      </c>
      <c r="AF2072" t="s">
        <v>1165</v>
      </c>
      <c r="AI2072" t="s">
        <v>1165</v>
      </c>
      <c r="AJ2072" s="15" t="s">
        <v>1148</v>
      </c>
      <c r="AK2072" s="15">
        <v>36.759</v>
      </c>
      <c r="AL2072" t="s">
        <v>1263</v>
      </c>
      <c r="AM2072">
        <f>40.621-36.759</f>
        <v>3.8620000000000019</v>
      </c>
      <c r="AP2072">
        <v>28</v>
      </c>
      <c r="AR2072" s="15" t="s">
        <v>1155</v>
      </c>
    </row>
    <row r="2073" spans="1:44" x14ac:dyDescent="0.2">
      <c r="A2073" t="s">
        <v>1378</v>
      </c>
      <c r="B2073" s="15" t="s">
        <v>1146</v>
      </c>
      <c r="C2073" s="15" t="s">
        <v>1149</v>
      </c>
      <c r="D2073" s="14" t="s">
        <v>475</v>
      </c>
      <c r="E2073" s="14" t="s">
        <v>3042</v>
      </c>
      <c r="G2073" s="15" t="s">
        <v>1165</v>
      </c>
      <c r="H2073" s="14" t="s">
        <v>1165</v>
      </c>
      <c r="I2073" s="14" t="s">
        <v>3033</v>
      </c>
      <c r="M2073" s="14" t="s">
        <v>3034</v>
      </c>
      <c r="O2073">
        <v>2004</v>
      </c>
      <c r="Q2073" t="s">
        <v>1329</v>
      </c>
      <c r="R2073">
        <v>14</v>
      </c>
      <c r="T2073" t="s">
        <v>3035</v>
      </c>
      <c r="U2073" s="14" t="s">
        <v>1246</v>
      </c>
      <c r="V2073" s="9" t="s">
        <v>3036</v>
      </c>
      <c r="W2073">
        <v>15</v>
      </c>
      <c r="X2073" s="9" t="s">
        <v>3040</v>
      </c>
      <c r="Z2073" s="5"/>
      <c r="AD2073" s="14" t="s">
        <v>1165</v>
      </c>
      <c r="AF2073" t="s">
        <v>1165</v>
      </c>
      <c r="AI2073" t="s">
        <v>1165</v>
      </c>
      <c r="AJ2073" s="15" t="s">
        <v>1148</v>
      </c>
      <c r="AK2073" s="15">
        <v>49.171999999999997</v>
      </c>
      <c r="AL2073" t="s">
        <v>1263</v>
      </c>
      <c r="AM2073">
        <f>53.31-49.172</f>
        <v>4.1380000000000052</v>
      </c>
      <c r="AP2073">
        <v>56</v>
      </c>
      <c r="AR2073" s="15" t="s">
        <v>1155</v>
      </c>
    </row>
    <row r="2074" spans="1:44" x14ac:dyDescent="0.2">
      <c r="A2074" t="s">
        <v>1378</v>
      </c>
      <c r="B2074" s="15" t="s">
        <v>1146</v>
      </c>
      <c r="C2074" s="15" t="s">
        <v>1149</v>
      </c>
      <c r="D2074" s="14" t="s">
        <v>475</v>
      </c>
      <c r="E2074" s="14" t="s">
        <v>3042</v>
      </c>
      <c r="G2074" s="15" t="s">
        <v>1165</v>
      </c>
      <c r="H2074" s="14" t="s">
        <v>1165</v>
      </c>
      <c r="I2074" s="14" t="s">
        <v>3033</v>
      </c>
      <c r="M2074" s="14" t="s">
        <v>3034</v>
      </c>
      <c r="O2074">
        <v>2004</v>
      </c>
      <c r="Q2074" t="s">
        <v>1329</v>
      </c>
      <c r="R2074">
        <v>14</v>
      </c>
      <c r="T2074" t="s">
        <v>3035</v>
      </c>
      <c r="U2074" s="14" t="s">
        <v>1246</v>
      </c>
      <c r="V2074" s="9" t="s">
        <v>3036</v>
      </c>
      <c r="W2074">
        <v>30</v>
      </c>
      <c r="X2074" s="9" t="s">
        <v>3040</v>
      </c>
      <c r="Z2074" s="5"/>
      <c r="AD2074" s="14" t="s">
        <v>1165</v>
      </c>
      <c r="AF2074" t="s">
        <v>1165</v>
      </c>
      <c r="AI2074" t="s">
        <v>1165</v>
      </c>
      <c r="AJ2074" s="15" t="s">
        <v>1148</v>
      </c>
      <c r="AK2074" s="15">
        <v>46.966000000000001</v>
      </c>
      <c r="AL2074" t="s">
        <v>1263</v>
      </c>
      <c r="AM2074">
        <f>52.207-46.966</f>
        <v>5.2409999999999997</v>
      </c>
      <c r="AP2074">
        <v>28</v>
      </c>
      <c r="AR2074" s="15" t="s">
        <v>1155</v>
      </c>
    </row>
    <row r="2075" spans="1:44" x14ac:dyDescent="0.2">
      <c r="A2075" t="s">
        <v>1378</v>
      </c>
      <c r="B2075" s="15" t="s">
        <v>1146</v>
      </c>
      <c r="C2075" s="15" t="s">
        <v>1149</v>
      </c>
      <c r="D2075" s="14" t="s">
        <v>475</v>
      </c>
      <c r="E2075" s="14" t="s">
        <v>3042</v>
      </c>
      <c r="G2075" s="15" t="s">
        <v>1165</v>
      </c>
      <c r="H2075" s="14" t="s">
        <v>1165</v>
      </c>
      <c r="I2075" s="14" t="s">
        <v>3033</v>
      </c>
      <c r="M2075" s="14" t="s">
        <v>3034</v>
      </c>
      <c r="O2075">
        <v>2004</v>
      </c>
      <c r="Q2075" t="s">
        <v>1329</v>
      </c>
      <c r="R2075">
        <v>14</v>
      </c>
      <c r="T2075" t="s">
        <v>3035</v>
      </c>
      <c r="U2075" s="14" t="s">
        <v>1246</v>
      </c>
      <c r="V2075" s="9" t="s">
        <v>3036</v>
      </c>
      <c r="W2075">
        <v>30</v>
      </c>
      <c r="X2075" s="9" t="s">
        <v>3040</v>
      </c>
      <c r="Z2075" s="5"/>
      <c r="AD2075" s="14" t="s">
        <v>1165</v>
      </c>
      <c r="AF2075" t="s">
        <v>1165</v>
      </c>
      <c r="AI2075" t="s">
        <v>1165</v>
      </c>
      <c r="AJ2075" s="15" t="s">
        <v>1148</v>
      </c>
      <c r="AK2075" s="15">
        <v>70.965999999999994</v>
      </c>
      <c r="AL2075" t="s">
        <v>1263</v>
      </c>
      <c r="AM2075">
        <f>75.931-70.966</f>
        <v>4.9650000000000034</v>
      </c>
      <c r="AP2075">
        <v>56</v>
      </c>
      <c r="AR2075" s="15" t="s">
        <v>1155</v>
      </c>
    </row>
    <row r="2076" spans="1:44" x14ac:dyDescent="0.2">
      <c r="A2076" t="s">
        <v>1378</v>
      </c>
      <c r="B2076" s="15" t="s">
        <v>1146</v>
      </c>
      <c r="C2076" s="15" t="s">
        <v>1149</v>
      </c>
      <c r="D2076" s="14" t="s">
        <v>475</v>
      </c>
      <c r="E2076" s="14" t="s">
        <v>3042</v>
      </c>
      <c r="G2076" s="15" t="s">
        <v>1165</v>
      </c>
      <c r="H2076" s="14" t="s">
        <v>1165</v>
      </c>
      <c r="I2076" s="14" t="s">
        <v>3033</v>
      </c>
      <c r="M2076" s="14" t="s">
        <v>3034</v>
      </c>
      <c r="O2076">
        <v>2004</v>
      </c>
      <c r="Q2076" t="s">
        <v>1329</v>
      </c>
      <c r="R2076">
        <v>14</v>
      </c>
      <c r="T2076" t="s">
        <v>3035</v>
      </c>
      <c r="U2076" s="14" t="s">
        <v>1246</v>
      </c>
      <c r="V2076" s="9" t="s">
        <v>3036</v>
      </c>
      <c r="W2076">
        <v>60</v>
      </c>
      <c r="X2076" s="9" t="s">
        <v>3040</v>
      </c>
      <c r="Z2076" s="5"/>
      <c r="AD2076" s="14" t="s">
        <v>1165</v>
      </c>
      <c r="AF2076" t="s">
        <v>1165</v>
      </c>
      <c r="AI2076" t="s">
        <v>1165</v>
      </c>
      <c r="AJ2076" s="15" t="s">
        <v>1148</v>
      </c>
      <c r="AK2076" s="15">
        <v>48.414000000000001</v>
      </c>
      <c r="AL2076" t="s">
        <v>1263</v>
      </c>
      <c r="AM2076">
        <f>54.414-48.414</f>
        <v>6</v>
      </c>
      <c r="AP2076">
        <v>28</v>
      </c>
      <c r="AR2076" s="15" t="s">
        <v>1155</v>
      </c>
    </row>
    <row r="2077" spans="1:44" x14ac:dyDescent="0.2">
      <c r="A2077" t="s">
        <v>1378</v>
      </c>
      <c r="B2077" s="15" t="s">
        <v>1146</v>
      </c>
      <c r="C2077" s="15" t="s">
        <v>1149</v>
      </c>
      <c r="D2077" s="14" t="s">
        <v>475</v>
      </c>
      <c r="E2077" s="14" t="s">
        <v>3042</v>
      </c>
      <c r="G2077" s="15" t="s">
        <v>1165</v>
      </c>
      <c r="H2077" s="14" t="s">
        <v>1165</v>
      </c>
      <c r="I2077" s="14" t="s">
        <v>3033</v>
      </c>
      <c r="M2077" s="14" t="s">
        <v>3034</v>
      </c>
      <c r="O2077">
        <v>2004</v>
      </c>
      <c r="Q2077" t="s">
        <v>1329</v>
      </c>
      <c r="R2077">
        <v>14</v>
      </c>
      <c r="T2077" t="s">
        <v>3035</v>
      </c>
      <c r="U2077" s="14" t="s">
        <v>1246</v>
      </c>
      <c r="V2077" s="9" t="s">
        <v>3036</v>
      </c>
      <c r="W2077">
        <v>60</v>
      </c>
      <c r="X2077" s="9" t="s">
        <v>3040</v>
      </c>
      <c r="Z2077" s="5"/>
      <c r="AD2077" s="14" t="s">
        <v>1165</v>
      </c>
      <c r="AF2077" t="s">
        <v>1165</v>
      </c>
      <c r="AI2077" t="s">
        <v>1165</v>
      </c>
      <c r="AJ2077" s="15" t="s">
        <v>1148</v>
      </c>
      <c r="AK2077" s="15">
        <v>61.585999999999999</v>
      </c>
      <c r="AL2077" t="s">
        <v>1263</v>
      </c>
      <c r="AM2077">
        <f>67.379-61.586</f>
        <v>5.7930000000000064</v>
      </c>
      <c r="AP2077">
        <v>56</v>
      </c>
      <c r="AR2077" s="15" t="s">
        <v>1155</v>
      </c>
    </row>
    <row r="2078" spans="1:44" x14ac:dyDescent="0.2">
      <c r="A2078" t="s">
        <v>1378</v>
      </c>
      <c r="B2078" s="15" t="s">
        <v>1146</v>
      </c>
      <c r="C2078" s="15" t="s">
        <v>1149</v>
      </c>
      <c r="D2078" s="14" t="s">
        <v>475</v>
      </c>
      <c r="E2078" s="14" t="s">
        <v>3042</v>
      </c>
      <c r="G2078" s="15" t="s">
        <v>1165</v>
      </c>
      <c r="H2078" s="14" t="s">
        <v>1165</v>
      </c>
      <c r="I2078" s="14" t="s">
        <v>3033</v>
      </c>
      <c r="M2078" s="14" t="s">
        <v>3034</v>
      </c>
      <c r="O2078">
        <v>2004</v>
      </c>
      <c r="Q2078" t="s">
        <v>1329</v>
      </c>
      <c r="R2078">
        <v>14</v>
      </c>
      <c r="T2078" t="s">
        <v>3035</v>
      </c>
      <c r="U2078" s="14" t="s">
        <v>1246</v>
      </c>
      <c r="V2078" s="9" t="s">
        <v>3036</v>
      </c>
      <c r="W2078">
        <v>90</v>
      </c>
      <c r="X2078" s="9" t="s">
        <v>3040</v>
      </c>
      <c r="Z2078" s="5"/>
      <c r="AD2078" s="14" t="s">
        <v>1165</v>
      </c>
      <c r="AF2078" t="s">
        <v>1165</v>
      </c>
      <c r="AI2078" t="s">
        <v>1165</v>
      </c>
      <c r="AJ2078" s="15" t="s">
        <v>1148</v>
      </c>
      <c r="AK2078" s="15">
        <v>55.792999999999999</v>
      </c>
      <c r="AL2078" t="s">
        <v>1263</v>
      </c>
      <c r="AM2078">
        <f>59.103-55.793</f>
        <v>3.3100000000000023</v>
      </c>
      <c r="AP2078">
        <v>28</v>
      </c>
      <c r="AR2078" s="15" t="s">
        <v>1155</v>
      </c>
    </row>
    <row r="2079" spans="1:44" x14ac:dyDescent="0.2">
      <c r="A2079" t="s">
        <v>1378</v>
      </c>
      <c r="B2079" s="15" t="s">
        <v>1146</v>
      </c>
      <c r="C2079" s="15" t="s">
        <v>1149</v>
      </c>
      <c r="D2079" s="14" t="s">
        <v>475</v>
      </c>
      <c r="E2079" s="14" t="s">
        <v>3042</v>
      </c>
      <c r="G2079" s="15" t="s">
        <v>1165</v>
      </c>
      <c r="H2079" s="14" t="s">
        <v>1165</v>
      </c>
      <c r="I2079" s="14" t="s">
        <v>3033</v>
      </c>
      <c r="M2079" s="14" t="s">
        <v>3034</v>
      </c>
      <c r="O2079">
        <v>2004</v>
      </c>
      <c r="Q2079" t="s">
        <v>1329</v>
      </c>
      <c r="R2079">
        <v>14</v>
      </c>
      <c r="T2079" t="s">
        <v>3035</v>
      </c>
      <c r="U2079" s="14" t="s">
        <v>1246</v>
      </c>
      <c r="V2079" s="9" t="s">
        <v>3036</v>
      </c>
      <c r="W2079">
        <v>90</v>
      </c>
      <c r="X2079" s="9" t="s">
        <v>3040</v>
      </c>
      <c r="Z2079" s="5"/>
      <c r="AD2079" s="14" t="s">
        <v>1165</v>
      </c>
      <c r="AF2079" t="s">
        <v>1165</v>
      </c>
      <c r="AI2079" t="s">
        <v>1165</v>
      </c>
      <c r="AJ2079" s="15" t="s">
        <v>1148</v>
      </c>
      <c r="AK2079" s="15">
        <v>82</v>
      </c>
      <c r="AL2079" t="s">
        <v>1263</v>
      </c>
      <c r="AM2079">
        <f>88.345-82</f>
        <v>6.3449999999999989</v>
      </c>
      <c r="AP2079">
        <v>56</v>
      </c>
      <c r="AR2079" s="15" t="s">
        <v>1155</v>
      </c>
    </row>
    <row r="2080" spans="1:44" x14ac:dyDescent="0.2">
      <c r="A2080" t="s">
        <v>1378</v>
      </c>
      <c r="B2080" s="15" t="s">
        <v>1146</v>
      </c>
      <c r="C2080" s="15" t="s">
        <v>1149</v>
      </c>
      <c r="D2080" s="14" t="s">
        <v>475</v>
      </c>
      <c r="E2080" s="14" t="s">
        <v>3042</v>
      </c>
      <c r="G2080" s="15" t="s">
        <v>1165</v>
      </c>
      <c r="H2080" s="14" t="s">
        <v>1165</v>
      </c>
      <c r="I2080" s="14" t="s">
        <v>3033</v>
      </c>
      <c r="M2080" s="14" t="s">
        <v>3034</v>
      </c>
      <c r="O2080">
        <v>2004</v>
      </c>
      <c r="Q2080" t="s">
        <v>1329</v>
      </c>
      <c r="R2080">
        <v>14</v>
      </c>
      <c r="T2080" t="s">
        <v>3035</v>
      </c>
      <c r="U2080" s="14" t="s">
        <v>1246</v>
      </c>
      <c r="V2080" s="9" t="s">
        <v>3036</v>
      </c>
      <c r="W2080">
        <v>120</v>
      </c>
      <c r="X2080" s="9" t="s">
        <v>3040</v>
      </c>
      <c r="Z2080" s="5"/>
      <c r="AD2080" s="14" t="s">
        <v>1165</v>
      </c>
      <c r="AF2080" t="s">
        <v>1165</v>
      </c>
      <c r="AI2080" t="s">
        <v>1165</v>
      </c>
      <c r="AJ2080" s="15" t="s">
        <v>1148</v>
      </c>
      <c r="AK2080" s="15">
        <v>56.621000000000002</v>
      </c>
      <c r="AL2080" t="s">
        <v>1263</v>
      </c>
      <c r="AM2080">
        <f>63.793-56.621</f>
        <v>7.171999999999997</v>
      </c>
      <c r="AP2080">
        <v>28</v>
      </c>
      <c r="AR2080" s="15" t="s">
        <v>1155</v>
      </c>
    </row>
    <row r="2081" spans="1:44" x14ac:dyDescent="0.2">
      <c r="A2081" t="s">
        <v>1378</v>
      </c>
      <c r="B2081" s="15" t="s">
        <v>1146</v>
      </c>
      <c r="C2081" s="15" t="s">
        <v>1149</v>
      </c>
      <c r="D2081" s="14" t="s">
        <v>475</v>
      </c>
      <c r="E2081" s="14" t="s">
        <v>3042</v>
      </c>
      <c r="G2081" s="15" t="s">
        <v>1165</v>
      </c>
      <c r="H2081" s="14" t="s">
        <v>1165</v>
      </c>
      <c r="I2081" s="14" t="s">
        <v>3033</v>
      </c>
      <c r="M2081" s="14" t="s">
        <v>3034</v>
      </c>
      <c r="O2081">
        <v>2004</v>
      </c>
      <c r="Q2081" t="s">
        <v>1329</v>
      </c>
      <c r="R2081">
        <v>14</v>
      </c>
      <c r="T2081" t="s">
        <v>3035</v>
      </c>
      <c r="U2081" s="14" t="s">
        <v>1246</v>
      </c>
      <c r="V2081" s="9" t="s">
        <v>3036</v>
      </c>
      <c r="W2081">
        <v>120</v>
      </c>
      <c r="X2081" s="9" t="s">
        <v>3040</v>
      </c>
      <c r="Z2081" s="5"/>
      <c r="AD2081" s="14" t="s">
        <v>1165</v>
      </c>
      <c r="AF2081" t="s">
        <v>1165</v>
      </c>
      <c r="AI2081" t="s">
        <v>1165</v>
      </c>
      <c r="AJ2081" s="15" t="s">
        <v>1148</v>
      </c>
      <c r="AK2081" s="15">
        <v>81.171999999999997</v>
      </c>
      <c r="AL2081" t="s">
        <v>1263</v>
      </c>
      <c r="AM2081">
        <f>87.517-81.172</f>
        <v>6.3449999999999989</v>
      </c>
      <c r="AP2081">
        <v>56</v>
      </c>
      <c r="AR2081" s="15" t="s">
        <v>1155</v>
      </c>
    </row>
    <row r="2082" spans="1:44" x14ac:dyDescent="0.2">
      <c r="A2082" t="s">
        <v>1378</v>
      </c>
      <c r="B2082" s="15" t="s">
        <v>1146</v>
      </c>
      <c r="C2082" s="15" t="s">
        <v>1149</v>
      </c>
      <c r="D2082" s="14" t="s">
        <v>475</v>
      </c>
      <c r="E2082" s="14" t="s">
        <v>3042</v>
      </c>
      <c r="G2082" s="15" t="s">
        <v>1165</v>
      </c>
      <c r="H2082" s="14" t="s">
        <v>1165</v>
      </c>
      <c r="I2082" s="14" t="s">
        <v>3033</v>
      </c>
      <c r="M2082" s="14" t="s">
        <v>3034</v>
      </c>
      <c r="O2082">
        <v>2004</v>
      </c>
      <c r="Q2082" t="s">
        <v>1329</v>
      </c>
      <c r="R2082">
        <v>14</v>
      </c>
      <c r="T2082" t="s">
        <v>3035</v>
      </c>
      <c r="U2082" s="14" t="s">
        <v>1246</v>
      </c>
      <c r="V2082" s="9" t="s">
        <v>3036</v>
      </c>
      <c r="W2082">
        <v>150</v>
      </c>
      <c r="X2082" s="9" t="s">
        <v>3040</v>
      </c>
      <c r="Z2082" s="5"/>
      <c r="AD2082" s="14" t="s">
        <v>1165</v>
      </c>
      <c r="AF2082" t="s">
        <v>1165</v>
      </c>
      <c r="AI2082" t="s">
        <v>1165</v>
      </c>
      <c r="AJ2082" s="15" t="s">
        <v>1148</v>
      </c>
      <c r="AK2082" s="15">
        <v>64.965999999999994</v>
      </c>
      <c r="AL2082" t="s">
        <v>1263</v>
      </c>
      <c r="AM2082">
        <f>68.759-64.966</f>
        <v>3.7930000000000064</v>
      </c>
      <c r="AP2082">
        <v>28</v>
      </c>
      <c r="AR2082" s="15" t="s">
        <v>1155</v>
      </c>
    </row>
    <row r="2083" spans="1:44" x14ac:dyDescent="0.2">
      <c r="A2083" t="s">
        <v>1378</v>
      </c>
      <c r="B2083" s="15" t="s">
        <v>1146</v>
      </c>
      <c r="C2083" s="15" t="s">
        <v>1149</v>
      </c>
      <c r="D2083" s="14" t="s">
        <v>475</v>
      </c>
      <c r="E2083" s="14" t="s">
        <v>3042</v>
      </c>
      <c r="G2083" s="15" t="s">
        <v>1165</v>
      </c>
      <c r="H2083" s="14" t="s">
        <v>1165</v>
      </c>
      <c r="I2083" s="14" t="s">
        <v>3033</v>
      </c>
      <c r="M2083" s="14" t="s">
        <v>3034</v>
      </c>
      <c r="O2083">
        <v>2004</v>
      </c>
      <c r="Q2083" t="s">
        <v>1329</v>
      </c>
      <c r="R2083">
        <v>14</v>
      </c>
      <c r="T2083" t="s">
        <v>3035</v>
      </c>
      <c r="U2083" s="14" t="s">
        <v>1246</v>
      </c>
      <c r="V2083" s="9" t="s">
        <v>3036</v>
      </c>
      <c r="W2083">
        <v>150</v>
      </c>
      <c r="X2083" s="9" t="s">
        <v>3040</v>
      </c>
      <c r="Z2083" s="5"/>
      <c r="AD2083" s="14" t="s">
        <v>1165</v>
      </c>
      <c r="AF2083" t="s">
        <v>1165</v>
      </c>
      <c r="AI2083" t="s">
        <v>1165</v>
      </c>
      <c r="AJ2083" s="15" t="s">
        <v>1148</v>
      </c>
      <c r="AK2083" s="15">
        <v>90.828000000000003</v>
      </c>
      <c r="AL2083" t="s">
        <v>1263</v>
      </c>
      <c r="AM2083">
        <f>93.586-90.828</f>
        <v>2.7579999999999956</v>
      </c>
      <c r="AP2083">
        <v>56</v>
      </c>
      <c r="AR2083" s="15" t="s">
        <v>1155</v>
      </c>
    </row>
    <row r="2084" spans="1:44" x14ac:dyDescent="0.2">
      <c r="A2084" t="s">
        <v>1378</v>
      </c>
      <c r="B2084" s="15" t="s">
        <v>1146</v>
      </c>
      <c r="C2084" s="15" t="s">
        <v>1149</v>
      </c>
      <c r="D2084" s="14" t="s">
        <v>475</v>
      </c>
      <c r="E2084" s="14" t="s">
        <v>3042</v>
      </c>
      <c r="G2084" s="15" t="s">
        <v>1165</v>
      </c>
      <c r="H2084" s="14" t="s">
        <v>1165</v>
      </c>
      <c r="I2084" s="14" t="s">
        <v>3033</v>
      </c>
      <c r="M2084" s="14" t="s">
        <v>3034</v>
      </c>
      <c r="O2084">
        <v>2004</v>
      </c>
      <c r="Q2084" t="s">
        <v>1329</v>
      </c>
      <c r="R2084">
        <v>14</v>
      </c>
      <c r="T2084" t="s">
        <v>3035</v>
      </c>
      <c r="U2084" s="14" t="s">
        <v>1246</v>
      </c>
      <c r="V2084" s="9" t="s">
        <v>3036</v>
      </c>
      <c r="W2084">
        <v>180</v>
      </c>
      <c r="X2084" s="9" t="s">
        <v>3040</v>
      </c>
      <c r="Z2084" s="5"/>
      <c r="AD2084" s="14" t="s">
        <v>1165</v>
      </c>
      <c r="AF2084" t="s">
        <v>1165</v>
      </c>
      <c r="AI2084" t="s">
        <v>1165</v>
      </c>
      <c r="AJ2084" s="15" t="s">
        <v>1148</v>
      </c>
      <c r="AK2084" s="15">
        <v>72.069000000000003</v>
      </c>
      <c r="AL2084" t="s">
        <v>1263</v>
      </c>
      <c r="AM2084">
        <f>76.207-72.069</f>
        <v>4.137999999999991</v>
      </c>
      <c r="AP2084">
        <v>28</v>
      </c>
      <c r="AR2084" s="15" t="s">
        <v>1155</v>
      </c>
    </row>
    <row r="2085" spans="1:44" x14ac:dyDescent="0.2">
      <c r="A2085" t="s">
        <v>1378</v>
      </c>
      <c r="B2085" s="15" t="s">
        <v>1146</v>
      </c>
      <c r="C2085" s="15" t="s">
        <v>1149</v>
      </c>
      <c r="D2085" s="14" t="s">
        <v>475</v>
      </c>
      <c r="E2085" s="14" t="s">
        <v>3042</v>
      </c>
      <c r="G2085" s="15" t="s">
        <v>1165</v>
      </c>
      <c r="H2085" s="14" t="s">
        <v>1165</v>
      </c>
      <c r="I2085" s="14" t="s">
        <v>3033</v>
      </c>
      <c r="M2085" s="14" t="s">
        <v>3034</v>
      </c>
      <c r="O2085">
        <v>2004</v>
      </c>
      <c r="Q2085" t="s">
        <v>1329</v>
      </c>
      <c r="R2085">
        <v>14</v>
      </c>
      <c r="T2085" t="s">
        <v>3035</v>
      </c>
      <c r="U2085" s="14" t="s">
        <v>1246</v>
      </c>
      <c r="V2085" s="9" t="s">
        <v>3036</v>
      </c>
      <c r="W2085">
        <v>180</v>
      </c>
      <c r="X2085" s="9" t="s">
        <v>3040</v>
      </c>
      <c r="Z2085" s="5"/>
      <c r="AD2085" s="14" t="s">
        <v>1165</v>
      </c>
      <c r="AF2085" t="s">
        <v>1165</v>
      </c>
      <c r="AI2085" t="s">
        <v>1165</v>
      </c>
      <c r="AJ2085" s="15" t="s">
        <v>1148</v>
      </c>
      <c r="AK2085" s="15">
        <v>90</v>
      </c>
      <c r="AL2085" t="s">
        <v>1263</v>
      </c>
      <c r="AM2085">
        <f>95.517-90</f>
        <v>5.5169999999999959</v>
      </c>
      <c r="AP2085">
        <v>56</v>
      </c>
      <c r="AR2085" s="15" t="s">
        <v>1155</v>
      </c>
    </row>
    <row r="2086" spans="1:44" x14ac:dyDescent="0.2">
      <c r="A2086" t="s">
        <v>1378</v>
      </c>
      <c r="B2086" s="15" t="s">
        <v>1146</v>
      </c>
      <c r="C2086" s="15" t="s">
        <v>1149</v>
      </c>
      <c r="D2086" s="14" t="s">
        <v>475</v>
      </c>
      <c r="E2086" s="14" t="s">
        <v>3043</v>
      </c>
      <c r="G2086" s="15" t="s">
        <v>1165</v>
      </c>
      <c r="H2086" s="14" t="s">
        <v>1165</v>
      </c>
      <c r="I2086" s="14" t="s">
        <v>3033</v>
      </c>
      <c r="M2086" s="14" t="s">
        <v>3034</v>
      </c>
      <c r="O2086">
        <v>2004</v>
      </c>
      <c r="Q2086" t="s">
        <v>1329</v>
      </c>
      <c r="R2086">
        <v>14</v>
      </c>
      <c r="T2086" t="s">
        <v>3035</v>
      </c>
      <c r="U2086" s="14" t="s">
        <v>1246</v>
      </c>
      <c r="V2086" s="9" t="s">
        <v>3036</v>
      </c>
      <c r="W2086">
        <v>0</v>
      </c>
      <c r="X2086" s="9" t="s">
        <v>3037</v>
      </c>
      <c r="Z2086" s="5"/>
      <c r="AD2086" s="14" t="s">
        <v>1165</v>
      </c>
      <c r="AF2086" t="s">
        <v>1165</v>
      </c>
      <c r="AI2086" t="s">
        <v>1165</v>
      </c>
      <c r="AJ2086" s="15" t="s">
        <v>1148</v>
      </c>
      <c r="AK2086" s="15">
        <v>0</v>
      </c>
      <c r="AL2086" t="s">
        <v>1263</v>
      </c>
      <c r="AM2086">
        <v>0</v>
      </c>
      <c r="AP2086">
        <v>28</v>
      </c>
      <c r="AR2086" s="15" t="s">
        <v>1155</v>
      </c>
    </row>
    <row r="2087" spans="1:44" x14ac:dyDescent="0.2">
      <c r="A2087" t="s">
        <v>1378</v>
      </c>
      <c r="B2087" s="15" t="s">
        <v>1146</v>
      </c>
      <c r="C2087" s="15" t="s">
        <v>1149</v>
      </c>
      <c r="D2087" s="14" t="s">
        <v>475</v>
      </c>
      <c r="E2087" s="14" t="s">
        <v>3043</v>
      </c>
      <c r="G2087" s="15" t="s">
        <v>1165</v>
      </c>
      <c r="H2087" s="14" t="s">
        <v>1165</v>
      </c>
      <c r="I2087" s="14" t="s">
        <v>3033</v>
      </c>
      <c r="M2087" s="14" t="s">
        <v>3034</v>
      </c>
      <c r="O2087">
        <v>2004</v>
      </c>
      <c r="Q2087" t="s">
        <v>1329</v>
      </c>
      <c r="R2087">
        <v>14</v>
      </c>
      <c r="T2087" t="s">
        <v>3035</v>
      </c>
      <c r="U2087" s="14" t="s">
        <v>1246</v>
      </c>
      <c r="V2087" s="9" t="s">
        <v>3036</v>
      </c>
      <c r="W2087">
        <v>0</v>
      </c>
      <c r="X2087" s="9" t="s">
        <v>3037</v>
      </c>
      <c r="Z2087" s="5"/>
      <c r="AD2087" s="14" t="s">
        <v>1165</v>
      </c>
      <c r="AF2087" t="s">
        <v>1165</v>
      </c>
      <c r="AI2087" t="s">
        <v>1165</v>
      </c>
      <c r="AJ2087" s="15" t="s">
        <v>1148</v>
      </c>
      <c r="AK2087" s="15">
        <v>0</v>
      </c>
      <c r="AL2087" t="s">
        <v>1263</v>
      </c>
      <c r="AM2087">
        <v>0</v>
      </c>
      <c r="AP2087">
        <v>56</v>
      </c>
      <c r="AR2087" s="15" t="s">
        <v>1155</v>
      </c>
    </row>
    <row r="2088" spans="1:44" x14ac:dyDescent="0.2">
      <c r="A2088" t="s">
        <v>1378</v>
      </c>
      <c r="B2088" s="15" t="s">
        <v>1146</v>
      </c>
      <c r="C2088" s="15" t="s">
        <v>1149</v>
      </c>
      <c r="D2088" s="14" t="s">
        <v>475</v>
      </c>
      <c r="E2088" s="14" t="s">
        <v>3043</v>
      </c>
      <c r="G2088" s="15" t="s">
        <v>1165</v>
      </c>
      <c r="H2088" s="14" t="s">
        <v>1165</v>
      </c>
      <c r="I2088" s="14" t="s">
        <v>3033</v>
      </c>
      <c r="M2088" s="14" t="s">
        <v>3034</v>
      </c>
      <c r="O2088">
        <v>2004</v>
      </c>
      <c r="Q2088" t="s">
        <v>1329</v>
      </c>
      <c r="R2088">
        <v>14</v>
      </c>
      <c r="T2088" t="s">
        <v>3035</v>
      </c>
      <c r="U2088" s="14" t="s">
        <v>1246</v>
      </c>
      <c r="V2088" s="9" t="s">
        <v>3036</v>
      </c>
      <c r="W2088">
        <v>30</v>
      </c>
      <c r="X2088" s="9" t="s">
        <v>3037</v>
      </c>
      <c r="Z2088" s="5"/>
      <c r="AD2088" s="14" t="s">
        <v>1165</v>
      </c>
      <c r="AF2088" t="s">
        <v>1165</v>
      </c>
      <c r="AI2088" t="s">
        <v>1165</v>
      </c>
      <c r="AJ2088" s="15" t="s">
        <v>1148</v>
      </c>
      <c r="AK2088" s="15">
        <v>0</v>
      </c>
      <c r="AL2088" t="s">
        <v>1263</v>
      </c>
      <c r="AM2088">
        <v>0</v>
      </c>
      <c r="AP2088">
        <v>28</v>
      </c>
      <c r="AR2088" s="15" t="s">
        <v>1155</v>
      </c>
    </row>
    <row r="2089" spans="1:44" x14ac:dyDescent="0.2">
      <c r="A2089" t="s">
        <v>1378</v>
      </c>
      <c r="B2089" s="15" t="s">
        <v>1146</v>
      </c>
      <c r="C2089" s="15" t="s">
        <v>1149</v>
      </c>
      <c r="D2089" s="14" t="s">
        <v>475</v>
      </c>
      <c r="E2089" s="14" t="s">
        <v>3043</v>
      </c>
      <c r="G2089" s="15" t="s">
        <v>1165</v>
      </c>
      <c r="H2089" s="14" t="s">
        <v>1165</v>
      </c>
      <c r="I2089" s="14" t="s">
        <v>3033</v>
      </c>
      <c r="M2089" s="14" t="s">
        <v>3034</v>
      </c>
      <c r="O2089">
        <v>2004</v>
      </c>
      <c r="Q2089" t="s">
        <v>1329</v>
      </c>
      <c r="R2089">
        <v>14</v>
      </c>
      <c r="T2089" t="s">
        <v>3035</v>
      </c>
      <c r="U2089" s="14" t="s">
        <v>1246</v>
      </c>
      <c r="V2089" s="9" t="s">
        <v>3036</v>
      </c>
      <c r="W2089">
        <v>30</v>
      </c>
      <c r="X2089" s="9" t="s">
        <v>3037</v>
      </c>
      <c r="Z2089" s="5"/>
      <c r="AD2089" s="14" t="s">
        <v>1165</v>
      </c>
      <c r="AF2089" t="s">
        <v>1165</v>
      </c>
      <c r="AI2089" t="s">
        <v>1165</v>
      </c>
      <c r="AJ2089" s="15" t="s">
        <v>1148</v>
      </c>
      <c r="AK2089" s="15">
        <v>12.978999999999999</v>
      </c>
      <c r="AL2089" t="s">
        <v>1263</v>
      </c>
      <c r="AM2089">
        <v>14.255000000000001</v>
      </c>
      <c r="AP2089">
        <v>56</v>
      </c>
      <c r="AR2089" s="15" t="s">
        <v>1155</v>
      </c>
    </row>
    <row r="2090" spans="1:44" x14ac:dyDescent="0.2">
      <c r="A2090" t="s">
        <v>1378</v>
      </c>
      <c r="B2090" s="15" t="s">
        <v>1146</v>
      </c>
      <c r="C2090" s="15" t="s">
        <v>1149</v>
      </c>
      <c r="D2090" s="14" t="s">
        <v>475</v>
      </c>
      <c r="E2090" s="14" t="s">
        <v>3043</v>
      </c>
      <c r="G2090" s="15" t="s">
        <v>1165</v>
      </c>
      <c r="H2090" s="14" t="s">
        <v>1165</v>
      </c>
      <c r="I2090" s="14" t="s">
        <v>3033</v>
      </c>
      <c r="M2090" s="14" t="s">
        <v>3034</v>
      </c>
      <c r="O2090">
        <v>2004</v>
      </c>
      <c r="Q2090" t="s">
        <v>1329</v>
      </c>
      <c r="R2090">
        <v>14</v>
      </c>
      <c r="T2090" t="s">
        <v>3035</v>
      </c>
      <c r="U2090" s="14" t="s">
        <v>1246</v>
      </c>
      <c r="V2090" s="9" t="s">
        <v>3036</v>
      </c>
      <c r="W2090">
        <v>60</v>
      </c>
      <c r="X2090" s="9" t="s">
        <v>3037</v>
      </c>
      <c r="Z2090" s="5"/>
      <c r="AD2090" s="14" t="s">
        <v>1165</v>
      </c>
      <c r="AF2090" t="s">
        <v>1165</v>
      </c>
      <c r="AI2090" t="s">
        <v>1165</v>
      </c>
      <c r="AJ2090" s="15" t="s">
        <v>1148</v>
      </c>
      <c r="AK2090" s="15">
        <v>0</v>
      </c>
      <c r="AL2090" t="s">
        <v>1263</v>
      </c>
      <c r="AM2090">
        <v>0</v>
      </c>
      <c r="AP2090">
        <v>28</v>
      </c>
      <c r="AR2090" s="15" t="s">
        <v>1155</v>
      </c>
    </row>
    <row r="2091" spans="1:44" x14ac:dyDescent="0.2">
      <c r="A2091" t="s">
        <v>1378</v>
      </c>
      <c r="B2091" s="15" t="s">
        <v>1146</v>
      </c>
      <c r="C2091" s="15" t="s">
        <v>1149</v>
      </c>
      <c r="D2091" s="14" t="s">
        <v>475</v>
      </c>
      <c r="E2091" s="14" t="s">
        <v>3043</v>
      </c>
      <c r="G2091" s="15" t="s">
        <v>1165</v>
      </c>
      <c r="H2091" s="14" t="s">
        <v>1165</v>
      </c>
      <c r="I2091" s="14" t="s">
        <v>3033</v>
      </c>
      <c r="M2091" s="14" t="s">
        <v>3034</v>
      </c>
      <c r="O2091">
        <v>2004</v>
      </c>
      <c r="Q2091" t="s">
        <v>1329</v>
      </c>
      <c r="R2091">
        <v>14</v>
      </c>
      <c r="T2091" t="s">
        <v>3035</v>
      </c>
      <c r="U2091" s="14" t="s">
        <v>1246</v>
      </c>
      <c r="V2091" s="9" t="s">
        <v>3036</v>
      </c>
      <c r="W2091">
        <v>60</v>
      </c>
      <c r="X2091" s="9" t="s">
        <v>3037</v>
      </c>
      <c r="Z2091" s="5"/>
      <c r="AD2091" s="14" t="s">
        <v>1165</v>
      </c>
      <c r="AF2091" t="s">
        <v>1165</v>
      </c>
      <c r="AI2091" t="s">
        <v>1165</v>
      </c>
      <c r="AJ2091" s="15" t="s">
        <v>1148</v>
      </c>
      <c r="AK2091" s="15">
        <v>28.722999999999999</v>
      </c>
      <c r="AL2091" t="s">
        <v>1263</v>
      </c>
      <c r="AM2091">
        <f>35.532-28.723</f>
        <v>6.8089999999999975</v>
      </c>
      <c r="AP2091">
        <v>56</v>
      </c>
      <c r="AR2091" s="15" t="s">
        <v>1155</v>
      </c>
    </row>
    <row r="2092" spans="1:44" x14ac:dyDescent="0.2">
      <c r="A2092" t="s">
        <v>1378</v>
      </c>
      <c r="B2092" s="15" t="s">
        <v>1146</v>
      </c>
      <c r="C2092" s="15" t="s">
        <v>1149</v>
      </c>
      <c r="D2092" s="14" t="s">
        <v>475</v>
      </c>
      <c r="E2092" s="14" t="s">
        <v>3043</v>
      </c>
      <c r="G2092" s="15" t="s">
        <v>1165</v>
      </c>
      <c r="H2092" s="14" t="s">
        <v>1165</v>
      </c>
      <c r="I2092" s="14" t="s">
        <v>3033</v>
      </c>
      <c r="M2092" s="14" t="s">
        <v>3034</v>
      </c>
      <c r="O2092">
        <v>2004</v>
      </c>
      <c r="Q2092" t="s">
        <v>1329</v>
      </c>
      <c r="R2092">
        <v>14</v>
      </c>
      <c r="T2092" t="s">
        <v>3035</v>
      </c>
      <c r="U2092" s="14" t="s">
        <v>1246</v>
      </c>
      <c r="V2092" s="9" t="s">
        <v>3036</v>
      </c>
      <c r="W2092">
        <v>90</v>
      </c>
      <c r="X2092" s="9" t="s">
        <v>3037</v>
      </c>
      <c r="Z2092" s="5"/>
      <c r="AD2092" s="14" t="s">
        <v>1165</v>
      </c>
      <c r="AF2092" t="s">
        <v>1165</v>
      </c>
      <c r="AI2092" t="s">
        <v>1165</v>
      </c>
      <c r="AJ2092" s="15" t="s">
        <v>1148</v>
      </c>
      <c r="AK2092" s="15">
        <v>0</v>
      </c>
      <c r="AL2092" t="s">
        <v>1263</v>
      </c>
      <c r="AM2092">
        <v>0</v>
      </c>
      <c r="AP2092">
        <v>28</v>
      </c>
      <c r="AR2092" s="15" t="s">
        <v>1155</v>
      </c>
    </row>
    <row r="2093" spans="1:44" x14ac:dyDescent="0.2">
      <c r="A2093" t="s">
        <v>1378</v>
      </c>
      <c r="B2093" s="15" t="s">
        <v>1146</v>
      </c>
      <c r="C2093" s="15" t="s">
        <v>1149</v>
      </c>
      <c r="D2093" s="14" t="s">
        <v>475</v>
      </c>
      <c r="E2093" s="14" t="s">
        <v>3043</v>
      </c>
      <c r="G2093" s="15" t="s">
        <v>1165</v>
      </c>
      <c r="H2093" s="14" t="s">
        <v>1165</v>
      </c>
      <c r="I2093" s="14" t="s">
        <v>3033</v>
      </c>
      <c r="M2093" s="14" t="s">
        <v>3034</v>
      </c>
      <c r="O2093">
        <v>2004</v>
      </c>
      <c r="Q2093" t="s">
        <v>1329</v>
      </c>
      <c r="R2093">
        <v>14</v>
      </c>
      <c r="T2093" t="s">
        <v>3035</v>
      </c>
      <c r="U2093" s="14" t="s">
        <v>1246</v>
      </c>
      <c r="V2093" s="9" t="s">
        <v>3036</v>
      </c>
      <c r="W2093">
        <v>90</v>
      </c>
      <c r="X2093" s="9" t="s">
        <v>3037</v>
      </c>
      <c r="Z2093" s="5"/>
      <c r="AD2093" s="14" t="s">
        <v>1165</v>
      </c>
      <c r="AF2093" t="s">
        <v>1165</v>
      </c>
      <c r="AI2093" t="s">
        <v>1165</v>
      </c>
      <c r="AJ2093" s="15" t="s">
        <v>1148</v>
      </c>
      <c r="AK2093" s="15">
        <v>17.446999999999999</v>
      </c>
      <c r="AL2093" t="s">
        <v>1263</v>
      </c>
      <c r="AM2093">
        <v>22.765999999999998</v>
      </c>
      <c r="AP2093">
        <v>56</v>
      </c>
      <c r="AR2093" s="15" t="s">
        <v>1155</v>
      </c>
    </row>
    <row r="2094" spans="1:44" x14ac:dyDescent="0.2">
      <c r="A2094" t="s">
        <v>1378</v>
      </c>
      <c r="B2094" s="15" t="s">
        <v>1146</v>
      </c>
      <c r="C2094" s="15" t="s">
        <v>1149</v>
      </c>
      <c r="D2094" s="14" t="s">
        <v>475</v>
      </c>
      <c r="E2094" s="14" t="s">
        <v>3043</v>
      </c>
      <c r="G2094" s="15" t="s">
        <v>1165</v>
      </c>
      <c r="H2094" s="14" t="s">
        <v>1165</v>
      </c>
      <c r="I2094" s="14" t="s">
        <v>3033</v>
      </c>
      <c r="M2094" s="14" t="s">
        <v>3034</v>
      </c>
      <c r="O2094">
        <v>2004</v>
      </c>
      <c r="Q2094" t="s">
        <v>1329</v>
      </c>
      <c r="R2094">
        <v>14</v>
      </c>
      <c r="T2094" t="s">
        <v>3035</v>
      </c>
      <c r="U2094" s="14" t="s">
        <v>1246</v>
      </c>
      <c r="V2094" s="9" t="s">
        <v>3036</v>
      </c>
      <c r="W2094">
        <v>0</v>
      </c>
      <c r="X2094" s="9" t="s">
        <v>3038</v>
      </c>
      <c r="Z2094" s="5"/>
      <c r="AD2094" s="14" t="s">
        <v>1165</v>
      </c>
      <c r="AF2094" t="s">
        <v>1165</v>
      </c>
      <c r="AI2094" t="s">
        <v>1165</v>
      </c>
      <c r="AJ2094" s="15" t="s">
        <v>1148</v>
      </c>
      <c r="AK2094" s="15">
        <v>1.4890000000000001</v>
      </c>
      <c r="AL2094" t="s">
        <v>1263</v>
      </c>
      <c r="AM2094">
        <v>0</v>
      </c>
      <c r="AP2094">
        <v>28</v>
      </c>
      <c r="AR2094" s="15" t="s">
        <v>1155</v>
      </c>
    </row>
    <row r="2095" spans="1:44" x14ac:dyDescent="0.2">
      <c r="A2095" t="s">
        <v>1378</v>
      </c>
      <c r="B2095" s="15" t="s">
        <v>1146</v>
      </c>
      <c r="C2095" s="15" t="s">
        <v>1149</v>
      </c>
      <c r="D2095" s="14" t="s">
        <v>475</v>
      </c>
      <c r="E2095" s="14" t="s">
        <v>3043</v>
      </c>
      <c r="G2095" s="15" t="s">
        <v>1165</v>
      </c>
      <c r="H2095" s="14" t="s">
        <v>1165</v>
      </c>
      <c r="I2095" s="14" t="s">
        <v>3033</v>
      </c>
      <c r="M2095" s="14" t="s">
        <v>3034</v>
      </c>
      <c r="O2095">
        <v>2004</v>
      </c>
      <c r="Q2095" t="s">
        <v>1329</v>
      </c>
      <c r="R2095">
        <v>14</v>
      </c>
      <c r="T2095" t="s">
        <v>3035</v>
      </c>
      <c r="U2095" s="14" t="s">
        <v>1246</v>
      </c>
      <c r="V2095" s="9" t="s">
        <v>3036</v>
      </c>
      <c r="W2095">
        <v>0</v>
      </c>
      <c r="X2095" s="9" t="s">
        <v>3038</v>
      </c>
      <c r="Z2095" s="5"/>
      <c r="AD2095" s="14" t="s">
        <v>1165</v>
      </c>
      <c r="AF2095" t="s">
        <v>1165</v>
      </c>
      <c r="AI2095" t="s">
        <v>1165</v>
      </c>
      <c r="AJ2095" s="15" t="s">
        <v>1148</v>
      </c>
      <c r="AK2095" s="15">
        <v>7.8719999999999999</v>
      </c>
      <c r="AL2095" t="s">
        <v>1263</v>
      </c>
      <c r="AM2095">
        <f>10.426-7.872</f>
        <v>2.5540000000000003</v>
      </c>
      <c r="AP2095">
        <v>56</v>
      </c>
      <c r="AR2095" s="15" t="s">
        <v>1155</v>
      </c>
    </row>
    <row r="2096" spans="1:44" x14ac:dyDescent="0.2">
      <c r="A2096" t="s">
        <v>1378</v>
      </c>
      <c r="B2096" s="15" t="s">
        <v>1146</v>
      </c>
      <c r="C2096" s="15" t="s">
        <v>1149</v>
      </c>
      <c r="D2096" s="14" t="s">
        <v>475</v>
      </c>
      <c r="E2096" s="14" t="s">
        <v>3043</v>
      </c>
      <c r="G2096" s="15" t="s">
        <v>1165</v>
      </c>
      <c r="H2096" s="14" t="s">
        <v>1165</v>
      </c>
      <c r="I2096" s="14" t="s">
        <v>3033</v>
      </c>
      <c r="M2096" s="14" t="s">
        <v>3034</v>
      </c>
      <c r="O2096">
        <v>2004</v>
      </c>
      <c r="Q2096" t="s">
        <v>1329</v>
      </c>
      <c r="R2096">
        <v>14</v>
      </c>
      <c r="T2096" t="s">
        <v>3035</v>
      </c>
      <c r="U2096" s="14" t="s">
        <v>1246</v>
      </c>
      <c r="V2096" s="9" t="s">
        <v>3036</v>
      </c>
      <c r="W2096">
        <v>30</v>
      </c>
      <c r="X2096" s="9" t="s">
        <v>3038</v>
      </c>
      <c r="Z2096" s="5"/>
      <c r="AD2096" s="14" t="s">
        <v>1165</v>
      </c>
      <c r="AF2096" t="s">
        <v>1165</v>
      </c>
      <c r="AI2096" t="s">
        <v>1165</v>
      </c>
      <c r="AJ2096" s="15" t="s">
        <v>1148</v>
      </c>
      <c r="AK2096" s="15">
        <v>73.617000000000004</v>
      </c>
      <c r="AL2096" t="s">
        <v>1263</v>
      </c>
      <c r="AM2096">
        <f>75.674-73.617</f>
        <v>2.0570000000000022</v>
      </c>
      <c r="AP2096">
        <v>28</v>
      </c>
      <c r="AR2096" s="15" t="s">
        <v>1155</v>
      </c>
    </row>
    <row r="2097" spans="1:44" x14ac:dyDescent="0.2">
      <c r="A2097" t="s">
        <v>1378</v>
      </c>
      <c r="B2097" s="15" t="s">
        <v>1146</v>
      </c>
      <c r="C2097" s="15" t="s">
        <v>1149</v>
      </c>
      <c r="D2097" s="14" t="s">
        <v>475</v>
      </c>
      <c r="E2097" s="14" t="s">
        <v>3043</v>
      </c>
      <c r="G2097" s="15" t="s">
        <v>1165</v>
      </c>
      <c r="H2097" s="14" t="s">
        <v>1165</v>
      </c>
      <c r="I2097" s="14" t="s">
        <v>3033</v>
      </c>
      <c r="M2097" s="14" t="s">
        <v>3034</v>
      </c>
      <c r="O2097">
        <v>2004</v>
      </c>
      <c r="Q2097" t="s">
        <v>1329</v>
      </c>
      <c r="R2097">
        <v>14</v>
      </c>
      <c r="T2097" t="s">
        <v>3035</v>
      </c>
      <c r="U2097" s="14" t="s">
        <v>1246</v>
      </c>
      <c r="V2097" s="9" t="s">
        <v>3036</v>
      </c>
      <c r="W2097">
        <v>30</v>
      </c>
      <c r="X2097" s="9" t="s">
        <v>3038</v>
      </c>
      <c r="Z2097" s="5"/>
      <c r="AD2097" s="14" t="s">
        <v>1165</v>
      </c>
      <c r="AF2097" t="s">
        <v>1165</v>
      </c>
      <c r="AI2097" t="s">
        <v>1165</v>
      </c>
      <c r="AJ2097" s="15" t="s">
        <v>1148</v>
      </c>
      <c r="AK2097" s="15">
        <v>89.007000000000005</v>
      </c>
      <c r="AL2097" t="s">
        <v>1263</v>
      </c>
      <c r="AM2097">
        <f>94.965-89.007</f>
        <v>5.9579999999999984</v>
      </c>
      <c r="AP2097">
        <v>56</v>
      </c>
      <c r="AR2097" s="15" t="s">
        <v>1155</v>
      </c>
    </row>
    <row r="2098" spans="1:44" x14ac:dyDescent="0.2">
      <c r="A2098" t="s">
        <v>1378</v>
      </c>
      <c r="B2098" s="15" t="s">
        <v>1146</v>
      </c>
      <c r="C2098" s="15" t="s">
        <v>1149</v>
      </c>
      <c r="D2098" s="14" t="s">
        <v>475</v>
      </c>
      <c r="E2098" s="14" t="s">
        <v>3043</v>
      </c>
      <c r="G2098" s="15" t="s">
        <v>1165</v>
      </c>
      <c r="H2098" s="14" t="s">
        <v>1165</v>
      </c>
      <c r="I2098" s="14" t="s">
        <v>3033</v>
      </c>
      <c r="M2098" s="14" t="s">
        <v>3034</v>
      </c>
      <c r="O2098">
        <v>2004</v>
      </c>
      <c r="Q2098" t="s">
        <v>1329</v>
      </c>
      <c r="R2098">
        <v>14</v>
      </c>
      <c r="T2098" t="s">
        <v>3035</v>
      </c>
      <c r="U2098" s="14" t="s">
        <v>1246</v>
      </c>
      <c r="V2098" s="9" t="s">
        <v>3036</v>
      </c>
      <c r="W2098">
        <v>60</v>
      </c>
      <c r="X2098" s="9" t="s">
        <v>3038</v>
      </c>
      <c r="Z2098" s="5"/>
      <c r="AD2098" s="14" t="s">
        <v>1165</v>
      </c>
      <c r="AF2098" t="s">
        <v>1165</v>
      </c>
      <c r="AI2098" t="s">
        <v>1165</v>
      </c>
      <c r="AJ2098" s="15" t="s">
        <v>1148</v>
      </c>
      <c r="AK2098" s="15">
        <v>83.83</v>
      </c>
      <c r="AL2098" t="s">
        <v>1263</v>
      </c>
      <c r="AM2098">
        <f>94.113-83.83</f>
        <v>10.283000000000001</v>
      </c>
      <c r="AP2098">
        <v>28</v>
      </c>
      <c r="AR2098" s="15" t="s">
        <v>1155</v>
      </c>
    </row>
    <row r="2099" spans="1:44" x14ac:dyDescent="0.2">
      <c r="A2099" t="s">
        <v>1378</v>
      </c>
      <c r="B2099" s="15" t="s">
        <v>1146</v>
      </c>
      <c r="C2099" s="15" t="s">
        <v>1149</v>
      </c>
      <c r="D2099" s="14" t="s">
        <v>475</v>
      </c>
      <c r="E2099" s="14" t="s">
        <v>3043</v>
      </c>
      <c r="G2099" s="15" t="s">
        <v>1165</v>
      </c>
      <c r="H2099" s="14" t="s">
        <v>1165</v>
      </c>
      <c r="I2099" s="14" t="s">
        <v>3033</v>
      </c>
      <c r="M2099" s="14" t="s">
        <v>3034</v>
      </c>
      <c r="O2099">
        <v>2004</v>
      </c>
      <c r="Q2099" t="s">
        <v>1329</v>
      </c>
      <c r="R2099">
        <v>14</v>
      </c>
      <c r="T2099" t="s">
        <v>3035</v>
      </c>
      <c r="U2099" s="14" t="s">
        <v>1246</v>
      </c>
      <c r="V2099" s="9" t="s">
        <v>3036</v>
      </c>
      <c r="W2099">
        <v>60</v>
      </c>
      <c r="X2099" s="9" t="s">
        <v>3038</v>
      </c>
      <c r="Z2099" s="5"/>
      <c r="AD2099" s="14" t="s">
        <v>1165</v>
      </c>
      <c r="AF2099" t="s">
        <v>1165</v>
      </c>
      <c r="AI2099" t="s">
        <v>1165</v>
      </c>
      <c r="AJ2099" s="15" t="s">
        <v>1148</v>
      </c>
      <c r="AK2099" s="15">
        <v>93.83</v>
      </c>
      <c r="AL2099" t="s">
        <v>1263</v>
      </c>
      <c r="AM2099">
        <f>101.206-93.83</f>
        <v>7.3760000000000048</v>
      </c>
      <c r="AP2099">
        <v>56</v>
      </c>
      <c r="AR2099" s="15" t="s">
        <v>1155</v>
      </c>
    </row>
    <row r="2100" spans="1:44" x14ac:dyDescent="0.2">
      <c r="A2100" t="s">
        <v>1378</v>
      </c>
      <c r="B2100" s="15" t="s">
        <v>1146</v>
      </c>
      <c r="C2100" s="15" t="s">
        <v>1149</v>
      </c>
      <c r="D2100" s="14" t="s">
        <v>475</v>
      </c>
      <c r="E2100" s="14" t="s">
        <v>3043</v>
      </c>
      <c r="G2100" s="15" t="s">
        <v>1165</v>
      </c>
      <c r="H2100" s="14" t="s">
        <v>1165</v>
      </c>
      <c r="I2100" s="14" t="s">
        <v>3033</v>
      </c>
      <c r="M2100" s="14" t="s">
        <v>3034</v>
      </c>
      <c r="O2100">
        <v>2004</v>
      </c>
      <c r="Q2100" t="s">
        <v>1329</v>
      </c>
      <c r="R2100">
        <v>14</v>
      </c>
      <c r="T2100" t="s">
        <v>3035</v>
      </c>
      <c r="U2100" s="14" t="s">
        <v>1246</v>
      </c>
      <c r="V2100" s="9" t="s">
        <v>3036</v>
      </c>
      <c r="W2100">
        <v>90</v>
      </c>
      <c r="X2100" s="9" t="s">
        <v>3038</v>
      </c>
      <c r="Z2100" s="5"/>
      <c r="AD2100" s="14" t="s">
        <v>1165</v>
      </c>
      <c r="AF2100" t="s">
        <v>1165</v>
      </c>
      <c r="AI2100" t="s">
        <v>1165</v>
      </c>
      <c r="AJ2100" s="15" t="s">
        <v>1148</v>
      </c>
      <c r="AK2100" s="15">
        <v>91.489000000000004</v>
      </c>
      <c r="AL2100" t="s">
        <v>1263</v>
      </c>
      <c r="AM2100">
        <f>95.816-91.489</f>
        <v>4.3269999999999982</v>
      </c>
      <c r="AP2100">
        <v>28</v>
      </c>
      <c r="AR2100" s="15" t="s">
        <v>1155</v>
      </c>
    </row>
    <row r="2101" spans="1:44" x14ac:dyDescent="0.2">
      <c r="A2101" t="s">
        <v>1378</v>
      </c>
      <c r="B2101" s="15" t="s">
        <v>1146</v>
      </c>
      <c r="C2101" s="15" t="s">
        <v>1149</v>
      </c>
      <c r="D2101" s="14" t="s">
        <v>475</v>
      </c>
      <c r="E2101" s="14" t="s">
        <v>3043</v>
      </c>
      <c r="G2101" s="15" t="s">
        <v>1165</v>
      </c>
      <c r="H2101" s="14" t="s">
        <v>1165</v>
      </c>
      <c r="I2101" s="14" t="s">
        <v>3033</v>
      </c>
      <c r="M2101" s="14" t="s">
        <v>3034</v>
      </c>
      <c r="O2101">
        <v>2004</v>
      </c>
      <c r="Q2101" t="s">
        <v>1329</v>
      </c>
      <c r="R2101">
        <v>14</v>
      </c>
      <c r="T2101" t="s">
        <v>3035</v>
      </c>
      <c r="U2101" s="14" t="s">
        <v>1246</v>
      </c>
      <c r="V2101" s="9" t="s">
        <v>3036</v>
      </c>
      <c r="W2101">
        <v>90</v>
      </c>
      <c r="X2101" s="9" t="s">
        <v>3038</v>
      </c>
      <c r="Z2101" s="5"/>
      <c r="AD2101" s="14" t="s">
        <v>1165</v>
      </c>
      <c r="AF2101" t="s">
        <v>1165</v>
      </c>
      <c r="AI2101" t="s">
        <v>1165</v>
      </c>
      <c r="AJ2101" s="15" t="s">
        <v>1148</v>
      </c>
      <c r="AK2101" s="15">
        <v>92.978999999999999</v>
      </c>
      <c r="AL2101" t="s">
        <v>1263</v>
      </c>
      <c r="AM2101">
        <f>96.95-92.979</f>
        <v>3.9710000000000036</v>
      </c>
      <c r="AP2101">
        <v>56</v>
      </c>
      <c r="AR2101" s="15" t="s">
        <v>1155</v>
      </c>
    </row>
    <row r="2102" spans="1:44" x14ac:dyDescent="0.2">
      <c r="A2102" t="s">
        <v>1378</v>
      </c>
      <c r="B2102" s="15" t="s">
        <v>1146</v>
      </c>
      <c r="C2102" s="15" t="s">
        <v>1149</v>
      </c>
      <c r="D2102" s="14" t="s">
        <v>475</v>
      </c>
      <c r="E2102" s="14" t="s">
        <v>3043</v>
      </c>
      <c r="G2102" s="15" t="s">
        <v>1165</v>
      </c>
      <c r="H2102" s="14" t="s">
        <v>1165</v>
      </c>
      <c r="I2102" s="14" t="s">
        <v>3033</v>
      </c>
      <c r="M2102" s="14" t="s">
        <v>3034</v>
      </c>
      <c r="O2102">
        <v>2004</v>
      </c>
      <c r="Q2102" t="s">
        <v>1329</v>
      </c>
      <c r="R2102">
        <v>14</v>
      </c>
      <c r="T2102" t="s">
        <v>3035</v>
      </c>
      <c r="U2102" s="14" t="s">
        <v>1246</v>
      </c>
      <c r="V2102" s="9" t="s">
        <v>3036</v>
      </c>
      <c r="W2102">
        <v>0</v>
      </c>
      <c r="X2102" s="9" t="s">
        <v>3039</v>
      </c>
      <c r="Z2102" s="5"/>
      <c r="AD2102" s="14" t="s">
        <v>1165</v>
      </c>
      <c r="AF2102" t="s">
        <v>1165</v>
      </c>
      <c r="AI2102" t="s">
        <v>1165</v>
      </c>
      <c r="AJ2102" s="15" t="s">
        <v>1148</v>
      </c>
      <c r="AK2102" s="15">
        <v>24.254999999999999</v>
      </c>
      <c r="AL2102" t="s">
        <v>1263</v>
      </c>
      <c r="AM2102">
        <f>29.149-25.255</f>
        <v>3.8940000000000019</v>
      </c>
      <c r="AP2102">
        <v>28</v>
      </c>
      <c r="AR2102" s="15" t="s">
        <v>1155</v>
      </c>
    </row>
    <row r="2103" spans="1:44" x14ac:dyDescent="0.2">
      <c r="A2103" t="s">
        <v>1378</v>
      </c>
      <c r="B2103" s="15" t="s">
        <v>1146</v>
      </c>
      <c r="C2103" s="15" t="s">
        <v>1149</v>
      </c>
      <c r="D2103" s="14" t="s">
        <v>475</v>
      </c>
      <c r="E2103" s="14" t="s">
        <v>3043</v>
      </c>
      <c r="G2103" s="15" t="s">
        <v>1165</v>
      </c>
      <c r="H2103" s="14" t="s">
        <v>1165</v>
      </c>
      <c r="I2103" s="14" t="s">
        <v>3033</v>
      </c>
      <c r="M2103" s="14" t="s">
        <v>3034</v>
      </c>
      <c r="O2103">
        <v>2004</v>
      </c>
      <c r="Q2103" t="s">
        <v>1329</v>
      </c>
      <c r="R2103">
        <v>14</v>
      </c>
      <c r="T2103" t="s">
        <v>3035</v>
      </c>
      <c r="U2103" s="14" t="s">
        <v>1246</v>
      </c>
      <c r="V2103" s="9" t="s">
        <v>3036</v>
      </c>
      <c r="W2103">
        <v>0</v>
      </c>
      <c r="X2103" s="9" t="s">
        <v>3039</v>
      </c>
      <c r="Z2103" s="5"/>
      <c r="AD2103" s="14" t="s">
        <v>1165</v>
      </c>
      <c r="AF2103" t="s">
        <v>1165</v>
      </c>
      <c r="AI2103" t="s">
        <v>1165</v>
      </c>
      <c r="AJ2103" s="15" t="s">
        <v>1148</v>
      </c>
      <c r="AK2103" s="15">
        <v>24.326000000000001</v>
      </c>
      <c r="AL2103" t="s">
        <v>1263</v>
      </c>
      <c r="AM2103">
        <f>29.716-24.326</f>
        <v>5.3900000000000006</v>
      </c>
      <c r="AP2103">
        <v>56</v>
      </c>
      <c r="AR2103" s="15" t="s">
        <v>1155</v>
      </c>
    </row>
    <row r="2104" spans="1:44" x14ac:dyDescent="0.2">
      <c r="A2104" t="s">
        <v>1378</v>
      </c>
      <c r="B2104" s="15" t="s">
        <v>1146</v>
      </c>
      <c r="C2104" s="15" t="s">
        <v>1149</v>
      </c>
      <c r="D2104" s="14" t="s">
        <v>475</v>
      </c>
      <c r="E2104" s="14" t="s">
        <v>3043</v>
      </c>
      <c r="G2104" s="15" t="s">
        <v>1165</v>
      </c>
      <c r="H2104" s="14" t="s">
        <v>1165</v>
      </c>
      <c r="I2104" s="14" t="s">
        <v>3033</v>
      </c>
      <c r="M2104" s="14" t="s">
        <v>3034</v>
      </c>
      <c r="O2104">
        <v>2004</v>
      </c>
      <c r="Q2104" t="s">
        <v>1329</v>
      </c>
      <c r="R2104">
        <v>14</v>
      </c>
      <c r="T2104" t="s">
        <v>3035</v>
      </c>
      <c r="U2104" s="14" t="s">
        <v>1246</v>
      </c>
      <c r="V2104" s="9" t="s">
        <v>3036</v>
      </c>
      <c r="W2104">
        <v>30</v>
      </c>
      <c r="X2104" s="9" t="s">
        <v>3039</v>
      </c>
      <c r="Z2104" s="5"/>
      <c r="AD2104" s="14" t="s">
        <v>1165</v>
      </c>
      <c r="AF2104" t="s">
        <v>1165</v>
      </c>
      <c r="AI2104" t="s">
        <v>1165</v>
      </c>
      <c r="AJ2104" s="15" t="s">
        <v>1148</v>
      </c>
      <c r="AK2104" s="15">
        <v>98.936000000000007</v>
      </c>
      <c r="AL2104" t="s">
        <v>1263</v>
      </c>
      <c r="AM2104">
        <f>102.908-98.936</f>
        <v>3.9719999999999942</v>
      </c>
      <c r="AP2104">
        <v>28</v>
      </c>
      <c r="AR2104" s="15" t="s">
        <v>1155</v>
      </c>
    </row>
    <row r="2105" spans="1:44" x14ac:dyDescent="0.2">
      <c r="A2105" t="s">
        <v>1378</v>
      </c>
      <c r="B2105" s="15" t="s">
        <v>1146</v>
      </c>
      <c r="C2105" s="15" t="s">
        <v>1149</v>
      </c>
      <c r="D2105" s="14" t="s">
        <v>475</v>
      </c>
      <c r="E2105" s="14" t="s">
        <v>3043</v>
      </c>
      <c r="G2105" s="15" t="s">
        <v>1165</v>
      </c>
      <c r="H2105" s="14" t="s">
        <v>1165</v>
      </c>
      <c r="I2105" s="14" t="s">
        <v>3033</v>
      </c>
      <c r="M2105" s="14" t="s">
        <v>3034</v>
      </c>
      <c r="O2105">
        <v>2004</v>
      </c>
      <c r="Q2105" t="s">
        <v>1329</v>
      </c>
      <c r="R2105">
        <v>14</v>
      </c>
      <c r="T2105" t="s">
        <v>3035</v>
      </c>
      <c r="U2105" s="14" t="s">
        <v>1246</v>
      </c>
      <c r="V2105" s="9" t="s">
        <v>3036</v>
      </c>
      <c r="W2105">
        <v>30</v>
      </c>
      <c r="X2105" s="9" t="s">
        <v>3039</v>
      </c>
      <c r="Z2105" s="5"/>
      <c r="AD2105" s="14" t="s">
        <v>1165</v>
      </c>
      <c r="AF2105" t="s">
        <v>1165</v>
      </c>
      <c r="AI2105" t="s">
        <v>1165</v>
      </c>
      <c r="AJ2105" s="15" t="s">
        <v>1148</v>
      </c>
      <c r="AK2105" s="15">
        <v>100</v>
      </c>
      <c r="AL2105" t="s">
        <v>1263</v>
      </c>
      <c r="AM2105">
        <f>104.043-100.071</f>
        <v>3.9720000000000084</v>
      </c>
      <c r="AP2105">
        <v>56</v>
      </c>
      <c r="AR2105" s="15" t="s">
        <v>1155</v>
      </c>
    </row>
    <row r="2106" spans="1:44" x14ac:dyDescent="0.2">
      <c r="A2106" t="s">
        <v>1378</v>
      </c>
      <c r="B2106" s="15" t="s">
        <v>1146</v>
      </c>
      <c r="C2106" s="15" t="s">
        <v>1149</v>
      </c>
      <c r="D2106" s="14" t="s">
        <v>475</v>
      </c>
      <c r="E2106" s="14" t="s">
        <v>3043</v>
      </c>
      <c r="G2106" s="15" t="s">
        <v>1165</v>
      </c>
      <c r="H2106" s="14" t="s">
        <v>1165</v>
      </c>
      <c r="I2106" s="14" t="s">
        <v>3033</v>
      </c>
      <c r="M2106" s="14" t="s">
        <v>3034</v>
      </c>
      <c r="O2106">
        <v>2004</v>
      </c>
      <c r="Q2106" t="s">
        <v>1329</v>
      </c>
      <c r="R2106">
        <v>14</v>
      </c>
      <c r="T2106" t="s">
        <v>3035</v>
      </c>
      <c r="U2106" s="14" t="s">
        <v>1246</v>
      </c>
      <c r="V2106" s="9" t="s">
        <v>3036</v>
      </c>
      <c r="W2106">
        <v>60</v>
      </c>
      <c r="X2106" s="9" t="s">
        <v>3039</v>
      </c>
      <c r="Z2106" s="5"/>
      <c r="AD2106" s="14" t="s">
        <v>1165</v>
      </c>
      <c r="AF2106" t="s">
        <v>1165</v>
      </c>
      <c r="AI2106" t="s">
        <v>1165</v>
      </c>
      <c r="AJ2106" s="15" t="s">
        <v>1148</v>
      </c>
      <c r="AK2106" s="15">
        <v>100</v>
      </c>
      <c r="AL2106" t="s">
        <v>1263</v>
      </c>
      <c r="AM2106">
        <f>106.028-100.638</f>
        <v>5.3900000000000006</v>
      </c>
      <c r="AP2106">
        <v>28</v>
      </c>
      <c r="AR2106" s="15" t="s">
        <v>1155</v>
      </c>
    </row>
    <row r="2107" spans="1:44" x14ac:dyDescent="0.2">
      <c r="A2107" t="s">
        <v>1378</v>
      </c>
      <c r="B2107" s="15" t="s">
        <v>1146</v>
      </c>
      <c r="C2107" s="15" t="s">
        <v>1149</v>
      </c>
      <c r="D2107" s="14" t="s">
        <v>475</v>
      </c>
      <c r="E2107" s="14" t="s">
        <v>3043</v>
      </c>
      <c r="G2107" s="15" t="s">
        <v>1165</v>
      </c>
      <c r="H2107" s="14" t="s">
        <v>1165</v>
      </c>
      <c r="I2107" s="14" t="s">
        <v>3033</v>
      </c>
      <c r="M2107" s="14" t="s">
        <v>3034</v>
      </c>
      <c r="O2107">
        <v>2004</v>
      </c>
      <c r="Q2107" t="s">
        <v>1329</v>
      </c>
      <c r="R2107">
        <v>14</v>
      </c>
      <c r="T2107" t="s">
        <v>3035</v>
      </c>
      <c r="U2107" s="14" t="s">
        <v>1246</v>
      </c>
      <c r="V2107" s="9" t="s">
        <v>3036</v>
      </c>
      <c r="W2107">
        <v>60</v>
      </c>
      <c r="X2107" s="9" t="s">
        <v>3039</v>
      </c>
      <c r="Z2107" s="5"/>
      <c r="AD2107" s="14" t="s">
        <v>1165</v>
      </c>
      <c r="AF2107" t="s">
        <v>1165</v>
      </c>
      <c r="AI2107" t="s">
        <v>1165</v>
      </c>
      <c r="AJ2107" s="15" t="s">
        <v>1148</v>
      </c>
      <c r="AK2107" s="15">
        <v>100</v>
      </c>
      <c r="AL2107" t="s">
        <v>1263</v>
      </c>
      <c r="AM2107">
        <f>106.312-101.489</f>
        <v>4.8229999999999933</v>
      </c>
      <c r="AP2107">
        <v>56</v>
      </c>
      <c r="AR2107" s="15" t="s">
        <v>1155</v>
      </c>
    </row>
    <row r="2108" spans="1:44" x14ac:dyDescent="0.2">
      <c r="A2108" t="s">
        <v>1378</v>
      </c>
      <c r="B2108" s="15" t="s">
        <v>1146</v>
      </c>
      <c r="C2108" s="15" t="s">
        <v>1149</v>
      </c>
      <c r="D2108" s="14" t="s">
        <v>475</v>
      </c>
      <c r="E2108" s="14" t="s">
        <v>3043</v>
      </c>
      <c r="G2108" s="15" t="s">
        <v>1165</v>
      </c>
      <c r="H2108" s="14" t="s">
        <v>1165</v>
      </c>
      <c r="I2108" s="14" t="s">
        <v>3033</v>
      </c>
      <c r="M2108" s="14" t="s">
        <v>3034</v>
      </c>
      <c r="O2108">
        <v>2004</v>
      </c>
      <c r="Q2108" t="s">
        <v>1329</v>
      </c>
      <c r="R2108">
        <v>14</v>
      </c>
      <c r="T2108" t="s">
        <v>3035</v>
      </c>
      <c r="U2108" s="14" t="s">
        <v>1246</v>
      </c>
      <c r="V2108" s="9" t="s">
        <v>3036</v>
      </c>
      <c r="W2108">
        <v>90</v>
      </c>
      <c r="X2108" s="9" t="s">
        <v>3039</v>
      </c>
      <c r="Z2108" s="5"/>
      <c r="AD2108" s="14" t="s">
        <v>1165</v>
      </c>
      <c r="AF2108" t="s">
        <v>1165</v>
      </c>
      <c r="AI2108" t="s">
        <v>1165</v>
      </c>
      <c r="AJ2108" s="15" t="s">
        <v>1148</v>
      </c>
      <c r="AK2108" s="15">
        <v>96.382999999999996</v>
      </c>
      <c r="AL2108" t="s">
        <v>1263</v>
      </c>
      <c r="AM2108">
        <f>101.206-96.383</f>
        <v>4.8230000000000075</v>
      </c>
      <c r="AP2108">
        <v>28</v>
      </c>
      <c r="AR2108" s="15" t="s">
        <v>1155</v>
      </c>
    </row>
    <row r="2109" spans="1:44" x14ac:dyDescent="0.2">
      <c r="A2109" t="s">
        <v>1378</v>
      </c>
      <c r="B2109" s="15" t="s">
        <v>1146</v>
      </c>
      <c r="C2109" s="15" t="s">
        <v>1149</v>
      </c>
      <c r="D2109" s="14" t="s">
        <v>475</v>
      </c>
      <c r="E2109" s="14" t="s">
        <v>3043</v>
      </c>
      <c r="G2109" s="15" t="s">
        <v>1165</v>
      </c>
      <c r="H2109" s="14" t="s">
        <v>1165</v>
      </c>
      <c r="I2109" s="14" t="s">
        <v>3033</v>
      </c>
      <c r="M2109" s="14" t="s">
        <v>3034</v>
      </c>
      <c r="O2109">
        <v>2004</v>
      </c>
      <c r="Q2109" t="s">
        <v>1329</v>
      </c>
      <c r="R2109">
        <v>14</v>
      </c>
      <c r="T2109" t="s">
        <v>3035</v>
      </c>
      <c r="U2109" s="14" t="s">
        <v>1246</v>
      </c>
      <c r="V2109" s="9" t="s">
        <v>3036</v>
      </c>
      <c r="W2109">
        <v>90</v>
      </c>
      <c r="X2109" s="9" t="s">
        <v>3039</v>
      </c>
      <c r="Z2109" s="5"/>
      <c r="AD2109" s="14" t="s">
        <v>1165</v>
      </c>
      <c r="AF2109" t="s">
        <v>1165</v>
      </c>
      <c r="AI2109" t="s">
        <v>1165</v>
      </c>
      <c r="AJ2109" s="15" t="s">
        <v>1148</v>
      </c>
      <c r="AK2109" s="15">
        <v>95.816000000000003</v>
      </c>
      <c r="AL2109" t="s">
        <v>1263</v>
      </c>
      <c r="AM2109">
        <f>101.489-95.816</f>
        <v>5.6730000000000018</v>
      </c>
      <c r="AP2109">
        <v>56</v>
      </c>
      <c r="AR2109" s="15" t="s">
        <v>1155</v>
      </c>
    </row>
    <row r="2110" spans="1:44" x14ac:dyDescent="0.2">
      <c r="A2110" t="s">
        <v>1378</v>
      </c>
      <c r="B2110" s="15" t="s">
        <v>1146</v>
      </c>
      <c r="C2110" s="15" t="s">
        <v>1149</v>
      </c>
      <c r="D2110" s="14" t="s">
        <v>475</v>
      </c>
      <c r="E2110" s="14" t="s">
        <v>3043</v>
      </c>
      <c r="G2110" s="15" t="s">
        <v>1165</v>
      </c>
      <c r="H2110" s="14" t="s">
        <v>1165</v>
      </c>
      <c r="I2110" s="14" t="s">
        <v>3033</v>
      </c>
      <c r="M2110" s="14" t="s">
        <v>3034</v>
      </c>
      <c r="O2110">
        <v>2004</v>
      </c>
      <c r="Q2110" t="s">
        <v>1329</v>
      </c>
      <c r="R2110">
        <v>14</v>
      </c>
      <c r="T2110" t="s">
        <v>3035</v>
      </c>
      <c r="U2110" s="14" t="s">
        <v>1246</v>
      </c>
      <c r="V2110" s="9" t="s">
        <v>3036</v>
      </c>
      <c r="W2110">
        <v>0</v>
      </c>
      <c r="X2110" s="9" t="s">
        <v>3040</v>
      </c>
      <c r="Z2110" s="5"/>
      <c r="AD2110" s="14" t="s">
        <v>1165</v>
      </c>
      <c r="AF2110" t="s">
        <v>1165</v>
      </c>
      <c r="AI2110" t="s">
        <v>1165</v>
      </c>
      <c r="AJ2110" s="15" t="s">
        <v>1148</v>
      </c>
      <c r="AK2110" s="15">
        <v>37.021000000000001</v>
      </c>
      <c r="AL2110" t="s">
        <v>1263</v>
      </c>
      <c r="AM2110">
        <f>42.482-37.021</f>
        <v>5.4609999999999985</v>
      </c>
      <c r="AP2110">
        <v>28</v>
      </c>
      <c r="AR2110" s="15" t="s">
        <v>1155</v>
      </c>
    </row>
    <row r="2111" spans="1:44" x14ac:dyDescent="0.2">
      <c r="A2111" t="s">
        <v>1378</v>
      </c>
      <c r="B2111" s="15" t="s">
        <v>1146</v>
      </c>
      <c r="C2111" s="15" t="s">
        <v>1149</v>
      </c>
      <c r="D2111" s="14" t="s">
        <v>475</v>
      </c>
      <c r="E2111" s="14" t="s">
        <v>3043</v>
      </c>
      <c r="G2111" s="15" t="s">
        <v>1165</v>
      </c>
      <c r="H2111" s="14" t="s">
        <v>1165</v>
      </c>
      <c r="I2111" s="14" t="s">
        <v>3033</v>
      </c>
      <c r="M2111" s="14" t="s">
        <v>3034</v>
      </c>
      <c r="O2111">
        <v>2004</v>
      </c>
      <c r="Q2111" t="s">
        <v>1329</v>
      </c>
      <c r="R2111">
        <v>14</v>
      </c>
      <c r="T2111" t="s">
        <v>3035</v>
      </c>
      <c r="U2111" s="14" t="s">
        <v>1246</v>
      </c>
      <c r="V2111" s="9" t="s">
        <v>3036</v>
      </c>
      <c r="W2111">
        <v>0</v>
      </c>
      <c r="X2111" s="9" t="s">
        <v>3040</v>
      </c>
      <c r="Z2111" s="5"/>
      <c r="AD2111" s="14" t="s">
        <v>1165</v>
      </c>
      <c r="AF2111" t="s">
        <v>1165</v>
      </c>
      <c r="AI2111" t="s">
        <v>1165</v>
      </c>
      <c r="AJ2111" s="15" t="s">
        <v>1148</v>
      </c>
      <c r="AK2111" s="15">
        <v>38.226999999999997</v>
      </c>
      <c r="AL2111" t="s">
        <v>1263</v>
      </c>
      <c r="AM2111">
        <f>42.199-38.227</f>
        <v>3.9720000000000013</v>
      </c>
      <c r="AP2111">
        <v>56</v>
      </c>
      <c r="AR2111" s="15" t="s">
        <v>1155</v>
      </c>
    </row>
    <row r="2112" spans="1:44" x14ac:dyDescent="0.2">
      <c r="A2112" t="s">
        <v>1378</v>
      </c>
      <c r="B2112" s="15" t="s">
        <v>1146</v>
      </c>
      <c r="C2112" s="15" t="s">
        <v>1149</v>
      </c>
      <c r="D2112" s="14" t="s">
        <v>475</v>
      </c>
      <c r="E2112" s="14" t="s">
        <v>3043</v>
      </c>
      <c r="G2112" s="15" t="s">
        <v>1165</v>
      </c>
      <c r="H2112" s="14" t="s">
        <v>1165</v>
      </c>
      <c r="I2112" s="14" t="s">
        <v>3033</v>
      </c>
      <c r="M2112" s="14" t="s">
        <v>3034</v>
      </c>
      <c r="O2112">
        <v>2004</v>
      </c>
      <c r="Q2112" t="s">
        <v>1329</v>
      </c>
      <c r="R2112">
        <v>14</v>
      </c>
      <c r="T2112" t="s">
        <v>3035</v>
      </c>
      <c r="U2112" s="14" t="s">
        <v>1246</v>
      </c>
      <c r="V2112" s="9" t="s">
        <v>3036</v>
      </c>
      <c r="W2112">
        <v>30</v>
      </c>
      <c r="X2112" s="9" t="s">
        <v>3040</v>
      </c>
      <c r="Z2112" s="5"/>
      <c r="AD2112" s="14" t="s">
        <v>1165</v>
      </c>
      <c r="AF2112" t="s">
        <v>1165</v>
      </c>
      <c r="AI2112" t="s">
        <v>1165</v>
      </c>
      <c r="AJ2112" s="15" t="s">
        <v>1148</v>
      </c>
      <c r="AK2112" s="15">
        <v>81.277000000000001</v>
      </c>
      <c r="AL2112" t="s">
        <v>1263</v>
      </c>
      <c r="AM2112">
        <f>87.305-81.277</f>
        <v>6.0280000000000058</v>
      </c>
      <c r="AP2112">
        <v>28</v>
      </c>
      <c r="AR2112" s="15" t="s">
        <v>1155</v>
      </c>
    </row>
    <row r="2113" spans="1:44" x14ac:dyDescent="0.2">
      <c r="A2113" t="s">
        <v>1378</v>
      </c>
      <c r="B2113" s="15" t="s">
        <v>1146</v>
      </c>
      <c r="C2113" s="15" t="s">
        <v>1149</v>
      </c>
      <c r="D2113" s="14" t="s">
        <v>475</v>
      </c>
      <c r="E2113" s="14" t="s">
        <v>3043</v>
      </c>
      <c r="G2113" s="15" t="s">
        <v>1165</v>
      </c>
      <c r="H2113" s="14" t="s">
        <v>1165</v>
      </c>
      <c r="I2113" s="14" t="s">
        <v>3033</v>
      </c>
      <c r="M2113" s="14" t="s">
        <v>3034</v>
      </c>
      <c r="O2113">
        <v>2004</v>
      </c>
      <c r="Q2113" t="s">
        <v>1329</v>
      </c>
      <c r="R2113">
        <v>14</v>
      </c>
      <c r="T2113" t="s">
        <v>3035</v>
      </c>
      <c r="U2113" s="14" t="s">
        <v>1246</v>
      </c>
      <c r="V2113" s="9" t="s">
        <v>3036</v>
      </c>
      <c r="W2113">
        <v>30</v>
      </c>
      <c r="X2113" s="9" t="s">
        <v>3040</v>
      </c>
      <c r="Z2113" s="5"/>
      <c r="AD2113" s="14" t="s">
        <v>1165</v>
      </c>
      <c r="AF2113" t="s">
        <v>1165</v>
      </c>
      <c r="AI2113" t="s">
        <v>1165</v>
      </c>
      <c r="AJ2113" s="15" t="s">
        <v>1148</v>
      </c>
      <c r="AK2113" s="15">
        <v>81.347999999999999</v>
      </c>
      <c r="AL2113" t="s">
        <v>1263</v>
      </c>
      <c r="AM2113">
        <f>87.305-81.348</f>
        <v>5.9570000000000078</v>
      </c>
      <c r="AP2113">
        <v>56</v>
      </c>
      <c r="AR2113" s="15" t="s">
        <v>1155</v>
      </c>
    </row>
    <row r="2114" spans="1:44" x14ac:dyDescent="0.2">
      <c r="A2114" t="s">
        <v>1378</v>
      </c>
      <c r="B2114" s="15" t="s">
        <v>1146</v>
      </c>
      <c r="C2114" s="15" t="s">
        <v>1149</v>
      </c>
      <c r="D2114" s="14" t="s">
        <v>475</v>
      </c>
      <c r="E2114" s="14" t="s">
        <v>3043</v>
      </c>
      <c r="G2114" s="15" t="s">
        <v>1165</v>
      </c>
      <c r="H2114" s="14" t="s">
        <v>1165</v>
      </c>
      <c r="I2114" s="14" t="s">
        <v>3033</v>
      </c>
      <c r="M2114" s="14" t="s">
        <v>3034</v>
      </c>
      <c r="O2114">
        <v>2004</v>
      </c>
      <c r="Q2114" t="s">
        <v>1329</v>
      </c>
      <c r="R2114">
        <v>14</v>
      </c>
      <c r="T2114" t="s">
        <v>3035</v>
      </c>
      <c r="U2114" s="14" t="s">
        <v>1246</v>
      </c>
      <c r="V2114" s="9" t="s">
        <v>3036</v>
      </c>
      <c r="W2114">
        <v>60</v>
      </c>
      <c r="X2114" s="9" t="s">
        <v>3040</v>
      </c>
      <c r="Z2114" s="5"/>
      <c r="AD2114" s="14" t="s">
        <v>1165</v>
      </c>
      <c r="AF2114" t="s">
        <v>1165</v>
      </c>
      <c r="AI2114" t="s">
        <v>1165</v>
      </c>
      <c r="AJ2114" s="15" t="s">
        <v>1148</v>
      </c>
      <c r="AK2114" s="15">
        <v>100</v>
      </c>
      <c r="AL2114" t="s">
        <v>1263</v>
      </c>
      <c r="AM2114">
        <f>108.582-102.057</f>
        <v>6.5249999999999915</v>
      </c>
      <c r="AP2114">
        <v>28</v>
      </c>
      <c r="AR2114" s="15" t="s">
        <v>1155</v>
      </c>
    </row>
    <row r="2115" spans="1:44" x14ac:dyDescent="0.2">
      <c r="A2115" t="s">
        <v>1378</v>
      </c>
      <c r="B2115" s="15" t="s">
        <v>1146</v>
      </c>
      <c r="C2115" s="15" t="s">
        <v>1149</v>
      </c>
      <c r="D2115" s="14" t="s">
        <v>475</v>
      </c>
      <c r="E2115" s="14" t="s">
        <v>3043</v>
      </c>
      <c r="G2115" s="15" t="s">
        <v>1165</v>
      </c>
      <c r="H2115" s="14" t="s">
        <v>1165</v>
      </c>
      <c r="I2115" s="14" t="s">
        <v>3033</v>
      </c>
      <c r="M2115" s="14" t="s">
        <v>3034</v>
      </c>
      <c r="O2115">
        <v>2004</v>
      </c>
      <c r="Q2115" t="s">
        <v>1329</v>
      </c>
      <c r="R2115">
        <v>14</v>
      </c>
      <c r="T2115" t="s">
        <v>3035</v>
      </c>
      <c r="U2115" s="14" t="s">
        <v>1246</v>
      </c>
      <c r="V2115" s="9" t="s">
        <v>3036</v>
      </c>
      <c r="W2115">
        <v>60</v>
      </c>
      <c r="X2115" s="9" t="s">
        <v>3040</v>
      </c>
      <c r="Z2115" s="5"/>
      <c r="AD2115" s="14" t="s">
        <v>1165</v>
      </c>
      <c r="AF2115" t="s">
        <v>1165</v>
      </c>
      <c r="AI2115" t="s">
        <v>1165</v>
      </c>
      <c r="AJ2115" s="15" t="s">
        <v>1148</v>
      </c>
      <c r="AK2115" s="15">
        <v>100</v>
      </c>
      <c r="AL2115" t="s">
        <v>1263</v>
      </c>
      <c r="AM2115">
        <f>108.582-102.34</f>
        <v>6.2419999999999902</v>
      </c>
      <c r="AP2115">
        <v>56</v>
      </c>
      <c r="AR2115" s="15" t="s">
        <v>1155</v>
      </c>
    </row>
    <row r="2116" spans="1:44" x14ac:dyDescent="0.2">
      <c r="A2116" t="s">
        <v>1378</v>
      </c>
      <c r="B2116" s="15" t="s">
        <v>1146</v>
      </c>
      <c r="C2116" s="15" t="s">
        <v>1149</v>
      </c>
      <c r="D2116" s="14" t="s">
        <v>475</v>
      </c>
      <c r="E2116" s="14" t="s">
        <v>3043</v>
      </c>
      <c r="G2116" s="15" t="s">
        <v>1165</v>
      </c>
      <c r="H2116" s="14" t="s">
        <v>1165</v>
      </c>
      <c r="I2116" s="14" t="s">
        <v>3033</v>
      </c>
      <c r="M2116" s="14" t="s">
        <v>3034</v>
      </c>
      <c r="O2116">
        <v>2004</v>
      </c>
      <c r="Q2116" t="s">
        <v>1329</v>
      </c>
      <c r="R2116">
        <v>14</v>
      </c>
      <c r="T2116" t="s">
        <v>3035</v>
      </c>
      <c r="U2116" s="14" t="s">
        <v>1246</v>
      </c>
      <c r="V2116" s="9" t="s">
        <v>3036</v>
      </c>
      <c r="W2116">
        <v>90</v>
      </c>
      <c r="X2116" s="9" t="s">
        <v>3040</v>
      </c>
      <c r="Z2116" s="5"/>
      <c r="AD2116" s="14" t="s">
        <v>1165</v>
      </c>
      <c r="AF2116" t="s">
        <v>1165</v>
      </c>
      <c r="AI2116" t="s">
        <v>1165</v>
      </c>
      <c r="AJ2116" s="15" t="s">
        <v>1148</v>
      </c>
      <c r="AK2116" s="15">
        <v>80.850999999999999</v>
      </c>
      <c r="AL2116" t="s">
        <v>1263</v>
      </c>
      <c r="AM2116">
        <f>85.603-80.851</f>
        <v>4.7519999999999953</v>
      </c>
      <c r="AP2116">
        <v>28</v>
      </c>
      <c r="AR2116" s="15" t="s">
        <v>1155</v>
      </c>
    </row>
    <row r="2117" spans="1:44" x14ac:dyDescent="0.2">
      <c r="A2117" t="s">
        <v>1378</v>
      </c>
      <c r="B2117" s="15" t="s">
        <v>1146</v>
      </c>
      <c r="C2117" s="15" t="s">
        <v>1149</v>
      </c>
      <c r="D2117" s="14" t="s">
        <v>475</v>
      </c>
      <c r="E2117" s="14" t="s">
        <v>3043</v>
      </c>
      <c r="G2117" s="15" t="s">
        <v>1165</v>
      </c>
      <c r="H2117" s="14" t="s">
        <v>1165</v>
      </c>
      <c r="I2117" s="14" t="s">
        <v>3033</v>
      </c>
      <c r="M2117" s="14" t="s">
        <v>3034</v>
      </c>
      <c r="O2117">
        <v>2004</v>
      </c>
      <c r="Q2117" t="s">
        <v>1329</v>
      </c>
      <c r="R2117">
        <v>14</v>
      </c>
      <c r="T2117" t="s">
        <v>3035</v>
      </c>
      <c r="U2117" s="14" t="s">
        <v>1246</v>
      </c>
      <c r="V2117" s="9" t="s">
        <v>3036</v>
      </c>
      <c r="W2117">
        <v>90</v>
      </c>
      <c r="X2117" s="9" t="s">
        <v>3040</v>
      </c>
      <c r="Z2117" s="5"/>
      <c r="AD2117" s="14" t="s">
        <v>1165</v>
      </c>
      <c r="AF2117" t="s">
        <v>1165</v>
      </c>
      <c r="AI2117" t="s">
        <v>1165</v>
      </c>
      <c r="AJ2117" s="15" t="s">
        <v>1148</v>
      </c>
      <c r="AK2117" s="15">
        <v>80.78</v>
      </c>
      <c r="AL2117" t="s">
        <v>1263</v>
      </c>
      <c r="AM2117">
        <f>85.603-80.78</f>
        <v>4.8229999999999933</v>
      </c>
      <c r="AP2117">
        <v>56</v>
      </c>
      <c r="AR2117" s="15" t="s">
        <v>1155</v>
      </c>
    </row>
    <row r="2118" spans="1:44" x14ac:dyDescent="0.2">
      <c r="A2118" t="s">
        <v>1378</v>
      </c>
      <c r="B2118" s="15" t="s">
        <v>1146</v>
      </c>
      <c r="C2118" s="15" t="s">
        <v>1149</v>
      </c>
      <c r="D2118" s="14" t="s">
        <v>475</v>
      </c>
      <c r="E2118" s="14" t="s">
        <v>3044</v>
      </c>
      <c r="G2118" s="15" t="s">
        <v>1165</v>
      </c>
      <c r="H2118" s="14" t="s">
        <v>1165</v>
      </c>
      <c r="I2118" s="14" t="s">
        <v>3033</v>
      </c>
      <c r="M2118" s="14" t="s">
        <v>3034</v>
      </c>
      <c r="O2118">
        <v>2004</v>
      </c>
      <c r="Q2118" t="s">
        <v>1329</v>
      </c>
      <c r="R2118">
        <v>14</v>
      </c>
      <c r="T2118" t="s">
        <v>3035</v>
      </c>
      <c r="U2118" s="14" t="s">
        <v>1246</v>
      </c>
      <c r="V2118" s="9" t="s">
        <v>3036</v>
      </c>
      <c r="W2118">
        <v>0</v>
      </c>
      <c r="X2118" s="9" t="s">
        <v>3037</v>
      </c>
      <c r="Z2118" s="5"/>
      <c r="AD2118" s="14" t="s">
        <v>1165</v>
      </c>
      <c r="AF2118" t="s">
        <v>1165</v>
      </c>
      <c r="AI2118" t="s">
        <v>1165</v>
      </c>
      <c r="AJ2118" s="15" t="s">
        <v>1148</v>
      </c>
      <c r="AK2118" s="15">
        <v>0</v>
      </c>
      <c r="AL2118" t="s">
        <v>1263</v>
      </c>
      <c r="AM2118">
        <v>0</v>
      </c>
      <c r="AP2118">
        <v>28</v>
      </c>
      <c r="AR2118" s="15" t="s">
        <v>1155</v>
      </c>
    </row>
    <row r="2119" spans="1:44" x14ac:dyDescent="0.2">
      <c r="A2119" t="s">
        <v>1378</v>
      </c>
      <c r="B2119" s="15" t="s">
        <v>1146</v>
      </c>
      <c r="C2119" s="15" t="s">
        <v>1149</v>
      </c>
      <c r="D2119" s="14" t="s">
        <v>475</v>
      </c>
      <c r="E2119" s="14" t="s">
        <v>3044</v>
      </c>
      <c r="G2119" s="15" t="s">
        <v>1165</v>
      </c>
      <c r="H2119" s="14" t="s">
        <v>1165</v>
      </c>
      <c r="I2119" s="14" t="s">
        <v>3033</v>
      </c>
      <c r="M2119" s="14" t="s">
        <v>3034</v>
      </c>
      <c r="O2119">
        <v>2004</v>
      </c>
      <c r="Q2119" t="s">
        <v>1329</v>
      </c>
      <c r="R2119">
        <v>14</v>
      </c>
      <c r="T2119" t="s">
        <v>3035</v>
      </c>
      <c r="U2119" s="14" t="s">
        <v>1246</v>
      </c>
      <c r="V2119" s="9" t="s">
        <v>3036</v>
      </c>
      <c r="W2119">
        <v>0</v>
      </c>
      <c r="X2119" s="9" t="s">
        <v>3037</v>
      </c>
      <c r="Z2119" s="5"/>
      <c r="AD2119" s="14" t="s">
        <v>1165</v>
      </c>
      <c r="AF2119" t="s">
        <v>1165</v>
      </c>
      <c r="AI2119" t="s">
        <v>1165</v>
      </c>
      <c r="AJ2119" s="15" t="s">
        <v>1148</v>
      </c>
      <c r="AK2119" s="15">
        <v>0</v>
      </c>
      <c r="AL2119" t="s">
        <v>1263</v>
      </c>
      <c r="AM2119">
        <v>0</v>
      </c>
      <c r="AP2119">
        <v>56</v>
      </c>
      <c r="AR2119" s="15" t="s">
        <v>1155</v>
      </c>
    </row>
    <row r="2120" spans="1:44" x14ac:dyDescent="0.2">
      <c r="A2120" t="s">
        <v>1378</v>
      </c>
      <c r="B2120" s="15" t="s">
        <v>1146</v>
      </c>
      <c r="C2120" s="15" t="s">
        <v>1149</v>
      </c>
      <c r="D2120" s="14" t="s">
        <v>475</v>
      </c>
      <c r="E2120" s="14" t="s">
        <v>3044</v>
      </c>
      <c r="G2120" s="15" t="s">
        <v>1165</v>
      </c>
      <c r="H2120" s="14" t="s">
        <v>1165</v>
      </c>
      <c r="I2120" s="14" t="s">
        <v>3033</v>
      </c>
      <c r="M2120" s="14" t="s">
        <v>3034</v>
      </c>
      <c r="O2120">
        <v>2004</v>
      </c>
      <c r="Q2120" t="s">
        <v>1329</v>
      </c>
      <c r="R2120">
        <v>14</v>
      </c>
      <c r="T2120" t="s">
        <v>3035</v>
      </c>
      <c r="U2120" s="14" t="s">
        <v>1246</v>
      </c>
      <c r="V2120" s="9" t="s">
        <v>3036</v>
      </c>
      <c r="W2120">
        <v>15</v>
      </c>
      <c r="X2120" s="9" t="s">
        <v>3037</v>
      </c>
      <c r="Z2120" s="5"/>
      <c r="AD2120" s="14" t="s">
        <v>1165</v>
      </c>
      <c r="AF2120" t="s">
        <v>1165</v>
      </c>
      <c r="AI2120" t="s">
        <v>1165</v>
      </c>
      <c r="AJ2120" s="15" t="s">
        <v>1148</v>
      </c>
      <c r="AK2120" s="15">
        <v>0</v>
      </c>
      <c r="AL2120" t="s">
        <v>1263</v>
      </c>
      <c r="AM2120">
        <v>0</v>
      </c>
      <c r="AP2120">
        <v>28</v>
      </c>
      <c r="AR2120" s="15" t="s">
        <v>1155</v>
      </c>
    </row>
    <row r="2121" spans="1:44" x14ac:dyDescent="0.2">
      <c r="A2121" t="s">
        <v>1378</v>
      </c>
      <c r="B2121" s="15" t="s">
        <v>1146</v>
      </c>
      <c r="C2121" s="15" t="s">
        <v>1149</v>
      </c>
      <c r="D2121" s="14" t="s">
        <v>475</v>
      </c>
      <c r="E2121" s="14" t="s">
        <v>3044</v>
      </c>
      <c r="G2121" s="15" t="s">
        <v>1165</v>
      </c>
      <c r="H2121" s="14" t="s">
        <v>1165</v>
      </c>
      <c r="I2121" s="14" t="s">
        <v>3033</v>
      </c>
      <c r="M2121" s="14" t="s">
        <v>3034</v>
      </c>
      <c r="O2121">
        <v>2004</v>
      </c>
      <c r="Q2121" t="s">
        <v>1329</v>
      </c>
      <c r="R2121">
        <v>14</v>
      </c>
      <c r="T2121" t="s">
        <v>3035</v>
      </c>
      <c r="U2121" s="14" t="s">
        <v>1246</v>
      </c>
      <c r="V2121" s="9" t="s">
        <v>3036</v>
      </c>
      <c r="W2121">
        <v>15</v>
      </c>
      <c r="X2121" s="9" t="s">
        <v>3037</v>
      </c>
      <c r="Z2121" s="5"/>
      <c r="AD2121" s="14" t="s">
        <v>1165</v>
      </c>
      <c r="AF2121" t="s">
        <v>1165</v>
      </c>
      <c r="AI2121" t="s">
        <v>1165</v>
      </c>
      <c r="AJ2121" s="15" t="s">
        <v>1148</v>
      </c>
      <c r="AK2121" s="15">
        <v>2.8769999999999998</v>
      </c>
      <c r="AL2121" t="s">
        <v>1263</v>
      </c>
      <c r="AM2121">
        <f>5-2.877</f>
        <v>2.1230000000000002</v>
      </c>
      <c r="AP2121">
        <v>56</v>
      </c>
      <c r="AR2121" s="15" t="s">
        <v>1155</v>
      </c>
    </row>
    <row r="2122" spans="1:44" x14ac:dyDescent="0.2">
      <c r="A2122" t="s">
        <v>1378</v>
      </c>
      <c r="B2122" s="15" t="s">
        <v>1146</v>
      </c>
      <c r="C2122" s="15" t="s">
        <v>1149</v>
      </c>
      <c r="D2122" s="14" t="s">
        <v>475</v>
      </c>
      <c r="E2122" s="14" t="s">
        <v>3044</v>
      </c>
      <c r="G2122" s="15" t="s">
        <v>1165</v>
      </c>
      <c r="H2122" s="14" t="s">
        <v>1165</v>
      </c>
      <c r="I2122" s="14" t="s">
        <v>3033</v>
      </c>
      <c r="M2122" s="14" t="s">
        <v>3034</v>
      </c>
      <c r="O2122">
        <v>2004</v>
      </c>
      <c r="Q2122" t="s">
        <v>1329</v>
      </c>
      <c r="R2122">
        <v>14</v>
      </c>
      <c r="T2122" t="s">
        <v>3035</v>
      </c>
      <c r="U2122" s="14" t="s">
        <v>1246</v>
      </c>
      <c r="V2122" s="9" t="s">
        <v>3036</v>
      </c>
      <c r="W2122">
        <v>30</v>
      </c>
      <c r="X2122" s="9" t="s">
        <v>3037</v>
      </c>
      <c r="Z2122" s="5"/>
      <c r="AD2122" s="14" t="s">
        <v>1165</v>
      </c>
      <c r="AF2122" t="s">
        <v>1165</v>
      </c>
      <c r="AI2122" t="s">
        <v>1165</v>
      </c>
      <c r="AJ2122" s="15" t="s">
        <v>1148</v>
      </c>
      <c r="AK2122" s="15">
        <v>0</v>
      </c>
      <c r="AL2122" t="s">
        <v>1263</v>
      </c>
      <c r="AM2122">
        <v>0</v>
      </c>
      <c r="AP2122">
        <v>28</v>
      </c>
      <c r="AR2122" s="15" t="s">
        <v>1155</v>
      </c>
    </row>
    <row r="2123" spans="1:44" x14ac:dyDescent="0.2">
      <c r="A2123" t="s">
        <v>1378</v>
      </c>
      <c r="B2123" s="15" t="s">
        <v>1146</v>
      </c>
      <c r="C2123" s="15" t="s">
        <v>1149</v>
      </c>
      <c r="D2123" s="14" t="s">
        <v>475</v>
      </c>
      <c r="E2123" s="14" t="s">
        <v>3044</v>
      </c>
      <c r="G2123" s="15" t="s">
        <v>1165</v>
      </c>
      <c r="H2123" s="14" t="s">
        <v>1165</v>
      </c>
      <c r="I2123" s="14" t="s">
        <v>3033</v>
      </c>
      <c r="M2123" s="14" t="s">
        <v>3034</v>
      </c>
      <c r="O2123">
        <v>2004</v>
      </c>
      <c r="Q2123" t="s">
        <v>1329</v>
      </c>
      <c r="R2123">
        <v>14</v>
      </c>
      <c r="T2123" t="s">
        <v>3035</v>
      </c>
      <c r="U2123" s="14" t="s">
        <v>1246</v>
      </c>
      <c r="V2123" s="9" t="s">
        <v>3036</v>
      </c>
      <c r="W2123">
        <v>30</v>
      </c>
      <c r="X2123" s="9" t="s">
        <v>3037</v>
      </c>
      <c r="Z2123" s="5"/>
      <c r="AD2123" s="14" t="s">
        <v>1165</v>
      </c>
      <c r="AF2123" t="s">
        <v>1165</v>
      </c>
      <c r="AI2123" t="s">
        <v>1165</v>
      </c>
      <c r="AJ2123" s="15" t="s">
        <v>1148</v>
      </c>
      <c r="AK2123" s="15">
        <v>0</v>
      </c>
      <c r="AL2123" t="s">
        <v>1263</v>
      </c>
      <c r="AM2123">
        <v>0</v>
      </c>
      <c r="AP2123">
        <v>56</v>
      </c>
      <c r="AR2123" s="15" t="s">
        <v>1155</v>
      </c>
    </row>
    <row r="2124" spans="1:44" x14ac:dyDescent="0.2">
      <c r="A2124" t="s">
        <v>1378</v>
      </c>
      <c r="B2124" s="15" t="s">
        <v>1146</v>
      </c>
      <c r="C2124" s="15" t="s">
        <v>1149</v>
      </c>
      <c r="D2124" s="14" t="s">
        <v>475</v>
      </c>
      <c r="E2124" s="14" t="s">
        <v>3044</v>
      </c>
      <c r="G2124" s="15" t="s">
        <v>1165</v>
      </c>
      <c r="H2124" s="14" t="s">
        <v>1165</v>
      </c>
      <c r="I2124" s="14" t="s">
        <v>3033</v>
      </c>
      <c r="M2124" s="14" t="s">
        <v>3034</v>
      </c>
      <c r="O2124">
        <v>2004</v>
      </c>
      <c r="Q2124" t="s">
        <v>1329</v>
      </c>
      <c r="R2124">
        <v>14</v>
      </c>
      <c r="T2124" t="s">
        <v>3035</v>
      </c>
      <c r="U2124" s="14" t="s">
        <v>1246</v>
      </c>
      <c r="V2124" s="9" t="s">
        <v>3036</v>
      </c>
      <c r="W2124">
        <v>60</v>
      </c>
      <c r="X2124" s="9" t="s">
        <v>3037</v>
      </c>
      <c r="Z2124" s="5"/>
      <c r="AD2124" s="14" t="s">
        <v>1165</v>
      </c>
      <c r="AF2124" t="s">
        <v>1165</v>
      </c>
      <c r="AI2124" t="s">
        <v>1165</v>
      </c>
      <c r="AJ2124" s="15" t="s">
        <v>1148</v>
      </c>
      <c r="AK2124" s="15">
        <v>0</v>
      </c>
      <c r="AL2124" t="s">
        <v>1263</v>
      </c>
      <c r="AM2124">
        <v>0</v>
      </c>
      <c r="AP2124">
        <v>28</v>
      </c>
      <c r="AR2124" s="15" t="s">
        <v>1155</v>
      </c>
    </row>
    <row r="2125" spans="1:44" x14ac:dyDescent="0.2">
      <c r="A2125" t="s">
        <v>1378</v>
      </c>
      <c r="B2125" s="15" t="s">
        <v>1146</v>
      </c>
      <c r="C2125" s="15" t="s">
        <v>1149</v>
      </c>
      <c r="D2125" s="14" t="s">
        <v>475</v>
      </c>
      <c r="E2125" s="14" t="s">
        <v>3044</v>
      </c>
      <c r="G2125" s="15" t="s">
        <v>1165</v>
      </c>
      <c r="H2125" s="14" t="s">
        <v>1165</v>
      </c>
      <c r="I2125" s="14" t="s">
        <v>3033</v>
      </c>
      <c r="M2125" s="14" t="s">
        <v>3034</v>
      </c>
      <c r="O2125">
        <v>2004</v>
      </c>
      <c r="Q2125" t="s">
        <v>1329</v>
      </c>
      <c r="R2125">
        <v>14</v>
      </c>
      <c r="T2125" t="s">
        <v>3035</v>
      </c>
      <c r="U2125" s="14" t="s">
        <v>1246</v>
      </c>
      <c r="V2125" s="9" t="s">
        <v>3036</v>
      </c>
      <c r="W2125">
        <v>60</v>
      </c>
      <c r="X2125" s="9" t="s">
        <v>3037</v>
      </c>
      <c r="Z2125" s="5"/>
      <c r="AD2125" s="14" t="s">
        <v>1165</v>
      </c>
      <c r="AF2125" t="s">
        <v>1165</v>
      </c>
      <c r="AI2125" t="s">
        <v>1165</v>
      </c>
      <c r="AJ2125" s="15" t="s">
        <v>1148</v>
      </c>
      <c r="AK2125" s="15">
        <v>3.6989999999999998</v>
      </c>
      <c r="AL2125" t="s">
        <v>1263</v>
      </c>
      <c r="AM2125">
        <f>5.548-3.699</f>
        <v>1.8490000000000002</v>
      </c>
      <c r="AP2125">
        <v>56</v>
      </c>
      <c r="AR2125" s="15" t="s">
        <v>1155</v>
      </c>
    </row>
    <row r="2126" spans="1:44" x14ac:dyDescent="0.2">
      <c r="A2126" t="s">
        <v>1378</v>
      </c>
      <c r="B2126" s="15" t="s">
        <v>1146</v>
      </c>
      <c r="C2126" s="15" t="s">
        <v>1149</v>
      </c>
      <c r="D2126" s="14" t="s">
        <v>475</v>
      </c>
      <c r="E2126" s="14" t="s">
        <v>3044</v>
      </c>
      <c r="G2126" s="15" t="s">
        <v>1165</v>
      </c>
      <c r="H2126" s="14" t="s">
        <v>1165</v>
      </c>
      <c r="I2126" s="14" t="s">
        <v>3033</v>
      </c>
      <c r="M2126" s="14" t="s">
        <v>3034</v>
      </c>
      <c r="O2126">
        <v>2004</v>
      </c>
      <c r="Q2126" t="s">
        <v>1329</v>
      </c>
      <c r="R2126">
        <v>14</v>
      </c>
      <c r="T2126" t="s">
        <v>3035</v>
      </c>
      <c r="U2126" s="14" t="s">
        <v>1246</v>
      </c>
      <c r="V2126" s="9" t="s">
        <v>3036</v>
      </c>
      <c r="W2126">
        <v>90</v>
      </c>
      <c r="X2126" s="9" t="s">
        <v>3037</v>
      </c>
      <c r="Z2126" s="5"/>
      <c r="AD2126" s="14" t="s">
        <v>1165</v>
      </c>
      <c r="AF2126" t="s">
        <v>1165</v>
      </c>
      <c r="AI2126" t="s">
        <v>1165</v>
      </c>
      <c r="AJ2126" s="15" t="s">
        <v>1148</v>
      </c>
      <c r="AK2126" s="15">
        <v>0</v>
      </c>
      <c r="AL2126" t="s">
        <v>1263</v>
      </c>
      <c r="AM2126">
        <v>0</v>
      </c>
      <c r="AP2126">
        <v>28</v>
      </c>
      <c r="AR2126" s="15" t="s">
        <v>1155</v>
      </c>
    </row>
    <row r="2127" spans="1:44" x14ac:dyDescent="0.2">
      <c r="A2127" t="s">
        <v>1378</v>
      </c>
      <c r="B2127" s="15" t="s">
        <v>1146</v>
      </c>
      <c r="C2127" s="15" t="s">
        <v>1149</v>
      </c>
      <c r="D2127" s="14" t="s">
        <v>475</v>
      </c>
      <c r="E2127" s="14" t="s">
        <v>3044</v>
      </c>
      <c r="G2127" s="15" t="s">
        <v>1165</v>
      </c>
      <c r="H2127" s="14" t="s">
        <v>1165</v>
      </c>
      <c r="I2127" s="14" t="s">
        <v>3033</v>
      </c>
      <c r="M2127" s="14" t="s">
        <v>3034</v>
      </c>
      <c r="O2127">
        <v>2004</v>
      </c>
      <c r="Q2127" t="s">
        <v>1329</v>
      </c>
      <c r="R2127">
        <v>14</v>
      </c>
      <c r="T2127" t="s">
        <v>3035</v>
      </c>
      <c r="U2127" s="14" t="s">
        <v>1246</v>
      </c>
      <c r="V2127" s="9" t="s">
        <v>3036</v>
      </c>
      <c r="W2127">
        <v>90</v>
      </c>
      <c r="X2127" s="9" t="s">
        <v>3037</v>
      </c>
      <c r="Z2127" s="5"/>
      <c r="AD2127" s="14" t="s">
        <v>1165</v>
      </c>
      <c r="AF2127" t="s">
        <v>1165</v>
      </c>
      <c r="AI2127" t="s">
        <v>1165</v>
      </c>
      <c r="AJ2127" s="15" t="s">
        <v>1148</v>
      </c>
      <c r="AK2127" s="15">
        <v>60.822000000000003</v>
      </c>
      <c r="AL2127" t="s">
        <v>1263</v>
      </c>
      <c r="AM2127">
        <f>66.918-60.822</f>
        <v>6.0960000000000036</v>
      </c>
      <c r="AP2127">
        <v>56</v>
      </c>
      <c r="AR2127" s="15" t="s">
        <v>1155</v>
      </c>
    </row>
    <row r="2128" spans="1:44" x14ac:dyDescent="0.2">
      <c r="A2128" t="s">
        <v>1378</v>
      </c>
      <c r="B2128" s="15" t="s">
        <v>1146</v>
      </c>
      <c r="C2128" s="15" t="s">
        <v>1149</v>
      </c>
      <c r="D2128" s="14" t="s">
        <v>475</v>
      </c>
      <c r="E2128" s="14" t="s">
        <v>3044</v>
      </c>
      <c r="G2128" s="15" t="s">
        <v>1165</v>
      </c>
      <c r="H2128" s="14" t="s">
        <v>1165</v>
      </c>
      <c r="I2128" s="14" t="s">
        <v>3033</v>
      </c>
      <c r="M2128" s="14" t="s">
        <v>3034</v>
      </c>
      <c r="O2128">
        <v>2004</v>
      </c>
      <c r="Q2128" t="s">
        <v>1329</v>
      </c>
      <c r="R2128">
        <v>14</v>
      </c>
      <c r="T2128" t="s">
        <v>3035</v>
      </c>
      <c r="U2128" s="14" t="s">
        <v>1246</v>
      </c>
      <c r="V2128" s="9" t="s">
        <v>3036</v>
      </c>
      <c r="W2128">
        <v>120</v>
      </c>
      <c r="X2128" s="9" t="s">
        <v>3037</v>
      </c>
      <c r="Z2128" s="5"/>
      <c r="AD2128" s="14" t="s">
        <v>1165</v>
      </c>
      <c r="AF2128" t="s">
        <v>1165</v>
      </c>
      <c r="AI2128" t="s">
        <v>1165</v>
      </c>
      <c r="AJ2128" s="15" t="s">
        <v>1148</v>
      </c>
      <c r="AK2128" s="15">
        <v>0</v>
      </c>
      <c r="AL2128" t="s">
        <v>1263</v>
      </c>
      <c r="AM2128">
        <v>0</v>
      </c>
      <c r="AP2128">
        <v>28</v>
      </c>
      <c r="AR2128" s="15" t="s">
        <v>1155</v>
      </c>
    </row>
    <row r="2129" spans="1:44" x14ac:dyDescent="0.2">
      <c r="A2129" t="s">
        <v>1378</v>
      </c>
      <c r="B2129" s="15" t="s">
        <v>1146</v>
      </c>
      <c r="C2129" s="15" t="s">
        <v>1149</v>
      </c>
      <c r="D2129" s="14" t="s">
        <v>475</v>
      </c>
      <c r="E2129" s="14" t="s">
        <v>3044</v>
      </c>
      <c r="G2129" s="15" t="s">
        <v>1165</v>
      </c>
      <c r="H2129" s="14" t="s">
        <v>1165</v>
      </c>
      <c r="I2129" s="14" t="s">
        <v>3033</v>
      </c>
      <c r="M2129" s="14" t="s">
        <v>3034</v>
      </c>
      <c r="O2129">
        <v>2004</v>
      </c>
      <c r="Q2129" t="s">
        <v>1329</v>
      </c>
      <c r="R2129">
        <v>14</v>
      </c>
      <c r="T2129" t="s">
        <v>3035</v>
      </c>
      <c r="U2129" s="14" t="s">
        <v>1246</v>
      </c>
      <c r="V2129" s="9" t="s">
        <v>3036</v>
      </c>
      <c r="W2129">
        <v>120</v>
      </c>
      <c r="X2129" s="9" t="s">
        <v>3037</v>
      </c>
      <c r="Z2129" s="5"/>
      <c r="AD2129" s="14" t="s">
        <v>1165</v>
      </c>
      <c r="AF2129" t="s">
        <v>1165</v>
      </c>
      <c r="AI2129" t="s">
        <v>1165</v>
      </c>
      <c r="AJ2129" s="15" t="s">
        <v>1148</v>
      </c>
      <c r="AK2129" s="15">
        <v>71.507000000000005</v>
      </c>
      <c r="AL2129" t="s">
        <v>1263</v>
      </c>
      <c r="AM2129">
        <f>76.507-71.507</f>
        <v>5</v>
      </c>
      <c r="AP2129">
        <v>56</v>
      </c>
      <c r="AR2129" s="15" t="s">
        <v>1155</v>
      </c>
    </row>
    <row r="2130" spans="1:44" x14ac:dyDescent="0.2">
      <c r="A2130" t="s">
        <v>1378</v>
      </c>
      <c r="B2130" s="15" t="s">
        <v>1146</v>
      </c>
      <c r="C2130" s="15" t="s">
        <v>1149</v>
      </c>
      <c r="D2130" s="14" t="s">
        <v>475</v>
      </c>
      <c r="E2130" s="14" t="s">
        <v>3044</v>
      </c>
      <c r="G2130" s="15" t="s">
        <v>1165</v>
      </c>
      <c r="H2130" s="14" t="s">
        <v>1165</v>
      </c>
      <c r="I2130" s="14" t="s">
        <v>3033</v>
      </c>
      <c r="M2130" s="14" t="s">
        <v>3034</v>
      </c>
      <c r="O2130">
        <v>2004</v>
      </c>
      <c r="Q2130" t="s">
        <v>1329</v>
      </c>
      <c r="R2130">
        <v>14</v>
      </c>
      <c r="T2130" t="s">
        <v>3035</v>
      </c>
      <c r="U2130" s="14" t="s">
        <v>1246</v>
      </c>
      <c r="V2130" s="9" t="s">
        <v>3036</v>
      </c>
      <c r="W2130">
        <v>150</v>
      </c>
      <c r="X2130" s="9" t="s">
        <v>3037</v>
      </c>
      <c r="Z2130" s="5"/>
      <c r="AD2130" s="14" t="s">
        <v>1165</v>
      </c>
      <c r="AF2130" t="s">
        <v>1165</v>
      </c>
      <c r="AI2130" t="s">
        <v>1165</v>
      </c>
      <c r="AJ2130" s="15" t="s">
        <v>1148</v>
      </c>
      <c r="AK2130" s="15">
        <v>13.218999999999999</v>
      </c>
      <c r="AL2130" t="s">
        <v>1263</v>
      </c>
      <c r="AM2130">
        <f>16.781-13.219</f>
        <v>3.5619999999999994</v>
      </c>
      <c r="AP2130">
        <v>28</v>
      </c>
      <c r="AR2130" s="15" t="s">
        <v>1155</v>
      </c>
    </row>
    <row r="2131" spans="1:44" x14ac:dyDescent="0.2">
      <c r="A2131" t="s">
        <v>1378</v>
      </c>
      <c r="B2131" s="15" t="s">
        <v>1146</v>
      </c>
      <c r="C2131" s="15" t="s">
        <v>1149</v>
      </c>
      <c r="D2131" s="14" t="s">
        <v>475</v>
      </c>
      <c r="E2131" s="14" t="s">
        <v>3044</v>
      </c>
      <c r="G2131" s="15" t="s">
        <v>1165</v>
      </c>
      <c r="H2131" s="14" t="s">
        <v>1165</v>
      </c>
      <c r="I2131" s="14" t="s">
        <v>3033</v>
      </c>
      <c r="M2131" s="14" t="s">
        <v>3034</v>
      </c>
      <c r="O2131">
        <v>2004</v>
      </c>
      <c r="Q2131" t="s">
        <v>1329</v>
      </c>
      <c r="R2131">
        <v>14</v>
      </c>
      <c r="T2131" t="s">
        <v>3035</v>
      </c>
      <c r="U2131" s="14" t="s">
        <v>1246</v>
      </c>
      <c r="V2131" s="9" t="s">
        <v>3036</v>
      </c>
      <c r="W2131">
        <v>150</v>
      </c>
      <c r="X2131" s="9" t="s">
        <v>3037</v>
      </c>
      <c r="Z2131" s="5"/>
      <c r="AD2131" s="14" t="s">
        <v>1165</v>
      </c>
      <c r="AF2131" t="s">
        <v>1165</v>
      </c>
      <c r="AI2131" t="s">
        <v>1165</v>
      </c>
      <c r="AJ2131" s="15" t="s">
        <v>1148</v>
      </c>
      <c r="AK2131" s="15">
        <v>85.822000000000003</v>
      </c>
      <c r="AL2131" t="s">
        <v>1263</v>
      </c>
      <c r="AM2131">
        <f>93.219-85.822</f>
        <v>7.3969999999999914</v>
      </c>
      <c r="AP2131">
        <v>56</v>
      </c>
      <c r="AR2131" s="15" t="s">
        <v>1155</v>
      </c>
    </row>
    <row r="2132" spans="1:44" x14ac:dyDescent="0.2">
      <c r="A2132" t="s">
        <v>1378</v>
      </c>
      <c r="B2132" s="15" t="s">
        <v>1146</v>
      </c>
      <c r="C2132" s="15" t="s">
        <v>1149</v>
      </c>
      <c r="D2132" s="14" t="s">
        <v>475</v>
      </c>
      <c r="E2132" s="14" t="s">
        <v>3044</v>
      </c>
      <c r="G2132" s="15" t="s">
        <v>1165</v>
      </c>
      <c r="H2132" s="14" t="s">
        <v>1165</v>
      </c>
      <c r="I2132" s="14" t="s">
        <v>3033</v>
      </c>
      <c r="M2132" s="14" t="s">
        <v>3034</v>
      </c>
      <c r="O2132">
        <v>2004</v>
      </c>
      <c r="Q2132" t="s">
        <v>1329</v>
      </c>
      <c r="R2132">
        <v>14</v>
      </c>
      <c r="T2132" t="s">
        <v>3035</v>
      </c>
      <c r="U2132" s="14" t="s">
        <v>1246</v>
      </c>
      <c r="V2132" s="9" t="s">
        <v>3036</v>
      </c>
      <c r="W2132">
        <v>180</v>
      </c>
      <c r="X2132" s="9" t="s">
        <v>3037</v>
      </c>
      <c r="Z2132" s="5"/>
      <c r="AD2132" s="14" t="s">
        <v>1165</v>
      </c>
      <c r="AF2132" t="s">
        <v>1165</v>
      </c>
      <c r="AI2132" t="s">
        <v>1165</v>
      </c>
      <c r="AJ2132" s="15" t="s">
        <v>1148</v>
      </c>
      <c r="AK2132" s="15">
        <v>14.315</v>
      </c>
      <c r="AL2132" t="s">
        <v>1263</v>
      </c>
      <c r="AM2132">
        <f>16.233-14.315</f>
        <v>1.918000000000001</v>
      </c>
      <c r="AP2132">
        <v>28</v>
      </c>
      <c r="AR2132" s="15" t="s">
        <v>1155</v>
      </c>
    </row>
    <row r="2133" spans="1:44" x14ac:dyDescent="0.2">
      <c r="A2133" t="s">
        <v>1378</v>
      </c>
      <c r="B2133" s="15" t="s">
        <v>1146</v>
      </c>
      <c r="C2133" s="15" t="s">
        <v>1149</v>
      </c>
      <c r="D2133" s="14" t="s">
        <v>475</v>
      </c>
      <c r="E2133" s="14" t="s">
        <v>3044</v>
      </c>
      <c r="G2133" s="15" t="s">
        <v>1165</v>
      </c>
      <c r="H2133" s="14" t="s">
        <v>1165</v>
      </c>
      <c r="I2133" s="14" t="s">
        <v>3033</v>
      </c>
      <c r="M2133" s="14" t="s">
        <v>3034</v>
      </c>
      <c r="O2133">
        <v>2004</v>
      </c>
      <c r="Q2133" t="s">
        <v>1329</v>
      </c>
      <c r="R2133">
        <v>14</v>
      </c>
      <c r="T2133" t="s">
        <v>3035</v>
      </c>
      <c r="U2133" s="14" t="s">
        <v>1246</v>
      </c>
      <c r="V2133" s="9" t="s">
        <v>3036</v>
      </c>
      <c r="W2133">
        <v>180</v>
      </c>
      <c r="X2133" s="9" t="s">
        <v>3037</v>
      </c>
      <c r="Z2133" s="5"/>
      <c r="AD2133" s="14" t="s">
        <v>1165</v>
      </c>
      <c r="AF2133" t="s">
        <v>1165</v>
      </c>
      <c r="AI2133" t="s">
        <v>1165</v>
      </c>
      <c r="AJ2133" s="15" t="s">
        <v>1148</v>
      </c>
      <c r="AK2133" s="15">
        <v>99.040999999999997</v>
      </c>
      <c r="AL2133" t="s">
        <v>1263</v>
      </c>
      <c r="AM2133">
        <f>104.726-99.041</f>
        <v>5.6850000000000023</v>
      </c>
      <c r="AP2133">
        <v>56</v>
      </c>
      <c r="AR2133" s="15" t="s">
        <v>1155</v>
      </c>
    </row>
    <row r="2134" spans="1:44" x14ac:dyDescent="0.2">
      <c r="A2134" t="s">
        <v>1378</v>
      </c>
      <c r="B2134" s="15" t="s">
        <v>1146</v>
      </c>
      <c r="C2134" s="15" t="s">
        <v>1149</v>
      </c>
      <c r="D2134" s="14" t="s">
        <v>475</v>
      </c>
      <c r="E2134" s="14" t="s">
        <v>3044</v>
      </c>
      <c r="G2134" s="15" t="s">
        <v>1165</v>
      </c>
      <c r="H2134" s="14" t="s">
        <v>1165</v>
      </c>
      <c r="I2134" s="14" t="s">
        <v>3033</v>
      </c>
      <c r="M2134" s="14" t="s">
        <v>3034</v>
      </c>
      <c r="O2134">
        <v>2004</v>
      </c>
      <c r="Q2134" t="s">
        <v>1329</v>
      </c>
      <c r="R2134">
        <v>14</v>
      </c>
      <c r="T2134" t="s">
        <v>3035</v>
      </c>
      <c r="U2134" s="14" t="s">
        <v>1246</v>
      </c>
      <c r="V2134" s="9" t="s">
        <v>3036</v>
      </c>
      <c r="W2134">
        <v>0</v>
      </c>
      <c r="X2134" s="9" t="s">
        <v>3038</v>
      </c>
      <c r="Z2134" s="5"/>
      <c r="AD2134" s="14" t="s">
        <v>1165</v>
      </c>
      <c r="AF2134" t="s">
        <v>1165</v>
      </c>
      <c r="AI2134" t="s">
        <v>1165</v>
      </c>
      <c r="AJ2134" s="15" t="s">
        <v>1148</v>
      </c>
      <c r="AK2134" s="15">
        <v>0</v>
      </c>
      <c r="AL2134" t="s">
        <v>1263</v>
      </c>
      <c r="AM2134">
        <v>0</v>
      </c>
      <c r="AP2134">
        <v>28</v>
      </c>
      <c r="AR2134" s="15" t="s">
        <v>1155</v>
      </c>
    </row>
    <row r="2135" spans="1:44" x14ac:dyDescent="0.2">
      <c r="A2135" t="s">
        <v>1378</v>
      </c>
      <c r="B2135" s="15" t="s">
        <v>1146</v>
      </c>
      <c r="C2135" s="15" t="s">
        <v>1149</v>
      </c>
      <c r="D2135" s="14" t="s">
        <v>475</v>
      </c>
      <c r="E2135" s="14" t="s">
        <v>3044</v>
      </c>
      <c r="G2135" s="15" t="s">
        <v>1165</v>
      </c>
      <c r="H2135" s="14" t="s">
        <v>1165</v>
      </c>
      <c r="I2135" s="14" t="s">
        <v>3033</v>
      </c>
      <c r="M2135" s="14" t="s">
        <v>3034</v>
      </c>
      <c r="O2135">
        <v>2004</v>
      </c>
      <c r="Q2135" t="s">
        <v>1329</v>
      </c>
      <c r="R2135">
        <v>14</v>
      </c>
      <c r="T2135" t="s">
        <v>3035</v>
      </c>
      <c r="U2135" s="14" t="s">
        <v>1246</v>
      </c>
      <c r="V2135" s="9" t="s">
        <v>3036</v>
      </c>
      <c r="W2135">
        <v>0</v>
      </c>
      <c r="X2135" s="9" t="s">
        <v>3038</v>
      </c>
      <c r="Z2135" s="5"/>
      <c r="AD2135" s="14" t="s">
        <v>1165</v>
      </c>
      <c r="AF2135" t="s">
        <v>1165</v>
      </c>
      <c r="AI2135" t="s">
        <v>1165</v>
      </c>
      <c r="AJ2135" s="15" t="s">
        <v>1148</v>
      </c>
      <c r="AK2135" s="15">
        <v>0</v>
      </c>
      <c r="AL2135" t="s">
        <v>1263</v>
      </c>
      <c r="AM2135">
        <v>0</v>
      </c>
      <c r="AP2135">
        <v>56</v>
      </c>
      <c r="AR2135" s="15" t="s">
        <v>1155</v>
      </c>
    </row>
    <row r="2136" spans="1:44" x14ac:dyDescent="0.2">
      <c r="A2136" t="s">
        <v>1378</v>
      </c>
      <c r="B2136" s="15" t="s">
        <v>1146</v>
      </c>
      <c r="C2136" s="15" t="s">
        <v>1149</v>
      </c>
      <c r="D2136" s="14" t="s">
        <v>475</v>
      </c>
      <c r="E2136" s="14" t="s">
        <v>3044</v>
      </c>
      <c r="G2136" s="15" t="s">
        <v>1165</v>
      </c>
      <c r="H2136" s="14" t="s">
        <v>1165</v>
      </c>
      <c r="I2136" s="14" t="s">
        <v>3033</v>
      </c>
      <c r="M2136" s="14" t="s">
        <v>3034</v>
      </c>
      <c r="O2136">
        <v>2004</v>
      </c>
      <c r="Q2136" t="s">
        <v>1329</v>
      </c>
      <c r="R2136">
        <v>14</v>
      </c>
      <c r="T2136" t="s">
        <v>3035</v>
      </c>
      <c r="U2136" s="14" t="s">
        <v>1246</v>
      </c>
      <c r="V2136" s="9" t="s">
        <v>3036</v>
      </c>
      <c r="W2136">
        <v>15</v>
      </c>
      <c r="X2136" s="9" t="s">
        <v>3038</v>
      </c>
      <c r="Z2136" s="5"/>
      <c r="AD2136" s="14" t="s">
        <v>1165</v>
      </c>
      <c r="AF2136" t="s">
        <v>1165</v>
      </c>
      <c r="AI2136" t="s">
        <v>1165</v>
      </c>
      <c r="AJ2136" s="15" t="s">
        <v>1148</v>
      </c>
      <c r="AK2136" s="15">
        <v>1.6439999999999999</v>
      </c>
      <c r="AL2136" t="s">
        <v>1263</v>
      </c>
      <c r="AM2136">
        <f>2.945-1.644</f>
        <v>1.3009999999999999</v>
      </c>
      <c r="AP2136">
        <v>28</v>
      </c>
      <c r="AR2136" s="15" t="s">
        <v>1155</v>
      </c>
    </row>
    <row r="2137" spans="1:44" x14ac:dyDescent="0.2">
      <c r="A2137" t="s">
        <v>1378</v>
      </c>
      <c r="B2137" s="15" t="s">
        <v>1146</v>
      </c>
      <c r="C2137" s="15" t="s">
        <v>1149</v>
      </c>
      <c r="D2137" s="14" t="s">
        <v>475</v>
      </c>
      <c r="E2137" s="14" t="s">
        <v>3044</v>
      </c>
      <c r="G2137" s="15" t="s">
        <v>1165</v>
      </c>
      <c r="H2137" s="14" t="s">
        <v>1165</v>
      </c>
      <c r="I2137" s="14" t="s">
        <v>3033</v>
      </c>
      <c r="M2137" s="14" t="s">
        <v>3034</v>
      </c>
      <c r="O2137">
        <v>2004</v>
      </c>
      <c r="Q2137" t="s">
        <v>1329</v>
      </c>
      <c r="R2137">
        <v>14</v>
      </c>
      <c r="T2137" t="s">
        <v>3035</v>
      </c>
      <c r="U2137" s="14" t="s">
        <v>1246</v>
      </c>
      <c r="V2137" s="9" t="s">
        <v>3036</v>
      </c>
      <c r="W2137">
        <v>15</v>
      </c>
      <c r="X2137" s="9" t="s">
        <v>3038</v>
      </c>
      <c r="Z2137" s="5"/>
      <c r="AD2137" s="14" t="s">
        <v>1165</v>
      </c>
      <c r="AF2137" t="s">
        <v>1165</v>
      </c>
      <c r="AI2137" t="s">
        <v>1165</v>
      </c>
      <c r="AJ2137" s="15" t="s">
        <v>1148</v>
      </c>
      <c r="AK2137" s="15">
        <v>4.8630000000000004</v>
      </c>
      <c r="AL2137" t="s">
        <v>1263</v>
      </c>
      <c r="AM2137">
        <f>6.781-4.863</f>
        <v>1.9179999999999993</v>
      </c>
      <c r="AP2137">
        <v>56</v>
      </c>
      <c r="AR2137" s="15" t="s">
        <v>1155</v>
      </c>
    </row>
    <row r="2138" spans="1:44" x14ac:dyDescent="0.2">
      <c r="A2138" t="s">
        <v>1378</v>
      </c>
      <c r="B2138" s="15" t="s">
        <v>1146</v>
      </c>
      <c r="C2138" s="15" t="s">
        <v>1149</v>
      </c>
      <c r="D2138" s="14" t="s">
        <v>475</v>
      </c>
      <c r="E2138" s="14" t="s">
        <v>3044</v>
      </c>
      <c r="G2138" s="15" t="s">
        <v>1165</v>
      </c>
      <c r="H2138" s="14" t="s">
        <v>1165</v>
      </c>
      <c r="I2138" s="14" t="s">
        <v>3033</v>
      </c>
      <c r="M2138" s="14" t="s">
        <v>3034</v>
      </c>
      <c r="O2138">
        <v>2004</v>
      </c>
      <c r="Q2138" t="s">
        <v>1329</v>
      </c>
      <c r="R2138">
        <v>14</v>
      </c>
      <c r="T2138" t="s">
        <v>3035</v>
      </c>
      <c r="U2138" s="14" t="s">
        <v>1246</v>
      </c>
      <c r="V2138" s="9" t="s">
        <v>3036</v>
      </c>
      <c r="W2138">
        <v>30</v>
      </c>
      <c r="X2138" s="9" t="s">
        <v>3038</v>
      </c>
      <c r="Z2138" s="5"/>
      <c r="AD2138" s="14" t="s">
        <v>1165</v>
      </c>
      <c r="AF2138" t="s">
        <v>1165</v>
      </c>
      <c r="AI2138" t="s">
        <v>1165</v>
      </c>
      <c r="AJ2138" s="15" t="s">
        <v>1148</v>
      </c>
      <c r="AK2138" s="15">
        <v>20.753</v>
      </c>
      <c r="AL2138" t="s">
        <v>1263</v>
      </c>
      <c r="AM2138">
        <f>23.493-20.753</f>
        <v>2.7399999999999984</v>
      </c>
      <c r="AP2138">
        <v>28</v>
      </c>
      <c r="AR2138" s="15" t="s">
        <v>1155</v>
      </c>
    </row>
    <row r="2139" spans="1:44" x14ac:dyDescent="0.2">
      <c r="A2139" t="s">
        <v>1378</v>
      </c>
      <c r="B2139" s="15" t="s">
        <v>1146</v>
      </c>
      <c r="C2139" s="15" t="s">
        <v>1149</v>
      </c>
      <c r="D2139" s="14" t="s">
        <v>475</v>
      </c>
      <c r="E2139" s="14" t="s">
        <v>3044</v>
      </c>
      <c r="G2139" s="15" t="s">
        <v>1165</v>
      </c>
      <c r="H2139" s="14" t="s">
        <v>1165</v>
      </c>
      <c r="I2139" s="14" t="s">
        <v>3033</v>
      </c>
      <c r="M2139" s="14" t="s">
        <v>3034</v>
      </c>
      <c r="O2139">
        <v>2004</v>
      </c>
      <c r="Q2139" t="s">
        <v>1329</v>
      </c>
      <c r="R2139">
        <v>14</v>
      </c>
      <c r="T2139" t="s">
        <v>3035</v>
      </c>
      <c r="U2139" s="14" t="s">
        <v>1246</v>
      </c>
      <c r="V2139" s="9" t="s">
        <v>3036</v>
      </c>
      <c r="W2139">
        <v>30</v>
      </c>
      <c r="X2139" s="9" t="s">
        <v>3038</v>
      </c>
      <c r="Z2139" s="5"/>
      <c r="AD2139" s="14" t="s">
        <v>1165</v>
      </c>
      <c r="AF2139" t="s">
        <v>1165</v>
      </c>
      <c r="AI2139" t="s">
        <v>1165</v>
      </c>
      <c r="AJ2139" s="15" t="s">
        <v>1148</v>
      </c>
      <c r="AK2139" s="15">
        <v>28.151</v>
      </c>
      <c r="AL2139" t="s">
        <v>1263</v>
      </c>
      <c r="AM2139">
        <f>30.342-28.151</f>
        <v>2.1909999999999989</v>
      </c>
      <c r="AP2139">
        <v>56</v>
      </c>
      <c r="AR2139" s="15" t="s">
        <v>1155</v>
      </c>
    </row>
    <row r="2140" spans="1:44" x14ac:dyDescent="0.2">
      <c r="A2140" t="s">
        <v>1378</v>
      </c>
      <c r="B2140" s="15" t="s">
        <v>1146</v>
      </c>
      <c r="C2140" s="15" t="s">
        <v>1149</v>
      </c>
      <c r="D2140" s="14" t="s">
        <v>475</v>
      </c>
      <c r="E2140" s="14" t="s">
        <v>3044</v>
      </c>
      <c r="G2140" s="15" t="s">
        <v>1165</v>
      </c>
      <c r="H2140" s="14" t="s">
        <v>1165</v>
      </c>
      <c r="I2140" s="14" t="s">
        <v>3033</v>
      </c>
      <c r="M2140" s="14" t="s">
        <v>3034</v>
      </c>
      <c r="O2140">
        <v>2004</v>
      </c>
      <c r="Q2140" t="s">
        <v>1329</v>
      </c>
      <c r="R2140">
        <v>14</v>
      </c>
      <c r="T2140" t="s">
        <v>3035</v>
      </c>
      <c r="U2140" s="14" t="s">
        <v>1246</v>
      </c>
      <c r="V2140" s="9" t="s">
        <v>3036</v>
      </c>
      <c r="W2140">
        <v>60</v>
      </c>
      <c r="X2140" s="9" t="s">
        <v>3038</v>
      </c>
      <c r="Z2140" s="5"/>
      <c r="AD2140" s="14" t="s">
        <v>1165</v>
      </c>
      <c r="AF2140" t="s">
        <v>1165</v>
      </c>
      <c r="AI2140" t="s">
        <v>1165</v>
      </c>
      <c r="AJ2140" s="15" t="s">
        <v>1148</v>
      </c>
      <c r="AK2140" s="15">
        <v>41.095999999999997</v>
      </c>
      <c r="AL2140" t="s">
        <v>1263</v>
      </c>
      <c r="AM2140">
        <f>46.781-41.096</f>
        <v>5.6850000000000023</v>
      </c>
      <c r="AP2140">
        <v>28</v>
      </c>
      <c r="AR2140" s="15" t="s">
        <v>1155</v>
      </c>
    </row>
    <row r="2141" spans="1:44" x14ac:dyDescent="0.2">
      <c r="A2141" t="s">
        <v>1378</v>
      </c>
      <c r="B2141" s="15" t="s">
        <v>1146</v>
      </c>
      <c r="C2141" s="15" t="s">
        <v>1149</v>
      </c>
      <c r="D2141" s="14" t="s">
        <v>475</v>
      </c>
      <c r="E2141" s="14" t="s">
        <v>3044</v>
      </c>
      <c r="G2141" s="15" t="s">
        <v>1165</v>
      </c>
      <c r="H2141" s="14" t="s">
        <v>1165</v>
      </c>
      <c r="I2141" s="14" t="s">
        <v>3033</v>
      </c>
      <c r="M2141" s="14" t="s">
        <v>3034</v>
      </c>
      <c r="O2141">
        <v>2004</v>
      </c>
      <c r="Q2141" t="s">
        <v>1329</v>
      </c>
      <c r="R2141">
        <v>14</v>
      </c>
      <c r="T2141" t="s">
        <v>3035</v>
      </c>
      <c r="U2141" s="14" t="s">
        <v>1246</v>
      </c>
      <c r="V2141" s="9" t="s">
        <v>3036</v>
      </c>
      <c r="W2141">
        <v>60</v>
      </c>
      <c r="X2141" s="9" t="s">
        <v>3038</v>
      </c>
      <c r="Z2141" s="5"/>
      <c r="AD2141" s="14" t="s">
        <v>1165</v>
      </c>
      <c r="AF2141" t="s">
        <v>1165</v>
      </c>
      <c r="AI2141" t="s">
        <v>1165</v>
      </c>
      <c r="AJ2141" s="15" t="s">
        <v>1148</v>
      </c>
      <c r="AK2141" s="15">
        <v>61.575000000000003</v>
      </c>
      <c r="AL2141" t="s">
        <v>1263</v>
      </c>
      <c r="AM2141">
        <f>66.781-61.575</f>
        <v>5.2060000000000031</v>
      </c>
      <c r="AP2141">
        <v>56</v>
      </c>
      <c r="AR2141" s="15" t="s">
        <v>1155</v>
      </c>
    </row>
    <row r="2142" spans="1:44" x14ac:dyDescent="0.2">
      <c r="A2142" t="s">
        <v>1378</v>
      </c>
      <c r="B2142" s="15" t="s">
        <v>1146</v>
      </c>
      <c r="C2142" s="15" t="s">
        <v>1149</v>
      </c>
      <c r="D2142" s="14" t="s">
        <v>475</v>
      </c>
      <c r="E2142" s="14" t="s">
        <v>3044</v>
      </c>
      <c r="G2142" s="15" t="s">
        <v>1165</v>
      </c>
      <c r="H2142" s="14" t="s">
        <v>1165</v>
      </c>
      <c r="I2142" s="14" t="s">
        <v>3033</v>
      </c>
      <c r="M2142" s="14" t="s">
        <v>3034</v>
      </c>
      <c r="O2142">
        <v>2004</v>
      </c>
      <c r="Q2142" t="s">
        <v>1329</v>
      </c>
      <c r="R2142">
        <v>14</v>
      </c>
      <c r="T2142" t="s">
        <v>3035</v>
      </c>
      <c r="U2142" s="14" t="s">
        <v>1246</v>
      </c>
      <c r="V2142" s="9" t="s">
        <v>3036</v>
      </c>
      <c r="W2142">
        <v>90</v>
      </c>
      <c r="X2142" s="9" t="s">
        <v>3038</v>
      </c>
      <c r="Z2142" s="5"/>
      <c r="AD2142" s="14" t="s">
        <v>1165</v>
      </c>
      <c r="AF2142" t="s">
        <v>1165</v>
      </c>
      <c r="AI2142" t="s">
        <v>1165</v>
      </c>
      <c r="AJ2142" s="15" t="s">
        <v>1148</v>
      </c>
      <c r="AK2142" s="15">
        <v>59.658000000000001</v>
      </c>
      <c r="AL2142" t="s">
        <v>1263</v>
      </c>
      <c r="AM2142">
        <f>64.863-59.658</f>
        <v>5.2049999999999983</v>
      </c>
      <c r="AP2142">
        <v>28</v>
      </c>
      <c r="AR2142" s="15" t="s">
        <v>1155</v>
      </c>
    </row>
    <row r="2143" spans="1:44" x14ac:dyDescent="0.2">
      <c r="A2143" t="s">
        <v>1378</v>
      </c>
      <c r="B2143" s="15" t="s">
        <v>1146</v>
      </c>
      <c r="C2143" s="15" t="s">
        <v>1149</v>
      </c>
      <c r="D2143" s="14" t="s">
        <v>475</v>
      </c>
      <c r="E2143" s="14" t="s">
        <v>3044</v>
      </c>
      <c r="G2143" s="15" t="s">
        <v>1165</v>
      </c>
      <c r="H2143" s="14" t="s">
        <v>1165</v>
      </c>
      <c r="I2143" s="14" t="s">
        <v>3033</v>
      </c>
      <c r="M2143" s="14" t="s">
        <v>3034</v>
      </c>
      <c r="O2143">
        <v>2004</v>
      </c>
      <c r="Q2143" t="s">
        <v>1329</v>
      </c>
      <c r="R2143">
        <v>14</v>
      </c>
      <c r="T2143" t="s">
        <v>3035</v>
      </c>
      <c r="U2143" s="14" t="s">
        <v>1246</v>
      </c>
      <c r="V2143" s="9" t="s">
        <v>3036</v>
      </c>
      <c r="W2143">
        <v>90</v>
      </c>
      <c r="X2143" s="9" t="s">
        <v>3038</v>
      </c>
      <c r="Z2143" s="5"/>
      <c r="AD2143" s="14" t="s">
        <v>1165</v>
      </c>
      <c r="AF2143" t="s">
        <v>1165</v>
      </c>
      <c r="AI2143" t="s">
        <v>1165</v>
      </c>
      <c r="AJ2143" s="15" t="s">
        <v>1148</v>
      </c>
      <c r="AK2143" s="15">
        <v>71.164000000000001</v>
      </c>
      <c r="AL2143" t="s">
        <v>1263</v>
      </c>
      <c r="AM2143">
        <f>76.096-71.164</f>
        <v>4.9320000000000022</v>
      </c>
      <c r="AP2143">
        <v>56</v>
      </c>
      <c r="AR2143" s="15" t="s">
        <v>1155</v>
      </c>
    </row>
    <row r="2144" spans="1:44" x14ac:dyDescent="0.2">
      <c r="A2144" t="s">
        <v>1378</v>
      </c>
      <c r="B2144" s="15" t="s">
        <v>1146</v>
      </c>
      <c r="C2144" s="15" t="s">
        <v>1149</v>
      </c>
      <c r="D2144" s="14" t="s">
        <v>475</v>
      </c>
      <c r="E2144" s="14" t="s">
        <v>3044</v>
      </c>
      <c r="G2144" s="15" t="s">
        <v>1165</v>
      </c>
      <c r="H2144" s="14" t="s">
        <v>1165</v>
      </c>
      <c r="I2144" s="14" t="s">
        <v>3033</v>
      </c>
      <c r="M2144" s="14" t="s">
        <v>3034</v>
      </c>
      <c r="O2144">
        <v>2004</v>
      </c>
      <c r="Q2144" t="s">
        <v>1329</v>
      </c>
      <c r="R2144">
        <v>14</v>
      </c>
      <c r="T2144" t="s">
        <v>3035</v>
      </c>
      <c r="U2144" s="14" t="s">
        <v>1246</v>
      </c>
      <c r="V2144" s="9" t="s">
        <v>3036</v>
      </c>
      <c r="W2144">
        <v>120</v>
      </c>
      <c r="X2144" s="9" t="s">
        <v>3038</v>
      </c>
      <c r="Z2144" s="5"/>
      <c r="AD2144" s="14" t="s">
        <v>1165</v>
      </c>
      <c r="AF2144" t="s">
        <v>1165</v>
      </c>
      <c r="AI2144" t="s">
        <v>1165</v>
      </c>
      <c r="AJ2144" s="15" t="s">
        <v>1148</v>
      </c>
      <c r="AK2144" s="15">
        <v>78.081999999999994</v>
      </c>
      <c r="AL2144" t="s">
        <v>1263</v>
      </c>
      <c r="AM2144">
        <f>85.685-78.082</f>
        <v>7.6030000000000086</v>
      </c>
      <c r="AP2144">
        <v>28</v>
      </c>
      <c r="AR2144" s="15" t="s">
        <v>1155</v>
      </c>
    </row>
    <row r="2145" spans="1:44" x14ac:dyDescent="0.2">
      <c r="A2145" t="s">
        <v>1378</v>
      </c>
      <c r="B2145" s="15" t="s">
        <v>1146</v>
      </c>
      <c r="C2145" s="15" t="s">
        <v>1149</v>
      </c>
      <c r="D2145" s="14" t="s">
        <v>475</v>
      </c>
      <c r="E2145" s="14" t="s">
        <v>3044</v>
      </c>
      <c r="G2145" s="15" t="s">
        <v>1165</v>
      </c>
      <c r="H2145" s="14" t="s">
        <v>1165</v>
      </c>
      <c r="I2145" s="14" t="s">
        <v>3033</v>
      </c>
      <c r="M2145" s="14" t="s">
        <v>3034</v>
      </c>
      <c r="O2145">
        <v>2004</v>
      </c>
      <c r="Q2145" t="s">
        <v>1329</v>
      </c>
      <c r="R2145">
        <v>14</v>
      </c>
      <c r="T2145" t="s">
        <v>3035</v>
      </c>
      <c r="U2145" s="14" t="s">
        <v>1246</v>
      </c>
      <c r="V2145" s="9" t="s">
        <v>3036</v>
      </c>
      <c r="W2145">
        <v>120</v>
      </c>
      <c r="X2145" s="9" t="s">
        <v>3038</v>
      </c>
      <c r="Z2145" s="5"/>
      <c r="AD2145" s="14" t="s">
        <v>1165</v>
      </c>
      <c r="AF2145" t="s">
        <v>1165</v>
      </c>
      <c r="AI2145" t="s">
        <v>1165</v>
      </c>
      <c r="AJ2145" s="15" t="s">
        <v>1148</v>
      </c>
      <c r="AK2145" s="15">
        <v>84.863</v>
      </c>
      <c r="AL2145" t="s">
        <v>1263</v>
      </c>
      <c r="AM2145">
        <f>93.356-84.863</f>
        <v>8.492999999999995</v>
      </c>
      <c r="AP2145">
        <v>56</v>
      </c>
      <c r="AR2145" s="15" t="s">
        <v>1155</v>
      </c>
    </row>
    <row r="2146" spans="1:44" x14ac:dyDescent="0.2">
      <c r="A2146" t="s">
        <v>1378</v>
      </c>
      <c r="B2146" s="15" t="s">
        <v>1146</v>
      </c>
      <c r="C2146" s="15" t="s">
        <v>1149</v>
      </c>
      <c r="D2146" s="14" t="s">
        <v>475</v>
      </c>
      <c r="E2146" s="14" t="s">
        <v>3044</v>
      </c>
      <c r="G2146" s="15" t="s">
        <v>1165</v>
      </c>
      <c r="H2146" s="14" t="s">
        <v>1165</v>
      </c>
      <c r="I2146" s="14" t="s">
        <v>3033</v>
      </c>
      <c r="M2146" s="14" t="s">
        <v>3034</v>
      </c>
      <c r="O2146">
        <v>2004</v>
      </c>
      <c r="Q2146" t="s">
        <v>1329</v>
      </c>
      <c r="R2146">
        <v>14</v>
      </c>
      <c r="T2146" t="s">
        <v>3035</v>
      </c>
      <c r="U2146" s="14" t="s">
        <v>1246</v>
      </c>
      <c r="V2146" s="9" t="s">
        <v>3036</v>
      </c>
      <c r="W2146">
        <v>150</v>
      </c>
      <c r="X2146" s="9" t="s">
        <v>3038</v>
      </c>
      <c r="Z2146" s="5"/>
      <c r="AD2146" s="14" t="s">
        <v>1165</v>
      </c>
      <c r="AF2146" t="s">
        <v>1165</v>
      </c>
      <c r="AI2146" t="s">
        <v>1165</v>
      </c>
      <c r="AJ2146" s="15" t="s">
        <v>1148</v>
      </c>
      <c r="AK2146" s="15">
        <v>84.040999999999997</v>
      </c>
      <c r="AL2146" t="s">
        <v>1263</v>
      </c>
      <c r="AM2146">
        <f>91.164-84.041</f>
        <v>7.1230000000000047</v>
      </c>
      <c r="AP2146">
        <v>28</v>
      </c>
      <c r="AR2146" s="15" t="s">
        <v>1155</v>
      </c>
    </row>
    <row r="2147" spans="1:44" x14ac:dyDescent="0.2">
      <c r="A2147" t="s">
        <v>1378</v>
      </c>
      <c r="B2147" s="15" t="s">
        <v>1146</v>
      </c>
      <c r="C2147" s="15" t="s">
        <v>1149</v>
      </c>
      <c r="D2147" s="14" t="s">
        <v>475</v>
      </c>
      <c r="E2147" s="14" t="s">
        <v>3044</v>
      </c>
      <c r="G2147" s="15" t="s">
        <v>1165</v>
      </c>
      <c r="H2147" s="14" t="s">
        <v>1165</v>
      </c>
      <c r="I2147" s="14" t="s">
        <v>3033</v>
      </c>
      <c r="M2147" s="14" t="s">
        <v>3034</v>
      </c>
      <c r="O2147">
        <v>2004</v>
      </c>
      <c r="Q2147" t="s">
        <v>1329</v>
      </c>
      <c r="R2147">
        <v>14</v>
      </c>
      <c r="T2147" t="s">
        <v>3035</v>
      </c>
      <c r="U2147" s="14" t="s">
        <v>1246</v>
      </c>
      <c r="V2147" s="9" t="s">
        <v>3036</v>
      </c>
      <c r="W2147">
        <v>150</v>
      </c>
      <c r="X2147" s="9" t="s">
        <v>3038</v>
      </c>
      <c r="Z2147" s="5"/>
      <c r="AD2147" s="14" t="s">
        <v>1165</v>
      </c>
      <c r="AF2147" t="s">
        <v>1165</v>
      </c>
      <c r="AI2147" t="s">
        <v>1165</v>
      </c>
      <c r="AJ2147" s="15" t="s">
        <v>1148</v>
      </c>
      <c r="AK2147" s="15">
        <v>95.274000000000001</v>
      </c>
      <c r="AL2147" t="s">
        <v>1263</v>
      </c>
      <c r="AM2147">
        <f>105.685-95.274</f>
        <v>10.411000000000001</v>
      </c>
      <c r="AP2147">
        <v>56</v>
      </c>
      <c r="AR2147" s="15" t="s">
        <v>1155</v>
      </c>
    </row>
    <row r="2148" spans="1:44" x14ac:dyDescent="0.2">
      <c r="A2148" t="s">
        <v>1378</v>
      </c>
      <c r="B2148" s="15" t="s">
        <v>1146</v>
      </c>
      <c r="C2148" s="15" t="s">
        <v>1149</v>
      </c>
      <c r="D2148" s="14" t="s">
        <v>475</v>
      </c>
      <c r="E2148" s="14" t="s">
        <v>3044</v>
      </c>
      <c r="G2148" s="15" t="s">
        <v>1165</v>
      </c>
      <c r="H2148" s="14" t="s">
        <v>1165</v>
      </c>
      <c r="I2148" s="14" t="s">
        <v>3033</v>
      </c>
      <c r="M2148" s="14" t="s">
        <v>3034</v>
      </c>
      <c r="O2148">
        <v>2004</v>
      </c>
      <c r="Q2148" t="s">
        <v>1329</v>
      </c>
      <c r="R2148">
        <v>14</v>
      </c>
      <c r="T2148" t="s">
        <v>3035</v>
      </c>
      <c r="U2148" s="14" t="s">
        <v>1246</v>
      </c>
      <c r="V2148" s="9" t="s">
        <v>3036</v>
      </c>
      <c r="W2148">
        <v>180</v>
      </c>
      <c r="X2148" s="9" t="s">
        <v>3038</v>
      </c>
      <c r="Z2148" s="5"/>
      <c r="AD2148" s="14" t="s">
        <v>1165</v>
      </c>
      <c r="AF2148" t="s">
        <v>1165</v>
      </c>
      <c r="AI2148" t="s">
        <v>1165</v>
      </c>
      <c r="AJ2148" s="15" t="s">
        <v>1148</v>
      </c>
      <c r="AK2148" s="15">
        <v>78.835999999999999</v>
      </c>
      <c r="AL2148" t="s">
        <v>1263</v>
      </c>
      <c r="AM2148">
        <f>81.301-78.836</f>
        <v>2.4650000000000034</v>
      </c>
      <c r="AP2148">
        <v>28</v>
      </c>
      <c r="AR2148" s="15" t="s">
        <v>1155</v>
      </c>
    </row>
    <row r="2149" spans="1:44" x14ac:dyDescent="0.2">
      <c r="A2149" t="s">
        <v>1378</v>
      </c>
      <c r="B2149" s="15" t="s">
        <v>1146</v>
      </c>
      <c r="C2149" s="15" t="s">
        <v>1149</v>
      </c>
      <c r="D2149" s="14" t="s">
        <v>475</v>
      </c>
      <c r="E2149" s="14" t="s">
        <v>3044</v>
      </c>
      <c r="G2149" s="15" t="s">
        <v>1165</v>
      </c>
      <c r="H2149" s="14" t="s">
        <v>1165</v>
      </c>
      <c r="I2149" s="14" t="s">
        <v>3033</v>
      </c>
      <c r="M2149" s="14" t="s">
        <v>3034</v>
      </c>
      <c r="O2149">
        <v>2004</v>
      </c>
      <c r="Q2149" t="s">
        <v>1329</v>
      </c>
      <c r="R2149">
        <v>14</v>
      </c>
      <c r="T2149" t="s">
        <v>3035</v>
      </c>
      <c r="U2149" s="14" t="s">
        <v>1246</v>
      </c>
      <c r="V2149" s="9" t="s">
        <v>3036</v>
      </c>
      <c r="W2149">
        <v>180</v>
      </c>
      <c r="X2149" s="9" t="s">
        <v>3038</v>
      </c>
      <c r="Z2149" s="5"/>
      <c r="AD2149" s="14" t="s">
        <v>1165</v>
      </c>
      <c r="AF2149" t="s">
        <v>1165</v>
      </c>
      <c r="AI2149" t="s">
        <v>1165</v>
      </c>
      <c r="AJ2149" s="15" t="s">
        <v>1148</v>
      </c>
      <c r="AK2149" s="15">
        <v>82.944999999999993</v>
      </c>
      <c r="AL2149" t="s">
        <v>1263</v>
      </c>
      <c r="AM2149">
        <f>86.233-82.945</f>
        <v>3.2880000000000109</v>
      </c>
      <c r="AP2149">
        <v>56</v>
      </c>
      <c r="AR2149" s="15" t="s">
        <v>1155</v>
      </c>
    </row>
    <row r="2150" spans="1:44" x14ac:dyDescent="0.2">
      <c r="A2150" t="s">
        <v>1378</v>
      </c>
      <c r="B2150" s="15" t="s">
        <v>1146</v>
      </c>
      <c r="C2150" s="15" t="s">
        <v>1149</v>
      </c>
      <c r="D2150" s="14" t="s">
        <v>475</v>
      </c>
      <c r="E2150" s="14" t="s">
        <v>3044</v>
      </c>
      <c r="G2150" s="15" t="s">
        <v>1165</v>
      </c>
      <c r="H2150" s="14" t="s">
        <v>1165</v>
      </c>
      <c r="I2150" s="14" t="s">
        <v>3033</v>
      </c>
      <c r="M2150" s="14" t="s">
        <v>3034</v>
      </c>
      <c r="O2150">
        <v>2004</v>
      </c>
      <c r="Q2150" t="s">
        <v>1329</v>
      </c>
      <c r="R2150">
        <v>14</v>
      </c>
      <c r="T2150" t="s">
        <v>3035</v>
      </c>
      <c r="U2150" s="14" t="s">
        <v>1246</v>
      </c>
      <c r="V2150" s="9" t="s">
        <v>3036</v>
      </c>
      <c r="W2150">
        <v>0</v>
      </c>
      <c r="X2150" s="9" t="s">
        <v>3039</v>
      </c>
      <c r="Z2150" s="5"/>
      <c r="AD2150" s="14" t="s">
        <v>1165</v>
      </c>
      <c r="AF2150" t="s">
        <v>1165</v>
      </c>
      <c r="AI2150" t="s">
        <v>1165</v>
      </c>
      <c r="AJ2150" s="15" t="s">
        <v>1148</v>
      </c>
      <c r="AK2150" s="15">
        <v>0</v>
      </c>
      <c r="AL2150" t="s">
        <v>1263</v>
      </c>
      <c r="AM2150">
        <v>0</v>
      </c>
      <c r="AP2150">
        <v>28</v>
      </c>
      <c r="AR2150" s="15" t="s">
        <v>1155</v>
      </c>
    </row>
    <row r="2151" spans="1:44" x14ac:dyDescent="0.2">
      <c r="A2151" t="s">
        <v>1378</v>
      </c>
      <c r="B2151" s="15" t="s">
        <v>1146</v>
      </c>
      <c r="C2151" s="15" t="s">
        <v>1149</v>
      </c>
      <c r="D2151" s="14" t="s">
        <v>475</v>
      </c>
      <c r="E2151" s="14" t="s">
        <v>3044</v>
      </c>
      <c r="G2151" s="15" t="s">
        <v>1165</v>
      </c>
      <c r="H2151" s="14" t="s">
        <v>1165</v>
      </c>
      <c r="I2151" s="14" t="s">
        <v>3033</v>
      </c>
      <c r="M2151" s="14" t="s">
        <v>3034</v>
      </c>
      <c r="O2151">
        <v>2004</v>
      </c>
      <c r="Q2151" t="s">
        <v>1329</v>
      </c>
      <c r="R2151">
        <v>14</v>
      </c>
      <c r="T2151" t="s">
        <v>3035</v>
      </c>
      <c r="U2151" s="14" t="s">
        <v>1246</v>
      </c>
      <c r="V2151" s="9" t="s">
        <v>3036</v>
      </c>
      <c r="W2151">
        <v>0</v>
      </c>
      <c r="X2151" s="9" t="s">
        <v>3039</v>
      </c>
      <c r="Z2151" s="5"/>
      <c r="AD2151" s="14" t="s">
        <v>1165</v>
      </c>
      <c r="AF2151" t="s">
        <v>1165</v>
      </c>
      <c r="AI2151" t="s">
        <v>1165</v>
      </c>
      <c r="AJ2151" s="15" t="s">
        <v>1148</v>
      </c>
      <c r="AK2151" s="15">
        <v>1.1559999999999999</v>
      </c>
      <c r="AL2151" t="s">
        <v>1263</v>
      </c>
      <c r="AM2151">
        <f>3.061-1.156</f>
        <v>1.905</v>
      </c>
      <c r="AP2151">
        <v>56</v>
      </c>
      <c r="AR2151" s="15" t="s">
        <v>1155</v>
      </c>
    </row>
    <row r="2152" spans="1:44" x14ac:dyDescent="0.2">
      <c r="A2152" t="s">
        <v>1378</v>
      </c>
      <c r="B2152" s="15" t="s">
        <v>1146</v>
      </c>
      <c r="C2152" s="15" t="s">
        <v>1149</v>
      </c>
      <c r="D2152" s="14" t="s">
        <v>475</v>
      </c>
      <c r="E2152" s="14" t="s">
        <v>3044</v>
      </c>
      <c r="G2152" s="15" t="s">
        <v>1165</v>
      </c>
      <c r="H2152" s="14" t="s">
        <v>1165</v>
      </c>
      <c r="I2152" s="14" t="s">
        <v>3033</v>
      </c>
      <c r="M2152" s="14" t="s">
        <v>3034</v>
      </c>
      <c r="O2152">
        <v>2004</v>
      </c>
      <c r="Q2152" t="s">
        <v>1329</v>
      </c>
      <c r="R2152">
        <v>14</v>
      </c>
      <c r="T2152" t="s">
        <v>3035</v>
      </c>
      <c r="U2152" s="14" t="s">
        <v>1246</v>
      </c>
      <c r="V2152" s="9" t="s">
        <v>3036</v>
      </c>
      <c r="W2152">
        <v>15</v>
      </c>
      <c r="X2152" s="9" t="s">
        <v>3039</v>
      </c>
      <c r="Z2152" s="5"/>
      <c r="AD2152" s="14" t="s">
        <v>1165</v>
      </c>
      <c r="AF2152" t="s">
        <v>1165</v>
      </c>
      <c r="AI2152" t="s">
        <v>1165</v>
      </c>
      <c r="AJ2152" s="15" t="s">
        <v>1148</v>
      </c>
      <c r="AK2152" s="15">
        <v>1.1559999999999999</v>
      </c>
      <c r="AL2152" t="s">
        <v>1263</v>
      </c>
      <c r="AM2152">
        <f>1.973-1.156</f>
        <v>0.81700000000000017</v>
      </c>
      <c r="AP2152">
        <v>28</v>
      </c>
      <c r="AR2152" s="15" t="s">
        <v>1155</v>
      </c>
    </row>
    <row r="2153" spans="1:44" x14ac:dyDescent="0.2">
      <c r="A2153" t="s">
        <v>1378</v>
      </c>
      <c r="B2153" s="15" t="s">
        <v>1146</v>
      </c>
      <c r="C2153" s="15" t="s">
        <v>1149</v>
      </c>
      <c r="D2153" s="14" t="s">
        <v>475</v>
      </c>
      <c r="E2153" s="14" t="s">
        <v>3044</v>
      </c>
      <c r="G2153" s="15" t="s">
        <v>1165</v>
      </c>
      <c r="H2153" s="14" t="s">
        <v>1165</v>
      </c>
      <c r="I2153" s="14" t="s">
        <v>3033</v>
      </c>
      <c r="M2153" s="14" t="s">
        <v>3034</v>
      </c>
      <c r="O2153">
        <v>2004</v>
      </c>
      <c r="Q2153" t="s">
        <v>1329</v>
      </c>
      <c r="R2153">
        <v>14</v>
      </c>
      <c r="T2153" t="s">
        <v>3035</v>
      </c>
      <c r="U2153" s="14" t="s">
        <v>1246</v>
      </c>
      <c r="V2153" s="9" t="s">
        <v>3036</v>
      </c>
      <c r="W2153">
        <v>15</v>
      </c>
      <c r="X2153" s="9" t="s">
        <v>3039</v>
      </c>
      <c r="Z2153" s="5"/>
      <c r="AD2153" s="14" t="s">
        <v>1165</v>
      </c>
      <c r="AF2153" t="s">
        <v>1165</v>
      </c>
      <c r="AI2153" t="s">
        <v>1165</v>
      </c>
      <c r="AJ2153" s="15" t="s">
        <v>1148</v>
      </c>
      <c r="AK2153" s="15">
        <v>0.81599999999999995</v>
      </c>
      <c r="AL2153" t="s">
        <v>1263</v>
      </c>
      <c r="AM2153">
        <f>1.837-0.816</f>
        <v>1.0209999999999999</v>
      </c>
      <c r="AP2153">
        <v>56</v>
      </c>
      <c r="AR2153" s="15" t="s">
        <v>1155</v>
      </c>
    </row>
    <row r="2154" spans="1:44" x14ac:dyDescent="0.2">
      <c r="A2154" t="s">
        <v>1378</v>
      </c>
      <c r="B2154" s="15" t="s">
        <v>1146</v>
      </c>
      <c r="C2154" s="15" t="s">
        <v>1149</v>
      </c>
      <c r="D2154" s="14" t="s">
        <v>475</v>
      </c>
      <c r="E2154" s="14" t="s">
        <v>3044</v>
      </c>
      <c r="G2154" s="15" t="s">
        <v>1165</v>
      </c>
      <c r="H2154" s="14" t="s">
        <v>1165</v>
      </c>
      <c r="I2154" s="14" t="s">
        <v>3033</v>
      </c>
      <c r="M2154" s="14" t="s">
        <v>3034</v>
      </c>
      <c r="O2154">
        <v>2004</v>
      </c>
      <c r="Q2154" t="s">
        <v>1329</v>
      </c>
      <c r="R2154">
        <v>14</v>
      </c>
      <c r="T2154" t="s">
        <v>3035</v>
      </c>
      <c r="U2154" s="14" t="s">
        <v>1246</v>
      </c>
      <c r="V2154" s="9" t="s">
        <v>3036</v>
      </c>
      <c r="W2154">
        <v>30</v>
      </c>
      <c r="X2154" s="9" t="s">
        <v>3039</v>
      </c>
      <c r="Z2154" s="5"/>
      <c r="AD2154" s="14" t="s">
        <v>1165</v>
      </c>
      <c r="AF2154" t="s">
        <v>1165</v>
      </c>
      <c r="AI2154" t="s">
        <v>1165</v>
      </c>
      <c r="AJ2154" s="15" t="s">
        <v>1148</v>
      </c>
      <c r="AK2154" s="15">
        <v>2.0409999999999999</v>
      </c>
      <c r="AL2154" t="s">
        <v>1263</v>
      </c>
      <c r="AM2154">
        <f>3.469-2.041</f>
        <v>1.4279999999999999</v>
      </c>
      <c r="AP2154">
        <v>28</v>
      </c>
      <c r="AR2154" s="15" t="s">
        <v>1155</v>
      </c>
    </row>
    <row r="2155" spans="1:44" x14ac:dyDescent="0.2">
      <c r="A2155" t="s">
        <v>1378</v>
      </c>
      <c r="B2155" s="15" t="s">
        <v>1146</v>
      </c>
      <c r="C2155" s="15" t="s">
        <v>1149</v>
      </c>
      <c r="D2155" s="14" t="s">
        <v>475</v>
      </c>
      <c r="E2155" s="14" t="s">
        <v>3044</v>
      </c>
      <c r="G2155" s="15" t="s">
        <v>1165</v>
      </c>
      <c r="H2155" s="14" t="s">
        <v>1165</v>
      </c>
      <c r="I2155" s="14" t="s">
        <v>3033</v>
      </c>
      <c r="M2155" s="14" t="s">
        <v>3034</v>
      </c>
      <c r="O2155">
        <v>2004</v>
      </c>
      <c r="Q2155" t="s">
        <v>1329</v>
      </c>
      <c r="R2155">
        <v>14</v>
      </c>
      <c r="T2155" t="s">
        <v>3035</v>
      </c>
      <c r="U2155" s="14" t="s">
        <v>1246</v>
      </c>
      <c r="V2155" s="9" t="s">
        <v>3036</v>
      </c>
      <c r="W2155">
        <v>30</v>
      </c>
      <c r="X2155" s="9" t="s">
        <v>3039</v>
      </c>
      <c r="Z2155" s="5"/>
      <c r="AD2155" s="14" t="s">
        <v>1165</v>
      </c>
      <c r="AF2155" t="s">
        <v>1165</v>
      </c>
      <c r="AI2155" t="s">
        <v>1165</v>
      </c>
      <c r="AJ2155" s="15" t="s">
        <v>1148</v>
      </c>
      <c r="AK2155" s="15">
        <v>1.837</v>
      </c>
      <c r="AL2155" t="s">
        <v>1263</v>
      </c>
      <c r="AM2155">
        <f>3.469-1.837</f>
        <v>1.6319999999999999</v>
      </c>
      <c r="AP2155">
        <v>56</v>
      </c>
      <c r="AR2155" s="15" t="s">
        <v>1155</v>
      </c>
    </row>
    <row r="2156" spans="1:44" x14ac:dyDescent="0.2">
      <c r="A2156" t="s">
        <v>1378</v>
      </c>
      <c r="B2156" s="15" t="s">
        <v>1146</v>
      </c>
      <c r="C2156" s="15" t="s">
        <v>1149</v>
      </c>
      <c r="D2156" s="14" t="s">
        <v>475</v>
      </c>
      <c r="E2156" s="14" t="s">
        <v>3044</v>
      </c>
      <c r="G2156" s="15" t="s">
        <v>1165</v>
      </c>
      <c r="H2156" s="14" t="s">
        <v>1165</v>
      </c>
      <c r="I2156" s="14" t="s">
        <v>3033</v>
      </c>
      <c r="M2156" s="14" t="s">
        <v>3034</v>
      </c>
      <c r="O2156">
        <v>2004</v>
      </c>
      <c r="Q2156" t="s">
        <v>1329</v>
      </c>
      <c r="R2156">
        <v>14</v>
      </c>
      <c r="T2156" t="s">
        <v>3035</v>
      </c>
      <c r="U2156" s="14" t="s">
        <v>1246</v>
      </c>
      <c r="V2156" s="9" t="s">
        <v>3036</v>
      </c>
      <c r="W2156">
        <v>60</v>
      </c>
      <c r="X2156" s="9" t="s">
        <v>3039</v>
      </c>
      <c r="Z2156" s="5"/>
      <c r="AD2156" s="14" t="s">
        <v>1165</v>
      </c>
      <c r="AF2156" t="s">
        <v>1165</v>
      </c>
      <c r="AI2156" t="s">
        <v>1165</v>
      </c>
      <c r="AJ2156" s="15" t="s">
        <v>1148</v>
      </c>
      <c r="AK2156" s="15">
        <v>16.327000000000002</v>
      </c>
      <c r="AL2156" t="s">
        <v>1263</v>
      </c>
      <c r="AM2156">
        <f>18.435-16.327</f>
        <v>2.107999999999997</v>
      </c>
      <c r="AP2156">
        <v>28</v>
      </c>
      <c r="AR2156" s="15" t="s">
        <v>1155</v>
      </c>
    </row>
    <row r="2157" spans="1:44" x14ac:dyDescent="0.2">
      <c r="A2157" t="s">
        <v>1378</v>
      </c>
      <c r="B2157" s="15" t="s">
        <v>1146</v>
      </c>
      <c r="C2157" s="15" t="s">
        <v>1149</v>
      </c>
      <c r="D2157" s="14" t="s">
        <v>475</v>
      </c>
      <c r="E2157" s="14" t="s">
        <v>3044</v>
      </c>
      <c r="G2157" s="15" t="s">
        <v>1165</v>
      </c>
      <c r="H2157" s="14" t="s">
        <v>1165</v>
      </c>
      <c r="I2157" s="14" t="s">
        <v>3033</v>
      </c>
      <c r="M2157" s="14" t="s">
        <v>3034</v>
      </c>
      <c r="O2157">
        <v>2004</v>
      </c>
      <c r="Q2157" t="s">
        <v>1329</v>
      </c>
      <c r="R2157">
        <v>14</v>
      </c>
      <c r="T2157" t="s">
        <v>3035</v>
      </c>
      <c r="U2157" s="14" t="s">
        <v>1246</v>
      </c>
      <c r="V2157" s="9" t="s">
        <v>3036</v>
      </c>
      <c r="W2157">
        <v>60</v>
      </c>
      <c r="X2157" s="9" t="s">
        <v>3039</v>
      </c>
      <c r="Z2157" s="5"/>
      <c r="AD2157" s="14" t="s">
        <v>1165</v>
      </c>
      <c r="AF2157" t="s">
        <v>1165</v>
      </c>
      <c r="AI2157" t="s">
        <v>1165</v>
      </c>
      <c r="AJ2157" s="15" t="s">
        <v>1148</v>
      </c>
      <c r="AK2157" s="15">
        <v>16.803000000000001</v>
      </c>
      <c r="AL2157" t="s">
        <v>1263</v>
      </c>
      <c r="AM2157">
        <f>19.524-16.803</f>
        <v>2.7210000000000001</v>
      </c>
      <c r="AP2157">
        <v>56</v>
      </c>
      <c r="AR2157" s="15" t="s">
        <v>1155</v>
      </c>
    </row>
    <row r="2158" spans="1:44" x14ac:dyDescent="0.2">
      <c r="A2158" t="s">
        <v>1378</v>
      </c>
      <c r="B2158" s="15" t="s">
        <v>1146</v>
      </c>
      <c r="C2158" s="15" t="s">
        <v>1149</v>
      </c>
      <c r="D2158" s="14" t="s">
        <v>475</v>
      </c>
      <c r="E2158" s="14" t="s">
        <v>3044</v>
      </c>
      <c r="G2158" s="15" t="s">
        <v>1165</v>
      </c>
      <c r="H2158" s="14" t="s">
        <v>1165</v>
      </c>
      <c r="I2158" s="14" t="s">
        <v>3033</v>
      </c>
      <c r="M2158" s="14" t="s">
        <v>3034</v>
      </c>
      <c r="O2158">
        <v>2004</v>
      </c>
      <c r="Q2158" t="s">
        <v>1329</v>
      </c>
      <c r="R2158">
        <v>14</v>
      </c>
      <c r="T2158" t="s">
        <v>3035</v>
      </c>
      <c r="U2158" s="14" t="s">
        <v>1246</v>
      </c>
      <c r="V2158" s="9" t="s">
        <v>3036</v>
      </c>
      <c r="W2158">
        <v>90</v>
      </c>
      <c r="X2158" s="9" t="s">
        <v>3039</v>
      </c>
      <c r="Z2158" s="5"/>
      <c r="AD2158" s="14" t="s">
        <v>1165</v>
      </c>
      <c r="AF2158" t="s">
        <v>1165</v>
      </c>
      <c r="AI2158" t="s">
        <v>1165</v>
      </c>
      <c r="AJ2158" s="15" t="s">
        <v>1148</v>
      </c>
      <c r="AK2158" s="15">
        <v>23.332999999999998</v>
      </c>
      <c r="AL2158" t="s">
        <v>1263</v>
      </c>
      <c r="AM2158">
        <f>27.415-23.333</f>
        <v>4.0820000000000007</v>
      </c>
      <c r="AP2158">
        <v>28</v>
      </c>
      <c r="AR2158" s="15" t="s">
        <v>1155</v>
      </c>
    </row>
    <row r="2159" spans="1:44" x14ac:dyDescent="0.2">
      <c r="A2159" t="s">
        <v>1378</v>
      </c>
      <c r="B2159" s="15" t="s">
        <v>1146</v>
      </c>
      <c r="C2159" s="15" t="s">
        <v>1149</v>
      </c>
      <c r="D2159" s="14" t="s">
        <v>475</v>
      </c>
      <c r="E2159" s="14" t="s">
        <v>3044</v>
      </c>
      <c r="G2159" s="15" t="s">
        <v>1165</v>
      </c>
      <c r="H2159" s="14" t="s">
        <v>1165</v>
      </c>
      <c r="I2159" s="14" t="s">
        <v>3033</v>
      </c>
      <c r="M2159" s="14" t="s">
        <v>3034</v>
      </c>
      <c r="O2159">
        <v>2004</v>
      </c>
      <c r="Q2159" t="s">
        <v>1329</v>
      </c>
      <c r="R2159">
        <v>14</v>
      </c>
      <c r="T2159" t="s">
        <v>3035</v>
      </c>
      <c r="U2159" s="14" t="s">
        <v>1246</v>
      </c>
      <c r="V2159" s="9" t="s">
        <v>3036</v>
      </c>
      <c r="W2159">
        <v>90</v>
      </c>
      <c r="X2159" s="9" t="s">
        <v>3039</v>
      </c>
      <c r="Z2159" s="5"/>
      <c r="AD2159" s="14" t="s">
        <v>1165</v>
      </c>
      <c r="AF2159" t="s">
        <v>1165</v>
      </c>
      <c r="AI2159" t="s">
        <v>1165</v>
      </c>
      <c r="AJ2159" s="15" t="s">
        <v>1148</v>
      </c>
      <c r="AK2159" s="15">
        <v>23.332999999999998</v>
      </c>
      <c r="AL2159" t="s">
        <v>1263</v>
      </c>
      <c r="AM2159">
        <f>27.687-23.333</f>
        <v>4.3540000000000028</v>
      </c>
      <c r="AP2159">
        <v>56</v>
      </c>
      <c r="AR2159" s="15" t="s">
        <v>1155</v>
      </c>
    </row>
    <row r="2160" spans="1:44" x14ac:dyDescent="0.2">
      <c r="A2160" t="s">
        <v>1378</v>
      </c>
      <c r="B2160" s="15" t="s">
        <v>1146</v>
      </c>
      <c r="C2160" s="15" t="s">
        <v>1149</v>
      </c>
      <c r="D2160" s="14" t="s">
        <v>475</v>
      </c>
      <c r="E2160" s="14" t="s">
        <v>3044</v>
      </c>
      <c r="G2160" s="15" t="s">
        <v>1165</v>
      </c>
      <c r="H2160" s="14" t="s">
        <v>1165</v>
      </c>
      <c r="I2160" s="14" t="s">
        <v>3033</v>
      </c>
      <c r="M2160" s="14" t="s">
        <v>3034</v>
      </c>
      <c r="O2160">
        <v>2004</v>
      </c>
      <c r="Q2160" t="s">
        <v>1329</v>
      </c>
      <c r="R2160">
        <v>14</v>
      </c>
      <c r="T2160" t="s">
        <v>3035</v>
      </c>
      <c r="U2160" s="14" t="s">
        <v>1246</v>
      </c>
      <c r="V2160" s="9" t="s">
        <v>3036</v>
      </c>
      <c r="W2160">
        <v>120</v>
      </c>
      <c r="X2160" s="9" t="s">
        <v>3039</v>
      </c>
      <c r="Z2160" s="5"/>
      <c r="AD2160" s="14" t="s">
        <v>1165</v>
      </c>
      <c r="AF2160" t="s">
        <v>1165</v>
      </c>
      <c r="AI2160" t="s">
        <v>1165</v>
      </c>
      <c r="AJ2160" s="15" t="s">
        <v>1148</v>
      </c>
      <c r="AK2160" s="15">
        <v>31.837</v>
      </c>
      <c r="AL2160" t="s">
        <v>1263</v>
      </c>
      <c r="AM2160">
        <f>34.762-31.837</f>
        <v>2.9250000000000007</v>
      </c>
      <c r="AP2160">
        <v>28</v>
      </c>
      <c r="AR2160" s="15" t="s">
        <v>1155</v>
      </c>
    </row>
    <row r="2161" spans="1:44" x14ac:dyDescent="0.2">
      <c r="A2161" t="s">
        <v>1378</v>
      </c>
      <c r="B2161" s="15" t="s">
        <v>1146</v>
      </c>
      <c r="C2161" s="15" t="s">
        <v>1149</v>
      </c>
      <c r="D2161" s="14" t="s">
        <v>475</v>
      </c>
      <c r="E2161" s="14" t="s">
        <v>3044</v>
      </c>
      <c r="G2161" s="15" t="s">
        <v>1165</v>
      </c>
      <c r="H2161" s="14" t="s">
        <v>1165</v>
      </c>
      <c r="I2161" s="14" t="s">
        <v>3033</v>
      </c>
      <c r="M2161" s="14" t="s">
        <v>3034</v>
      </c>
      <c r="O2161">
        <v>2004</v>
      </c>
      <c r="Q2161" t="s">
        <v>1329</v>
      </c>
      <c r="R2161">
        <v>14</v>
      </c>
      <c r="T2161" t="s">
        <v>3035</v>
      </c>
      <c r="U2161" s="14" t="s">
        <v>1246</v>
      </c>
      <c r="V2161" s="9" t="s">
        <v>3036</v>
      </c>
      <c r="W2161">
        <v>120</v>
      </c>
      <c r="X2161" s="9" t="s">
        <v>3039</v>
      </c>
      <c r="Z2161" s="5"/>
      <c r="AD2161" s="14" t="s">
        <v>1165</v>
      </c>
      <c r="AF2161" t="s">
        <v>1165</v>
      </c>
      <c r="AI2161" t="s">
        <v>1165</v>
      </c>
      <c r="AJ2161" s="15" t="s">
        <v>1148</v>
      </c>
      <c r="AK2161" s="15">
        <v>31.224</v>
      </c>
      <c r="AL2161" t="s">
        <v>1263</v>
      </c>
      <c r="AM2161">
        <f>35.034-31.224</f>
        <v>3.8099999999999987</v>
      </c>
      <c r="AP2161">
        <v>56</v>
      </c>
      <c r="AR2161" s="15" t="s">
        <v>1155</v>
      </c>
    </row>
    <row r="2162" spans="1:44" x14ac:dyDescent="0.2">
      <c r="A2162" t="s">
        <v>1378</v>
      </c>
      <c r="B2162" s="15" t="s">
        <v>1146</v>
      </c>
      <c r="C2162" s="15" t="s">
        <v>1149</v>
      </c>
      <c r="D2162" s="14" t="s">
        <v>475</v>
      </c>
      <c r="E2162" s="14" t="s">
        <v>3044</v>
      </c>
      <c r="G2162" s="15" t="s">
        <v>1165</v>
      </c>
      <c r="H2162" s="14" t="s">
        <v>1165</v>
      </c>
      <c r="I2162" s="14" t="s">
        <v>3033</v>
      </c>
      <c r="M2162" s="14" t="s">
        <v>3034</v>
      </c>
      <c r="O2162">
        <v>2004</v>
      </c>
      <c r="Q2162" t="s">
        <v>1329</v>
      </c>
      <c r="R2162">
        <v>14</v>
      </c>
      <c r="T2162" t="s">
        <v>3035</v>
      </c>
      <c r="U2162" s="14" t="s">
        <v>1246</v>
      </c>
      <c r="V2162" s="9" t="s">
        <v>3036</v>
      </c>
      <c r="W2162">
        <v>150</v>
      </c>
      <c r="X2162" s="9" t="s">
        <v>3039</v>
      </c>
      <c r="Z2162" s="5"/>
      <c r="AD2162" s="14" t="s">
        <v>1165</v>
      </c>
      <c r="AF2162" t="s">
        <v>1165</v>
      </c>
      <c r="AI2162" t="s">
        <v>1165</v>
      </c>
      <c r="AJ2162" s="15" t="s">
        <v>1148</v>
      </c>
      <c r="AK2162" s="15">
        <v>64.150000000000006</v>
      </c>
      <c r="AL2162" t="s">
        <v>1263</v>
      </c>
      <c r="AM2162">
        <f>68.231-64.15</f>
        <v>4.0809999999999889</v>
      </c>
      <c r="AP2162">
        <v>28</v>
      </c>
      <c r="AR2162" s="15" t="s">
        <v>1155</v>
      </c>
    </row>
    <row r="2163" spans="1:44" x14ac:dyDescent="0.2">
      <c r="A2163" t="s">
        <v>1378</v>
      </c>
      <c r="B2163" s="15" t="s">
        <v>1146</v>
      </c>
      <c r="C2163" s="15" t="s">
        <v>1149</v>
      </c>
      <c r="D2163" s="14" t="s">
        <v>475</v>
      </c>
      <c r="E2163" s="14" t="s">
        <v>3044</v>
      </c>
      <c r="G2163" s="15" t="s">
        <v>1165</v>
      </c>
      <c r="H2163" s="14" t="s">
        <v>1165</v>
      </c>
      <c r="I2163" s="14" t="s">
        <v>3033</v>
      </c>
      <c r="M2163" s="14" t="s">
        <v>3034</v>
      </c>
      <c r="O2163">
        <v>2004</v>
      </c>
      <c r="Q2163" t="s">
        <v>1329</v>
      </c>
      <c r="R2163">
        <v>14</v>
      </c>
      <c r="T2163" t="s">
        <v>3035</v>
      </c>
      <c r="U2163" s="14" t="s">
        <v>1246</v>
      </c>
      <c r="V2163" s="9" t="s">
        <v>3036</v>
      </c>
      <c r="W2163">
        <v>150</v>
      </c>
      <c r="X2163" s="9" t="s">
        <v>3039</v>
      </c>
      <c r="Z2163" s="5"/>
      <c r="AD2163" s="14" t="s">
        <v>1165</v>
      </c>
      <c r="AF2163" t="s">
        <v>1165</v>
      </c>
      <c r="AI2163" t="s">
        <v>1165</v>
      </c>
      <c r="AJ2163" s="15" t="s">
        <v>1148</v>
      </c>
      <c r="AK2163" s="15">
        <v>65.510000000000005</v>
      </c>
      <c r="AL2163" t="s">
        <v>1263</v>
      </c>
      <c r="AM2163">
        <f>69.32-65.51</f>
        <v>3.8099999999999881</v>
      </c>
      <c r="AP2163">
        <v>56</v>
      </c>
      <c r="AR2163" s="15" t="s">
        <v>1155</v>
      </c>
    </row>
    <row r="2164" spans="1:44" x14ac:dyDescent="0.2">
      <c r="A2164" t="s">
        <v>1378</v>
      </c>
      <c r="B2164" s="15" t="s">
        <v>1146</v>
      </c>
      <c r="C2164" s="15" t="s">
        <v>1149</v>
      </c>
      <c r="D2164" s="14" t="s">
        <v>475</v>
      </c>
      <c r="E2164" s="14" t="s">
        <v>3044</v>
      </c>
      <c r="G2164" s="15" t="s">
        <v>1165</v>
      </c>
      <c r="H2164" s="14" t="s">
        <v>1165</v>
      </c>
      <c r="I2164" s="14" t="s">
        <v>3033</v>
      </c>
      <c r="M2164" s="14" t="s">
        <v>3034</v>
      </c>
      <c r="O2164">
        <v>2004</v>
      </c>
      <c r="Q2164" t="s">
        <v>1329</v>
      </c>
      <c r="R2164">
        <v>14</v>
      </c>
      <c r="T2164" t="s">
        <v>3035</v>
      </c>
      <c r="U2164" s="14" t="s">
        <v>1246</v>
      </c>
      <c r="V2164" s="9" t="s">
        <v>3036</v>
      </c>
      <c r="W2164">
        <v>180</v>
      </c>
      <c r="X2164" s="9" t="s">
        <v>3039</v>
      </c>
      <c r="Z2164" s="5"/>
      <c r="AD2164" s="14" t="s">
        <v>1165</v>
      </c>
      <c r="AF2164" t="s">
        <v>1165</v>
      </c>
      <c r="AI2164" t="s">
        <v>1165</v>
      </c>
      <c r="AJ2164" s="15" t="s">
        <v>1148</v>
      </c>
      <c r="AK2164" s="15">
        <v>60.34</v>
      </c>
      <c r="AL2164" t="s">
        <v>1263</v>
      </c>
      <c r="AM2164">
        <f>64.966-60.34</f>
        <v>4.6259999999999906</v>
      </c>
      <c r="AP2164">
        <v>28</v>
      </c>
      <c r="AR2164" s="15" t="s">
        <v>1155</v>
      </c>
    </row>
    <row r="2165" spans="1:44" x14ac:dyDescent="0.2">
      <c r="A2165" t="s">
        <v>1378</v>
      </c>
      <c r="B2165" s="15" t="s">
        <v>1146</v>
      </c>
      <c r="C2165" s="15" t="s">
        <v>1149</v>
      </c>
      <c r="D2165" s="14" t="s">
        <v>475</v>
      </c>
      <c r="E2165" s="14" t="s">
        <v>3044</v>
      </c>
      <c r="G2165" s="15" t="s">
        <v>1165</v>
      </c>
      <c r="H2165" s="14" t="s">
        <v>1165</v>
      </c>
      <c r="I2165" s="14" t="s">
        <v>3033</v>
      </c>
      <c r="M2165" s="14" t="s">
        <v>3034</v>
      </c>
      <c r="O2165">
        <v>2004</v>
      </c>
      <c r="Q2165" t="s">
        <v>1329</v>
      </c>
      <c r="R2165">
        <v>14</v>
      </c>
      <c r="T2165" t="s">
        <v>3035</v>
      </c>
      <c r="U2165" s="14" t="s">
        <v>1246</v>
      </c>
      <c r="V2165" s="9" t="s">
        <v>3036</v>
      </c>
      <c r="W2165">
        <v>180</v>
      </c>
      <c r="X2165" s="9" t="s">
        <v>3039</v>
      </c>
      <c r="Z2165" s="5"/>
      <c r="AD2165" s="14" t="s">
        <v>1165</v>
      </c>
      <c r="AF2165" t="s">
        <v>1165</v>
      </c>
      <c r="AI2165" t="s">
        <v>1165</v>
      </c>
      <c r="AJ2165" s="15" t="s">
        <v>1148</v>
      </c>
      <c r="AK2165" s="15">
        <v>60.612000000000002</v>
      </c>
      <c r="AL2165" t="s">
        <v>1263</v>
      </c>
      <c r="AM2165">
        <f>65.238-60.612</f>
        <v>4.6259999999999977</v>
      </c>
      <c r="AP2165">
        <v>56</v>
      </c>
      <c r="AR2165" s="15" t="s">
        <v>1155</v>
      </c>
    </row>
    <row r="2166" spans="1:44" x14ac:dyDescent="0.2">
      <c r="A2166" t="s">
        <v>1378</v>
      </c>
      <c r="B2166" s="15" t="s">
        <v>1146</v>
      </c>
      <c r="C2166" s="15" t="s">
        <v>1149</v>
      </c>
      <c r="D2166" s="14" t="s">
        <v>475</v>
      </c>
      <c r="E2166" s="14" t="s">
        <v>3044</v>
      </c>
      <c r="G2166" s="15" t="s">
        <v>1165</v>
      </c>
      <c r="H2166" s="14" t="s">
        <v>1165</v>
      </c>
      <c r="I2166" s="14" t="s">
        <v>3033</v>
      </c>
      <c r="M2166" s="14" t="s">
        <v>3034</v>
      </c>
      <c r="O2166">
        <v>2004</v>
      </c>
      <c r="Q2166" t="s">
        <v>1329</v>
      </c>
      <c r="R2166">
        <v>14</v>
      </c>
      <c r="T2166" t="s">
        <v>3035</v>
      </c>
      <c r="U2166" s="14" t="s">
        <v>1246</v>
      </c>
      <c r="V2166" s="9" t="s">
        <v>3036</v>
      </c>
      <c r="W2166">
        <v>0</v>
      </c>
      <c r="X2166" s="9" t="s">
        <v>3040</v>
      </c>
      <c r="Z2166" s="5"/>
      <c r="AD2166" s="14" t="s">
        <v>1165</v>
      </c>
      <c r="AF2166" t="s">
        <v>1165</v>
      </c>
      <c r="AI2166" t="s">
        <v>1165</v>
      </c>
      <c r="AJ2166" s="15" t="s">
        <v>1148</v>
      </c>
      <c r="AK2166" s="15">
        <v>0</v>
      </c>
      <c r="AL2166" t="s">
        <v>1263</v>
      </c>
      <c r="AM2166">
        <v>0</v>
      </c>
      <c r="AP2166">
        <v>28</v>
      </c>
      <c r="AR2166" s="15" t="s">
        <v>1155</v>
      </c>
    </row>
    <row r="2167" spans="1:44" x14ac:dyDescent="0.2">
      <c r="A2167" t="s">
        <v>1378</v>
      </c>
      <c r="B2167" s="15" t="s">
        <v>1146</v>
      </c>
      <c r="C2167" s="15" t="s">
        <v>1149</v>
      </c>
      <c r="D2167" s="14" t="s">
        <v>475</v>
      </c>
      <c r="E2167" s="14" t="s">
        <v>3044</v>
      </c>
      <c r="G2167" s="15" t="s">
        <v>1165</v>
      </c>
      <c r="H2167" s="14" t="s">
        <v>1165</v>
      </c>
      <c r="I2167" s="14" t="s">
        <v>3033</v>
      </c>
      <c r="M2167" s="14" t="s">
        <v>3034</v>
      </c>
      <c r="O2167">
        <v>2004</v>
      </c>
      <c r="Q2167" t="s">
        <v>1329</v>
      </c>
      <c r="R2167">
        <v>14</v>
      </c>
      <c r="T2167" t="s">
        <v>3035</v>
      </c>
      <c r="U2167" s="14" t="s">
        <v>1246</v>
      </c>
      <c r="V2167" s="9" t="s">
        <v>3036</v>
      </c>
      <c r="W2167">
        <v>0</v>
      </c>
      <c r="X2167" s="9" t="s">
        <v>3040</v>
      </c>
      <c r="Z2167" s="5"/>
      <c r="AD2167" s="14" t="s">
        <v>1165</v>
      </c>
      <c r="AF2167" t="s">
        <v>1165</v>
      </c>
      <c r="AI2167" t="s">
        <v>1165</v>
      </c>
      <c r="AJ2167" s="15" t="s">
        <v>1148</v>
      </c>
      <c r="AK2167" s="15">
        <v>0</v>
      </c>
      <c r="AL2167" t="s">
        <v>1263</v>
      </c>
      <c r="AM2167">
        <v>0</v>
      </c>
      <c r="AP2167">
        <v>56</v>
      </c>
      <c r="AR2167" s="15" t="s">
        <v>1155</v>
      </c>
    </row>
    <row r="2168" spans="1:44" x14ac:dyDescent="0.2">
      <c r="A2168" t="s">
        <v>1378</v>
      </c>
      <c r="B2168" s="15" t="s">
        <v>1146</v>
      </c>
      <c r="C2168" s="15" t="s">
        <v>1149</v>
      </c>
      <c r="D2168" s="14" t="s">
        <v>475</v>
      </c>
      <c r="E2168" s="14" t="s">
        <v>3044</v>
      </c>
      <c r="G2168" s="15" t="s">
        <v>1165</v>
      </c>
      <c r="H2168" s="14" t="s">
        <v>1165</v>
      </c>
      <c r="I2168" s="14" t="s">
        <v>3033</v>
      </c>
      <c r="M2168" s="14" t="s">
        <v>3034</v>
      </c>
      <c r="O2168">
        <v>2004</v>
      </c>
      <c r="Q2168" t="s">
        <v>1329</v>
      </c>
      <c r="R2168">
        <v>14</v>
      </c>
      <c r="T2168" t="s">
        <v>3035</v>
      </c>
      <c r="U2168" s="14" t="s">
        <v>1246</v>
      </c>
      <c r="V2168" s="9" t="s">
        <v>3036</v>
      </c>
      <c r="W2168">
        <v>15</v>
      </c>
      <c r="X2168" s="9" t="s">
        <v>3040</v>
      </c>
      <c r="Z2168" s="5"/>
      <c r="AD2168" s="14" t="s">
        <v>1165</v>
      </c>
      <c r="AF2168" t="s">
        <v>1165</v>
      </c>
      <c r="AI2168" t="s">
        <v>1165</v>
      </c>
      <c r="AJ2168" s="15" t="s">
        <v>1148</v>
      </c>
      <c r="AK2168" s="15">
        <v>0</v>
      </c>
      <c r="AL2168" t="s">
        <v>1263</v>
      </c>
      <c r="AM2168">
        <v>0</v>
      </c>
      <c r="AP2168">
        <v>28</v>
      </c>
      <c r="AR2168" s="15" t="s">
        <v>1155</v>
      </c>
    </row>
    <row r="2169" spans="1:44" x14ac:dyDescent="0.2">
      <c r="A2169" t="s">
        <v>1378</v>
      </c>
      <c r="B2169" s="15" t="s">
        <v>1146</v>
      </c>
      <c r="C2169" s="15" t="s">
        <v>1149</v>
      </c>
      <c r="D2169" s="14" t="s">
        <v>475</v>
      </c>
      <c r="E2169" s="14" t="s">
        <v>3044</v>
      </c>
      <c r="G2169" s="15" t="s">
        <v>1165</v>
      </c>
      <c r="H2169" s="14" t="s">
        <v>1165</v>
      </c>
      <c r="I2169" s="14" t="s">
        <v>3033</v>
      </c>
      <c r="M2169" s="14" t="s">
        <v>3034</v>
      </c>
      <c r="O2169">
        <v>2004</v>
      </c>
      <c r="Q2169" t="s">
        <v>1329</v>
      </c>
      <c r="R2169">
        <v>14</v>
      </c>
      <c r="T2169" t="s">
        <v>3035</v>
      </c>
      <c r="U2169" s="14" t="s">
        <v>1246</v>
      </c>
      <c r="V2169" s="9" t="s">
        <v>3036</v>
      </c>
      <c r="W2169">
        <v>15</v>
      </c>
      <c r="X2169" s="9" t="s">
        <v>3040</v>
      </c>
      <c r="Z2169" s="5"/>
      <c r="AD2169" s="14" t="s">
        <v>1165</v>
      </c>
      <c r="AF2169" t="s">
        <v>1165</v>
      </c>
      <c r="AI2169" t="s">
        <v>1165</v>
      </c>
      <c r="AJ2169" s="15" t="s">
        <v>1148</v>
      </c>
      <c r="AK2169" s="15">
        <v>0</v>
      </c>
      <c r="AL2169" t="s">
        <v>1263</v>
      </c>
      <c r="AM2169">
        <v>0</v>
      </c>
      <c r="AP2169">
        <v>56</v>
      </c>
      <c r="AR2169" s="15" t="s">
        <v>1155</v>
      </c>
    </row>
    <row r="2170" spans="1:44" x14ac:dyDescent="0.2">
      <c r="A2170" t="s">
        <v>1378</v>
      </c>
      <c r="B2170" s="15" t="s">
        <v>1146</v>
      </c>
      <c r="C2170" s="15" t="s">
        <v>1149</v>
      </c>
      <c r="D2170" s="14" t="s">
        <v>475</v>
      </c>
      <c r="E2170" s="14" t="s">
        <v>3044</v>
      </c>
      <c r="G2170" s="15" t="s">
        <v>1165</v>
      </c>
      <c r="H2170" s="14" t="s">
        <v>1165</v>
      </c>
      <c r="I2170" s="14" t="s">
        <v>3033</v>
      </c>
      <c r="M2170" s="14" t="s">
        <v>3034</v>
      </c>
      <c r="O2170">
        <v>2004</v>
      </c>
      <c r="Q2170" t="s">
        <v>1329</v>
      </c>
      <c r="R2170">
        <v>14</v>
      </c>
      <c r="T2170" t="s">
        <v>3035</v>
      </c>
      <c r="U2170" s="14" t="s">
        <v>1246</v>
      </c>
      <c r="V2170" s="9" t="s">
        <v>3036</v>
      </c>
      <c r="W2170">
        <v>30</v>
      </c>
      <c r="X2170" s="9" t="s">
        <v>3040</v>
      </c>
      <c r="Z2170" s="5"/>
      <c r="AD2170" s="14" t="s">
        <v>1165</v>
      </c>
      <c r="AF2170" t="s">
        <v>1165</v>
      </c>
      <c r="AI2170" t="s">
        <v>1165</v>
      </c>
      <c r="AJ2170" s="15" t="s">
        <v>1148</v>
      </c>
      <c r="AK2170" s="15">
        <v>0</v>
      </c>
      <c r="AL2170" t="s">
        <v>1263</v>
      </c>
      <c r="AM2170">
        <v>0</v>
      </c>
      <c r="AP2170">
        <v>28</v>
      </c>
      <c r="AR2170" s="15" t="s">
        <v>1155</v>
      </c>
    </row>
    <row r="2171" spans="1:44" x14ac:dyDescent="0.2">
      <c r="A2171" t="s">
        <v>1378</v>
      </c>
      <c r="B2171" s="15" t="s">
        <v>1146</v>
      </c>
      <c r="C2171" s="15" t="s">
        <v>1149</v>
      </c>
      <c r="D2171" s="14" t="s">
        <v>475</v>
      </c>
      <c r="E2171" s="14" t="s">
        <v>3044</v>
      </c>
      <c r="G2171" s="15" t="s">
        <v>1165</v>
      </c>
      <c r="H2171" s="14" t="s">
        <v>1165</v>
      </c>
      <c r="I2171" s="14" t="s">
        <v>3033</v>
      </c>
      <c r="M2171" s="14" t="s">
        <v>3034</v>
      </c>
      <c r="O2171">
        <v>2004</v>
      </c>
      <c r="Q2171" t="s">
        <v>1329</v>
      </c>
      <c r="R2171">
        <v>14</v>
      </c>
      <c r="T2171" t="s">
        <v>3035</v>
      </c>
      <c r="U2171" s="14" t="s">
        <v>1246</v>
      </c>
      <c r="V2171" s="9" t="s">
        <v>3036</v>
      </c>
      <c r="W2171">
        <v>30</v>
      </c>
      <c r="X2171" s="9" t="s">
        <v>3040</v>
      </c>
      <c r="Z2171" s="5"/>
      <c r="AD2171" s="14" t="s">
        <v>1165</v>
      </c>
      <c r="AF2171" t="s">
        <v>1165</v>
      </c>
      <c r="AI2171" t="s">
        <v>1165</v>
      </c>
      <c r="AJ2171" s="15" t="s">
        <v>1148</v>
      </c>
      <c r="AK2171" s="15">
        <v>0</v>
      </c>
      <c r="AL2171" t="s">
        <v>1263</v>
      </c>
      <c r="AM2171">
        <v>0</v>
      </c>
      <c r="AP2171">
        <v>56</v>
      </c>
      <c r="AR2171" s="15" t="s">
        <v>1155</v>
      </c>
    </row>
    <row r="2172" spans="1:44" x14ac:dyDescent="0.2">
      <c r="A2172" t="s">
        <v>1378</v>
      </c>
      <c r="B2172" s="15" t="s">
        <v>1146</v>
      </c>
      <c r="C2172" s="15" t="s">
        <v>1149</v>
      </c>
      <c r="D2172" s="14" t="s">
        <v>475</v>
      </c>
      <c r="E2172" s="14" t="s">
        <v>3044</v>
      </c>
      <c r="G2172" s="15" t="s">
        <v>1165</v>
      </c>
      <c r="H2172" s="14" t="s">
        <v>1165</v>
      </c>
      <c r="I2172" s="14" t="s">
        <v>3033</v>
      </c>
      <c r="M2172" s="14" t="s">
        <v>3034</v>
      </c>
      <c r="O2172">
        <v>2004</v>
      </c>
      <c r="Q2172" t="s">
        <v>1329</v>
      </c>
      <c r="R2172">
        <v>14</v>
      </c>
      <c r="T2172" t="s">
        <v>3035</v>
      </c>
      <c r="U2172" s="14" t="s">
        <v>1246</v>
      </c>
      <c r="V2172" s="9" t="s">
        <v>3036</v>
      </c>
      <c r="W2172">
        <v>60</v>
      </c>
      <c r="X2172" s="9" t="s">
        <v>3040</v>
      </c>
      <c r="Z2172" s="5"/>
      <c r="AD2172" s="14" t="s">
        <v>1165</v>
      </c>
      <c r="AF2172" t="s">
        <v>1165</v>
      </c>
      <c r="AI2172" t="s">
        <v>1165</v>
      </c>
      <c r="AJ2172" s="15" t="s">
        <v>1148</v>
      </c>
      <c r="AK2172" s="15">
        <v>0</v>
      </c>
      <c r="AL2172" t="s">
        <v>1263</v>
      </c>
      <c r="AM2172">
        <v>0</v>
      </c>
      <c r="AP2172">
        <v>28</v>
      </c>
      <c r="AR2172" s="15" t="s">
        <v>1155</v>
      </c>
    </row>
    <row r="2173" spans="1:44" x14ac:dyDescent="0.2">
      <c r="A2173" t="s">
        <v>1378</v>
      </c>
      <c r="B2173" s="15" t="s">
        <v>1146</v>
      </c>
      <c r="C2173" s="15" t="s">
        <v>1149</v>
      </c>
      <c r="D2173" s="14" t="s">
        <v>475</v>
      </c>
      <c r="E2173" s="14" t="s">
        <v>3044</v>
      </c>
      <c r="G2173" s="15" t="s">
        <v>1165</v>
      </c>
      <c r="H2173" s="14" t="s">
        <v>1165</v>
      </c>
      <c r="I2173" s="14" t="s">
        <v>3033</v>
      </c>
      <c r="M2173" s="14" t="s">
        <v>3034</v>
      </c>
      <c r="O2173">
        <v>2004</v>
      </c>
      <c r="Q2173" t="s">
        <v>1329</v>
      </c>
      <c r="R2173">
        <v>14</v>
      </c>
      <c r="T2173" t="s">
        <v>3035</v>
      </c>
      <c r="U2173" s="14" t="s">
        <v>1246</v>
      </c>
      <c r="V2173" s="9" t="s">
        <v>3036</v>
      </c>
      <c r="W2173">
        <v>60</v>
      </c>
      <c r="X2173" s="9" t="s">
        <v>3040</v>
      </c>
      <c r="Z2173" s="5"/>
      <c r="AD2173" s="14" t="s">
        <v>1165</v>
      </c>
      <c r="AF2173" t="s">
        <v>1165</v>
      </c>
      <c r="AI2173" t="s">
        <v>1165</v>
      </c>
      <c r="AJ2173" s="15" t="s">
        <v>1148</v>
      </c>
      <c r="AK2173" s="15">
        <v>0</v>
      </c>
      <c r="AL2173" t="s">
        <v>1263</v>
      </c>
      <c r="AM2173">
        <v>0</v>
      </c>
      <c r="AP2173">
        <v>56</v>
      </c>
      <c r="AR2173" s="15" t="s">
        <v>1155</v>
      </c>
    </row>
    <row r="2174" spans="1:44" x14ac:dyDescent="0.2">
      <c r="A2174" t="s">
        <v>1378</v>
      </c>
      <c r="B2174" s="15" t="s">
        <v>1146</v>
      </c>
      <c r="C2174" s="15" t="s">
        <v>1149</v>
      </c>
      <c r="D2174" s="14" t="s">
        <v>475</v>
      </c>
      <c r="E2174" s="14" t="s">
        <v>3044</v>
      </c>
      <c r="G2174" s="15" t="s">
        <v>1165</v>
      </c>
      <c r="H2174" s="14" t="s">
        <v>1165</v>
      </c>
      <c r="I2174" s="14" t="s">
        <v>3033</v>
      </c>
      <c r="M2174" s="14" t="s">
        <v>3034</v>
      </c>
      <c r="O2174">
        <v>2004</v>
      </c>
      <c r="Q2174" t="s">
        <v>1329</v>
      </c>
      <c r="R2174">
        <v>14</v>
      </c>
      <c r="T2174" t="s">
        <v>3035</v>
      </c>
      <c r="U2174" s="14" t="s">
        <v>1246</v>
      </c>
      <c r="V2174" s="9" t="s">
        <v>3036</v>
      </c>
      <c r="W2174">
        <v>90</v>
      </c>
      <c r="X2174" s="9" t="s">
        <v>3040</v>
      </c>
      <c r="Z2174" s="5"/>
      <c r="AD2174" s="14" t="s">
        <v>1165</v>
      </c>
      <c r="AF2174" t="s">
        <v>1165</v>
      </c>
      <c r="AI2174" t="s">
        <v>1165</v>
      </c>
      <c r="AJ2174" s="15" t="s">
        <v>1148</v>
      </c>
      <c r="AK2174" s="15">
        <v>0</v>
      </c>
      <c r="AL2174" t="s">
        <v>1263</v>
      </c>
      <c r="AM2174">
        <v>0</v>
      </c>
      <c r="AP2174">
        <v>28</v>
      </c>
      <c r="AR2174" s="15" t="s">
        <v>1155</v>
      </c>
    </row>
    <row r="2175" spans="1:44" x14ac:dyDescent="0.2">
      <c r="A2175" t="s">
        <v>1378</v>
      </c>
      <c r="B2175" s="15" t="s">
        <v>1146</v>
      </c>
      <c r="C2175" s="15" t="s">
        <v>1149</v>
      </c>
      <c r="D2175" s="14" t="s">
        <v>475</v>
      </c>
      <c r="E2175" s="14" t="s">
        <v>3044</v>
      </c>
      <c r="G2175" s="15" t="s">
        <v>1165</v>
      </c>
      <c r="H2175" s="14" t="s">
        <v>1165</v>
      </c>
      <c r="I2175" s="14" t="s">
        <v>3033</v>
      </c>
      <c r="M2175" s="14" t="s">
        <v>3034</v>
      </c>
      <c r="O2175">
        <v>2004</v>
      </c>
      <c r="Q2175" t="s">
        <v>1329</v>
      </c>
      <c r="R2175">
        <v>14</v>
      </c>
      <c r="T2175" t="s">
        <v>3035</v>
      </c>
      <c r="U2175" s="14" t="s">
        <v>1246</v>
      </c>
      <c r="V2175" s="9" t="s">
        <v>3036</v>
      </c>
      <c r="W2175">
        <v>90</v>
      </c>
      <c r="X2175" s="9" t="s">
        <v>3040</v>
      </c>
      <c r="Z2175" s="5"/>
      <c r="AD2175" s="14" t="s">
        <v>1165</v>
      </c>
      <c r="AF2175" t="s">
        <v>1165</v>
      </c>
      <c r="AI2175" t="s">
        <v>1165</v>
      </c>
      <c r="AJ2175" s="15" t="s">
        <v>1148</v>
      </c>
      <c r="AK2175" s="15">
        <v>0</v>
      </c>
      <c r="AL2175" t="s">
        <v>1263</v>
      </c>
      <c r="AM2175">
        <v>0</v>
      </c>
      <c r="AP2175">
        <v>56</v>
      </c>
      <c r="AR2175" s="15" t="s">
        <v>1155</v>
      </c>
    </row>
    <row r="2176" spans="1:44" x14ac:dyDescent="0.2">
      <c r="A2176" t="s">
        <v>1378</v>
      </c>
      <c r="B2176" s="15" t="s">
        <v>1146</v>
      </c>
      <c r="C2176" s="15" t="s">
        <v>1149</v>
      </c>
      <c r="D2176" s="14" t="s">
        <v>475</v>
      </c>
      <c r="E2176" s="14" t="s">
        <v>3044</v>
      </c>
      <c r="G2176" s="15" t="s">
        <v>1165</v>
      </c>
      <c r="H2176" s="14" t="s">
        <v>1165</v>
      </c>
      <c r="I2176" s="14" t="s">
        <v>3033</v>
      </c>
      <c r="M2176" s="14" t="s">
        <v>3034</v>
      </c>
      <c r="O2176">
        <v>2004</v>
      </c>
      <c r="Q2176" t="s">
        <v>1329</v>
      </c>
      <c r="R2176">
        <v>14</v>
      </c>
      <c r="T2176" t="s">
        <v>3035</v>
      </c>
      <c r="U2176" s="14" t="s">
        <v>1246</v>
      </c>
      <c r="V2176" s="9" t="s">
        <v>3036</v>
      </c>
      <c r="W2176">
        <v>120</v>
      </c>
      <c r="X2176" s="9" t="s">
        <v>3040</v>
      </c>
      <c r="Z2176" s="5"/>
      <c r="AD2176" s="14" t="s">
        <v>1165</v>
      </c>
      <c r="AF2176" t="s">
        <v>1165</v>
      </c>
      <c r="AI2176" t="s">
        <v>1165</v>
      </c>
      <c r="AJ2176" s="15" t="s">
        <v>1148</v>
      </c>
      <c r="AK2176" s="15">
        <v>0</v>
      </c>
      <c r="AL2176" t="s">
        <v>1263</v>
      </c>
      <c r="AM2176">
        <v>0</v>
      </c>
      <c r="AP2176">
        <v>28</v>
      </c>
      <c r="AR2176" s="15" t="s">
        <v>1155</v>
      </c>
    </row>
    <row r="2177" spans="1:44" x14ac:dyDescent="0.2">
      <c r="A2177" t="s">
        <v>1378</v>
      </c>
      <c r="B2177" s="15" t="s">
        <v>1146</v>
      </c>
      <c r="C2177" s="15" t="s">
        <v>1149</v>
      </c>
      <c r="D2177" s="14" t="s">
        <v>475</v>
      </c>
      <c r="E2177" s="14" t="s">
        <v>3044</v>
      </c>
      <c r="G2177" s="15" t="s">
        <v>1165</v>
      </c>
      <c r="H2177" s="14" t="s">
        <v>1165</v>
      </c>
      <c r="I2177" s="14" t="s">
        <v>3033</v>
      </c>
      <c r="M2177" s="14" t="s">
        <v>3034</v>
      </c>
      <c r="O2177">
        <v>2004</v>
      </c>
      <c r="Q2177" t="s">
        <v>1329</v>
      </c>
      <c r="R2177">
        <v>14</v>
      </c>
      <c r="T2177" t="s">
        <v>3035</v>
      </c>
      <c r="U2177" s="14" t="s">
        <v>1246</v>
      </c>
      <c r="V2177" s="9" t="s">
        <v>3036</v>
      </c>
      <c r="W2177">
        <v>120</v>
      </c>
      <c r="X2177" s="9" t="s">
        <v>3040</v>
      </c>
      <c r="Z2177" s="5"/>
      <c r="AD2177" s="14" t="s">
        <v>1165</v>
      </c>
      <c r="AF2177" t="s">
        <v>1165</v>
      </c>
      <c r="AI2177" t="s">
        <v>1165</v>
      </c>
      <c r="AJ2177" s="15" t="s">
        <v>1148</v>
      </c>
      <c r="AK2177" s="15">
        <v>0</v>
      </c>
      <c r="AL2177" t="s">
        <v>1263</v>
      </c>
      <c r="AM2177">
        <v>0</v>
      </c>
      <c r="AP2177">
        <v>56</v>
      </c>
      <c r="AR2177" s="15" t="s">
        <v>1155</v>
      </c>
    </row>
    <row r="2178" spans="1:44" x14ac:dyDescent="0.2">
      <c r="A2178" t="s">
        <v>1378</v>
      </c>
      <c r="B2178" s="15" t="s">
        <v>1146</v>
      </c>
      <c r="C2178" s="15" t="s">
        <v>1149</v>
      </c>
      <c r="D2178" s="14" t="s">
        <v>475</v>
      </c>
      <c r="E2178" s="14" t="s">
        <v>3044</v>
      </c>
      <c r="G2178" s="15" t="s">
        <v>1165</v>
      </c>
      <c r="H2178" s="14" t="s">
        <v>1165</v>
      </c>
      <c r="I2178" s="14" t="s">
        <v>3033</v>
      </c>
      <c r="M2178" s="14" t="s">
        <v>3034</v>
      </c>
      <c r="O2178">
        <v>2004</v>
      </c>
      <c r="Q2178" t="s">
        <v>1329</v>
      </c>
      <c r="R2178">
        <v>14</v>
      </c>
      <c r="T2178" t="s">
        <v>3035</v>
      </c>
      <c r="U2178" s="14" t="s">
        <v>1246</v>
      </c>
      <c r="V2178" s="9" t="s">
        <v>3036</v>
      </c>
      <c r="W2178">
        <v>150</v>
      </c>
      <c r="X2178" s="9" t="s">
        <v>3040</v>
      </c>
      <c r="Z2178" s="5"/>
      <c r="AD2178" s="14" t="s">
        <v>1165</v>
      </c>
      <c r="AF2178" t="s">
        <v>1165</v>
      </c>
      <c r="AI2178" t="s">
        <v>1165</v>
      </c>
      <c r="AJ2178" s="15" t="s">
        <v>1148</v>
      </c>
      <c r="AK2178" s="15">
        <v>0</v>
      </c>
      <c r="AL2178" t="s">
        <v>1263</v>
      </c>
      <c r="AM2178">
        <v>0</v>
      </c>
      <c r="AP2178">
        <v>28</v>
      </c>
      <c r="AR2178" s="15" t="s">
        <v>1155</v>
      </c>
    </row>
    <row r="2179" spans="1:44" x14ac:dyDescent="0.2">
      <c r="A2179" t="s">
        <v>1378</v>
      </c>
      <c r="B2179" s="15" t="s">
        <v>1146</v>
      </c>
      <c r="C2179" s="15" t="s">
        <v>1149</v>
      </c>
      <c r="D2179" s="14" t="s">
        <v>475</v>
      </c>
      <c r="E2179" s="14" t="s">
        <v>3044</v>
      </c>
      <c r="G2179" s="15" t="s">
        <v>1165</v>
      </c>
      <c r="H2179" s="14" t="s">
        <v>1165</v>
      </c>
      <c r="I2179" s="14" t="s">
        <v>3033</v>
      </c>
      <c r="M2179" s="14" t="s">
        <v>3034</v>
      </c>
      <c r="O2179">
        <v>2004</v>
      </c>
      <c r="Q2179" t="s">
        <v>1329</v>
      </c>
      <c r="R2179">
        <v>14</v>
      </c>
      <c r="T2179" t="s">
        <v>3035</v>
      </c>
      <c r="U2179" s="14" t="s">
        <v>1246</v>
      </c>
      <c r="V2179" s="9" t="s">
        <v>3036</v>
      </c>
      <c r="W2179">
        <v>150</v>
      </c>
      <c r="X2179" s="9" t="s">
        <v>3040</v>
      </c>
      <c r="Z2179" s="5"/>
      <c r="AD2179" s="14" t="s">
        <v>1165</v>
      </c>
      <c r="AF2179" t="s">
        <v>1165</v>
      </c>
      <c r="AI2179" t="s">
        <v>1165</v>
      </c>
      <c r="AJ2179" s="15" t="s">
        <v>1148</v>
      </c>
      <c r="AK2179" s="15">
        <v>0</v>
      </c>
      <c r="AL2179" t="s">
        <v>1263</v>
      </c>
      <c r="AM2179">
        <v>0</v>
      </c>
      <c r="AP2179">
        <v>56</v>
      </c>
      <c r="AR2179" s="15" t="s">
        <v>1155</v>
      </c>
    </row>
    <row r="2180" spans="1:44" x14ac:dyDescent="0.2">
      <c r="A2180" t="s">
        <v>1378</v>
      </c>
      <c r="B2180" s="15" t="s">
        <v>1146</v>
      </c>
      <c r="C2180" s="15" t="s">
        <v>1149</v>
      </c>
      <c r="D2180" s="14" t="s">
        <v>475</v>
      </c>
      <c r="E2180" s="14" t="s">
        <v>3044</v>
      </c>
      <c r="G2180" s="15" t="s">
        <v>1165</v>
      </c>
      <c r="H2180" s="14" t="s">
        <v>1165</v>
      </c>
      <c r="I2180" s="14" t="s">
        <v>3033</v>
      </c>
      <c r="M2180" s="14" t="s">
        <v>3034</v>
      </c>
      <c r="O2180">
        <v>2004</v>
      </c>
      <c r="Q2180" t="s">
        <v>1329</v>
      </c>
      <c r="R2180">
        <v>14</v>
      </c>
      <c r="T2180" t="s">
        <v>3035</v>
      </c>
      <c r="U2180" s="14" t="s">
        <v>1246</v>
      </c>
      <c r="V2180" s="9" t="s">
        <v>3036</v>
      </c>
      <c r="W2180">
        <v>180</v>
      </c>
      <c r="X2180" s="9" t="s">
        <v>3040</v>
      </c>
      <c r="Z2180" s="5"/>
      <c r="AD2180" s="14" t="s">
        <v>1165</v>
      </c>
      <c r="AF2180" t="s">
        <v>1165</v>
      </c>
      <c r="AI2180" t="s">
        <v>1165</v>
      </c>
      <c r="AJ2180" s="15" t="s">
        <v>1148</v>
      </c>
      <c r="AK2180" s="15">
        <v>0</v>
      </c>
      <c r="AL2180" t="s">
        <v>1263</v>
      </c>
      <c r="AM2180">
        <v>0</v>
      </c>
      <c r="AP2180">
        <v>28</v>
      </c>
      <c r="AR2180" s="15" t="s">
        <v>1155</v>
      </c>
    </row>
    <row r="2181" spans="1:44" x14ac:dyDescent="0.2">
      <c r="A2181" t="s">
        <v>1378</v>
      </c>
      <c r="B2181" s="15" t="s">
        <v>1146</v>
      </c>
      <c r="C2181" s="15" t="s">
        <v>1149</v>
      </c>
      <c r="D2181" s="14" t="s">
        <v>475</v>
      </c>
      <c r="E2181" s="14" t="s">
        <v>3044</v>
      </c>
      <c r="G2181" s="15" t="s">
        <v>1165</v>
      </c>
      <c r="H2181" s="14" t="s">
        <v>1165</v>
      </c>
      <c r="I2181" s="14" t="s">
        <v>3033</v>
      </c>
      <c r="M2181" s="14" t="s">
        <v>3034</v>
      </c>
      <c r="O2181">
        <v>2004</v>
      </c>
      <c r="Q2181" t="s">
        <v>1329</v>
      </c>
      <c r="R2181">
        <v>14</v>
      </c>
      <c r="T2181" t="s">
        <v>3035</v>
      </c>
      <c r="U2181" s="14" t="s">
        <v>1246</v>
      </c>
      <c r="V2181" s="9" t="s">
        <v>3036</v>
      </c>
      <c r="W2181">
        <v>180</v>
      </c>
      <c r="X2181" s="9" t="s">
        <v>3040</v>
      </c>
      <c r="Z2181" s="5"/>
      <c r="AD2181" s="14" t="s">
        <v>1165</v>
      </c>
      <c r="AF2181" t="s">
        <v>1165</v>
      </c>
      <c r="AI2181" t="s">
        <v>1165</v>
      </c>
      <c r="AJ2181" s="15" t="s">
        <v>1148</v>
      </c>
      <c r="AK2181" s="15">
        <v>0</v>
      </c>
      <c r="AL2181" t="s">
        <v>1263</v>
      </c>
      <c r="AM2181">
        <v>0</v>
      </c>
      <c r="AP2181">
        <v>56</v>
      </c>
      <c r="AR2181" s="15" t="s">
        <v>1155</v>
      </c>
    </row>
    <row r="2182" spans="1:44" x14ac:dyDescent="0.2">
      <c r="A2182" t="s">
        <v>1378</v>
      </c>
      <c r="B2182" s="15" t="s">
        <v>1146</v>
      </c>
      <c r="C2182" s="15" t="s">
        <v>1149</v>
      </c>
      <c r="D2182" s="14" t="s">
        <v>475</v>
      </c>
      <c r="E2182" s="14" t="s">
        <v>3045</v>
      </c>
      <c r="G2182" s="15" t="s">
        <v>1165</v>
      </c>
      <c r="H2182" s="14" t="s">
        <v>1165</v>
      </c>
      <c r="I2182" s="14" t="s">
        <v>3033</v>
      </c>
      <c r="M2182" s="14" t="s">
        <v>3034</v>
      </c>
      <c r="O2182">
        <v>2004</v>
      </c>
      <c r="Q2182" t="s">
        <v>1329</v>
      </c>
      <c r="R2182">
        <v>14</v>
      </c>
      <c r="T2182" t="s">
        <v>3035</v>
      </c>
      <c r="U2182" s="14" t="s">
        <v>1246</v>
      </c>
      <c r="V2182" s="9" t="s">
        <v>3036</v>
      </c>
      <c r="W2182">
        <v>0</v>
      </c>
      <c r="X2182" s="9" t="s">
        <v>3037</v>
      </c>
      <c r="Z2182" s="5"/>
      <c r="AD2182" s="14" t="s">
        <v>1165</v>
      </c>
      <c r="AF2182" t="s">
        <v>1165</v>
      </c>
      <c r="AI2182" t="s">
        <v>1165</v>
      </c>
      <c r="AJ2182" s="15" t="s">
        <v>1148</v>
      </c>
      <c r="AK2182" s="15">
        <v>0</v>
      </c>
      <c r="AL2182" t="s">
        <v>1263</v>
      </c>
      <c r="AM2182">
        <v>0</v>
      </c>
      <c r="AP2182">
        <v>28</v>
      </c>
      <c r="AR2182" s="15" t="s">
        <v>1155</v>
      </c>
    </row>
    <row r="2183" spans="1:44" x14ac:dyDescent="0.2">
      <c r="A2183" t="s">
        <v>1378</v>
      </c>
      <c r="B2183" s="15" t="s">
        <v>1146</v>
      </c>
      <c r="C2183" s="15" t="s">
        <v>1149</v>
      </c>
      <c r="D2183" s="14" t="s">
        <v>475</v>
      </c>
      <c r="E2183" s="14" t="s">
        <v>3045</v>
      </c>
      <c r="G2183" s="15" t="s">
        <v>1165</v>
      </c>
      <c r="H2183" s="14" t="s">
        <v>1165</v>
      </c>
      <c r="I2183" s="14" t="s">
        <v>3033</v>
      </c>
      <c r="M2183" s="14" t="s">
        <v>3034</v>
      </c>
      <c r="O2183">
        <v>2004</v>
      </c>
      <c r="Q2183" t="s">
        <v>1329</v>
      </c>
      <c r="R2183">
        <v>14</v>
      </c>
      <c r="T2183" t="s">
        <v>3035</v>
      </c>
      <c r="U2183" s="14" t="s">
        <v>1246</v>
      </c>
      <c r="V2183" s="9" t="s">
        <v>3036</v>
      </c>
      <c r="W2183">
        <v>0</v>
      </c>
      <c r="X2183" s="9" t="s">
        <v>3037</v>
      </c>
      <c r="Z2183" s="5"/>
      <c r="AD2183" s="14" t="s">
        <v>1165</v>
      </c>
      <c r="AF2183" t="s">
        <v>1165</v>
      </c>
      <c r="AI2183" t="s">
        <v>1165</v>
      </c>
      <c r="AJ2183" s="15" t="s">
        <v>1148</v>
      </c>
      <c r="AK2183" s="15">
        <v>0</v>
      </c>
      <c r="AL2183" t="s">
        <v>1263</v>
      </c>
      <c r="AM2183">
        <v>0</v>
      </c>
      <c r="AP2183">
        <v>56</v>
      </c>
      <c r="AR2183" s="15" t="s">
        <v>1155</v>
      </c>
    </row>
    <row r="2184" spans="1:44" x14ac:dyDescent="0.2">
      <c r="A2184" t="s">
        <v>1378</v>
      </c>
      <c r="B2184" s="15" t="s">
        <v>1146</v>
      </c>
      <c r="C2184" s="15" t="s">
        <v>1149</v>
      </c>
      <c r="D2184" s="14" t="s">
        <v>475</v>
      </c>
      <c r="E2184" s="14" t="s">
        <v>3045</v>
      </c>
      <c r="G2184" s="15" t="s">
        <v>1165</v>
      </c>
      <c r="H2184" s="14" t="s">
        <v>1165</v>
      </c>
      <c r="I2184" s="14" t="s">
        <v>3033</v>
      </c>
      <c r="M2184" s="14" t="s">
        <v>3034</v>
      </c>
      <c r="O2184">
        <v>2004</v>
      </c>
      <c r="Q2184" t="s">
        <v>1329</v>
      </c>
      <c r="R2184">
        <v>14</v>
      </c>
      <c r="T2184" t="s">
        <v>3035</v>
      </c>
      <c r="U2184" s="14" t="s">
        <v>1246</v>
      </c>
      <c r="V2184" s="9" t="s">
        <v>3036</v>
      </c>
      <c r="W2184">
        <v>15</v>
      </c>
      <c r="X2184" s="9" t="s">
        <v>3037</v>
      </c>
      <c r="Z2184" s="5"/>
      <c r="AD2184" s="14" t="s">
        <v>1165</v>
      </c>
      <c r="AF2184" t="s">
        <v>1165</v>
      </c>
      <c r="AI2184" t="s">
        <v>1165</v>
      </c>
      <c r="AJ2184" s="15" t="s">
        <v>1148</v>
      </c>
      <c r="AK2184" s="15">
        <v>0</v>
      </c>
      <c r="AL2184" t="s">
        <v>1263</v>
      </c>
      <c r="AM2184">
        <v>0</v>
      </c>
      <c r="AP2184">
        <v>28</v>
      </c>
      <c r="AR2184" s="15" t="s">
        <v>1155</v>
      </c>
    </row>
    <row r="2185" spans="1:44" x14ac:dyDescent="0.2">
      <c r="A2185" t="s">
        <v>1378</v>
      </c>
      <c r="B2185" s="15" t="s">
        <v>1146</v>
      </c>
      <c r="C2185" s="15" t="s">
        <v>1149</v>
      </c>
      <c r="D2185" s="14" t="s">
        <v>475</v>
      </c>
      <c r="E2185" s="14" t="s">
        <v>3045</v>
      </c>
      <c r="G2185" s="15" t="s">
        <v>1165</v>
      </c>
      <c r="H2185" s="14" t="s">
        <v>1165</v>
      </c>
      <c r="I2185" s="14" t="s">
        <v>3033</v>
      </c>
      <c r="M2185" s="14" t="s">
        <v>3034</v>
      </c>
      <c r="O2185">
        <v>2004</v>
      </c>
      <c r="Q2185" t="s">
        <v>1329</v>
      </c>
      <c r="R2185">
        <v>14</v>
      </c>
      <c r="T2185" t="s">
        <v>3035</v>
      </c>
      <c r="U2185" s="14" t="s">
        <v>1246</v>
      </c>
      <c r="V2185" s="9" t="s">
        <v>3036</v>
      </c>
      <c r="W2185">
        <v>15</v>
      </c>
      <c r="X2185" s="9" t="s">
        <v>3037</v>
      </c>
      <c r="Z2185" s="5"/>
      <c r="AD2185" s="14" t="s">
        <v>1165</v>
      </c>
      <c r="AF2185" t="s">
        <v>1165</v>
      </c>
      <c r="AI2185" t="s">
        <v>1165</v>
      </c>
      <c r="AJ2185" s="15" t="s">
        <v>1148</v>
      </c>
      <c r="AK2185" s="15">
        <v>65.793000000000006</v>
      </c>
      <c r="AL2185" t="s">
        <v>1263</v>
      </c>
      <c r="AM2185">
        <f>72.069-65.793</f>
        <v>6.2759999999999962</v>
      </c>
      <c r="AP2185">
        <v>56</v>
      </c>
      <c r="AR2185" s="15" t="s">
        <v>1155</v>
      </c>
    </row>
    <row r="2186" spans="1:44" x14ac:dyDescent="0.2">
      <c r="A2186" t="s">
        <v>1378</v>
      </c>
      <c r="B2186" s="15" t="s">
        <v>1146</v>
      </c>
      <c r="C2186" s="15" t="s">
        <v>1149</v>
      </c>
      <c r="D2186" s="14" t="s">
        <v>475</v>
      </c>
      <c r="E2186" s="14" t="s">
        <v>3045</v>
      </c>
      <c r="G2186" s="15" t="s">
        <v>1165</v>
      </c>
      <c r="H2186" s="14" t="s">
        <v>1165</v>
      </c>
      <c r="I2186" s="14" t="s">
        <v>3033</v>
      </c>
      <c r="M2186" s="14" t="s">
        <v>3034</v>
      </c>
      <c r="O2186">
        <v>2004</v>
      </c>
      <c r="Q2186" t="s">
        <v>1329</v>
      </c>
      <c r="R2186">
        <v>14</v>
      </c>
      <c r="T2186" t="s">
        <v>3035</v>
      </c>
      <c r="U2186" s="14" t="s">
        <v>1246</v>
      </c>
      <c r="V2186" s="9" t="s">
        <v>3036</v>
      </c>
      <c r="W2186">
        <v>30</v>
      </c>
      <c r="X2186" s="9" t="s">
        <v>3037</v>
      </c>
      <c r="Z2186" s="5"/>
      <c r="AD2186" s="14" t="s">
        <v>1165</v>
      </c>
      <c r="AF2186" t="s">
        <v>1165</v>
      </c>
      <c r="AI2186" t="s">
        <v>1165</v>
      </c>
      <c r="AJ2186" s="15" t="s">
        <v>1148</v>
      </c>
      <c r="AK2186" s="15">
        <v>0</v>
      </c>
      <c r="AL2186" t="s">
        <v>1263</v>
      </c>
      <c r="AM2186">
        <v>0</v>
      </c>
      <c r="AP2186">
        <v>28</v>
      </c>
      <c r="AR2186" s="15" t="s">
        <v>1155</v>
      </c>
    </row>
    <row r="2187" spans="1:44" x14ac:dyDescent="0.2">
      <c r="A2187" t="s">
        <v>1378</v>
      </c>
      <c r="B2187" s="15" t="s">
        <v>1146</v>
      </c>
      <c r="C2187" s="15" t="s">
        <v>1149</v>
      </c>
      <c r="D2187" s="14" t="s">
        <v>475</v>
      </c>
      <c r="E2187" s="14" t="s">
        <v>3045</v>
      </c>
      <c r="G2187" s="15" t="s">
        <v>1165</v>
      </c>
      <c r="H2187" s="14" t="s">
        <v>1165</v>
      </c>
      <c r="I2187" s="14" t="s">
        <v>3033</v>
      </c>
      <c r="M2187" s="14" t="s">
        <v>3034</v>
      </c>
      <c r="O2187">
        <v>2004</v>
      </c>
      <c r="Q2187" t="s">
        <v>1329</v>
      </c>
      <c r="R2187">
        <v>14</v>
      </c>
      <c r="T2187" t="s">
        <v>3035</v>
      </c>
      <c r="U2187" s="14" t="s">
        <v>1246</v>
      </c>
      <c r="V2187" s="9" t="s">
        <v>3036</v>
      </c>
      <c r="W2187">
        <v>30</v>
      </c>
      <c r="X2187" s="9" t="s">
        <v>3037</v>
      </c>
      <c r="Z2187" s="5"/>
      <c r="AD2187" s="14" t="s">
        <v>1165</v>
      </c>
      <c r="AF2187" t="s">
        <v>1165</v>
      </c>
      <c r="AI2187" t="s">
        <v>1165</v>
      </c>
      <c r="AJ2187" s="15" t="s">
        <v>1148</v>
      </c>
      <c r="AK2187" s="15">
        <v>67.655000000000001</v>
      </c>
      <c r="AL2187" t="s">
        <v>1263</v>
      </c>
      <c r="AM2187">
        <f>75.931-67.655</f>
        <v>8.2759999999999962</v>
      </c>
      <c r="AP2187">
        <v>56</v>
      </c>
      <c r="AR2187" s="15" t="s">
        <v>1155</v>
      </c>
    </row>
    <row r="2188" spans="1:44" x14ac:dyDescent="0.2">
      <c r="A2188" t="s">
        <v>1378</v>
      </c>
      <c r="B2188" s="15" t="s">
        <v>1146</v>
      </c>
      <c r="C2188" s="15" t="s">
        <v>1149</v>
      </c>
      <c r="D2188" s="14" t="s">
        <v>475</v>
      </c>
      <c r="E2188" s="14" t="s">
        <v>3045</v>
      </c>
      <c r="G2188" s="15" t="s">
        <v>1165</v>
      </c>
      <c r="H2188" s="14" t="s">
        <v>1165</v>
      </c>
      <c r="I2188" s="14" t="s">
        <v>3033</v>
      </c>
      <c r="M2188" s="14" t="s">
        <v>3034</v>
      </c>
      <c r="O2188">
        <v>2004</v>
      </c>
      <c r="Q2188" t="s">
        <v>1329</v>
      </c>
      <c r="R2188">
        <v>14</v>
      </c>
      <c r="T2188" t="s">
        <v>3035</v>
      </c>
      <c r="U2188" s="14" t="s">
        <v>1246</v>
      </c>
      <c r="V2188" s="9" t="s">
        <v>3036</v>
      </c>
      <c r="W2188">
        <v>60</v>
      </c>
      <c r="X2188" s="9" t="s">
        <v>3037</v>
      </c>
      <c r="Z2188" s="5"/>
      <c r="AD2188" s="14" t="s">
        <v>1165</v>
      </c>
      <c r="AF2188" t="s">
        <v>1165</v>
      </c>
      <c r="AI2188" t="s">
        <v>1165</v>
      </c>
      <c r="AJ2188" s="15" t="s">
        <v>1148</v>
      </c>
      <c r="AK2188" s="15">
        <v>1.448</v>
      </c>
      <c r="AL2188" t="s">
        <v>1263</v>
      </c>
      <c r="AM2188">
        <v>0</v>
      </c>
      <c r="AP2188">
        <v>28</v>
      </c>
      <c r="AR2188" s="15" t="s">
        <v>1155</v>
      </c>
    </row>
    <row r="2189" spans="1:44" x14ac:dyDescent="0.2">
      <c r="A2189" t="s">
        <v>1378</v>
      </c>
      <c r="B2189" s="15" t="s">
        <v>1146</v>
      </c>
      <c r="C2189" s="15" t="s">
        <v>1149</v>
      </c>
      <c r="D2189" s="14" t="s">
        <v>475</v>
      </c>
      <c r="E2189" s="14" t="s">
        <v>3045</v>
      </c>
      <c r="G2189" s="15" t="s">
        <v>1165</v>
      </c>
      <c r="H2189" s="14" t="s">
        <v>1165</v>
      </c>
      <c r="I2189" s="14" t="s">
        <v>3033</v>
      </c>
      <c r="M2189" s="14" t="s">
        <v>3034</v>
      </c>
      <c r="O2189">
        <v>2004</v>
      </c>
      <c r="Q2189" t="s">
        <v>1329</v>
      </c>
      <c r="R2189">
        <v>14</v>
      </c>
      <c r="T2189" t="s">
        <v>3035</v>
      </c>
      <c r="U2189" s="14" t="s">
        <v>1246</v>
      </c>
      <c r="V2189" s="9" t="s">
        <v>3036</v>
      </c>
      <c r="W2189">
        <v>60</v>
      </c>
      <c r="X2189" s="9" t="s">
        <v>3037</v>
      </c>
      <c r="Z2189" s="5"/>
      <c r="AD2189" s="14" t="s">
        <v>1165</v>
      </c>
      <c r="AF2189" t="s">
        <v>1165</v>
      </c>
      <c r="AI2189" t="s">
        <v>1165</v>
      </c>
      <c r="AJ2189" s="15" t="s">
        <v>1148</v>
      </c>
      <c r="AK2189" s="15">
        <v>73.171999999999997</v>
      </c>
      <c r="AL2189" t="s">
        <v>1263</v>
      </c>
      <c r="AM2189">
        <f>82-73.172</f>
        <v>8.828000000000003</v>
      </c>
      <c r="AP2189">
        <v>56</v>
      </c>
      <c r="AR2189" s="15" t="s">
        <v>1155</v>
      </c>
    </row>
    <row r="2190" spans="1:44" x14ac:dyDescent="0.2">
      <c r="A2190" t="s">
        <v>1378</v>
      </c>
      <c r="B2190" s="15" t="s">
        <v>1146</v>
      </c>
      <c r="C2190" s="15" t="s">
        <v>1149</v>
      </c>
      <c r="D2190" s="14" t="s">
        <v>475</v>
      </c>
      <c r="E2190" s="14" t="s">
        <v>3045</v>
      </c>
      <c r="G2190" s="15" t="s">
        <v>1165</v>
      </c>
      <c r="H2190" s="14" t="s">
        <v>1165</v>
      </c>
      <c r="I2190" s="14" t="s">
        <v>3033</v>
      </c>
      <c r="M2190" s="14" t="s">
        <v>3034</v>
      </c>
      <c r="O2190">
        <v>2004</v>
      </c>
      <c r="Q2190" t="s">
        <v>1329</v>
      </c>
      <c r="R2190">
        <v>14</v>
      </c>
      <c r="T2190" t="s">
        <v>3035</v>
      </c>
      <c r="U2190" s="14" t="s">
        <v>1246</v>
      </c>
      <c r="V2190" s="9" t="s">
        <v>3036</v>
      </c>
      <c r="W2190">
        <v>90</v>
      </c>
      <c r="X2190" s="9" t="s">
        <v>3037</v>
      </c>
      <c r="Z2190" s="5"/>
      <c r="AD2190" s="14" t="s">
        <v>1165</v>
      </c>
      <c r="AF2190" t="s">
        <v>1165</v>
      </c>
      <c r="AI2190" t="s">
        <v>1165</v>
      </c>
      <c r="AJ2190" s="15" t="s">
        <v>1148</v>
      </c>
      <c r="AK2190" s="15">
        <v>3.7240000000000002</v>
      </c>
      <c r="AL2190" t="s">
        <v>1263</v>
      </c>
      <c r="AM2190">
        <f>5.862-3.724</f>
        <v>2.1379999999999999</v>
      </c>
      <c r="AP2190">
        <v>28</v>
      </c>
      <c r="AR2190" s="15" t="s">
        <v>1155</v>
      </c>
    </row>
    <row r="2191" spans="1:44" x14ac:dyDescent="0.2">
      <c r="A2191" t="s">
        <v>1378</v>
      </c>
      <c r="B2191" s="15" t="s">
        <v>1146</v>
      </c>
      <c r="C2191" s="15" t="s">
        <v>1149</v>
      </c>
      <c r="D2191" s="14" t="s">
        <v>475</v>
      </c>
      <c r="E2191" s="14" t="s">
        <v>3045</v>
      </c>
      <c r="G2191" s="15" t="s">
        <v>1165</v>
      </c>
      <c r="H2191" s="14" t="s">
        <v>1165</v>
      </c>
      <c r="I2191" s="14" t="s">
        <v>3033</v>
      </c>
      <c r="M2191" s="14" t="s">
        <v>3034</v>
      </c>
      <c r="O2191">
        <v>2004</v>
      </c>
      <c r="Q2191" t="s">
        <v>1329</v>
      </c>
      <c r="R2191">
        <v>14</v>
      </c>
      <c r="T2191" t="s">
        <v>3035</v>
      </c>
      <c r="U2191" s="14" t="s">
        <v>1246</v>
      </c>
      <c r="V2191" s="9" t="s">
        <v>3036</v>
      </c>
      <c r="W2191">
        <v>90</v>
      </c>
      <c r="X2191" s="9" t="s">
        <v>3037</v>
      </c>
      <c r="Z2191" s="5"/>
      <c r="AD2191" s="14" t="s">
        <v>1165</v>
      </c>
      <c r="AF2191" t="s">
        <v>1165</v>
      </c>
      <c r="AI2191" t="s">
        <v>1165</v>
      </c>
      <c r="AJ2191" s="15" t="s">
        <v>1148</v>
      </c>
      <c r="AK2191" s="15">
        <v>56.276000000000003</v>
      </c>
      <c r="AL2191" t="s">
        <v>1263</v>
      </c>
      <c r="AM2191">
        <f>80.345-56.276</f>
        <v>24.068999999999996</v>
      </c>
      <c r="AP2191">
        <v>56</v>
      </c>
      <c r="AR2191" s="15" t="s">
        <v>1155</v>
      </c>
    </row>
    <row r="2192" spans="1:44" x14ac:dyDescent="0.2">
      <c r="A2192" t="s">
        <v>1378</v>
      </c>
      <c r="B2192" s="15" t="s">
        <v>1146</v>
      </c>
      <c r="C2192" s="15" t="s">
        <v>1149</v>
      </c>
      <c r="D2192" s="14" t="s">
        <v>475</v>
      </c>
      <c r="E2192" s="14" t="s">
        <v>3045</v>
      </c>
      <c r="G2192" s="15" t="s">
        <v>1165</v>
      </c>
      <c r="H2192" s="14" t="s">
        <v>1165</v>
      </c>
      <c r="I2192" s="14" t="s">
        <v>3033</v>
      </c>
      <c r="M2192" s="14" t="s">
        <v>3034</v>
      </c>
      <c r="O2192">
        <v>2004</v>
      </c>
      <c r="Q2192" t="s">
        <v>1329</v>
      </c>
      <c r="R2192">
        <v>14</v>
      </c>
      <c r="T2192" t="s">
        <v>3035</v>
      </c>
      <c r="U2192" s="14" t="s">
        <v>1246</v>
      </c>
      <c r="V2192" s="9" t="s">
        <v>3036</v>
      </c>
      <c r="W2192">
        <v>120</v>
      </c>
      <c r="X2192" s="9" t="s">
        <v>3037</v>
      </c>
      <c r="Z2192" s="5"/>
      <c r="AD2192" s="14" t="s">
        <v>1165</v>
      </c>
      <c r="AF2192" t="s">
        <v>1165</v>
      </c>
      <c r="AI2192" t="s">
        <v>1165</v>
      </c>
      <c r="AJ2192" s="15" t="s">
        <v>1148</v>
      </c>
      <c r="AK2192" s="15">
        <v>24.620999999999999</v>
      </c>
      <c r="AL2192" t="s">
        <v>1263</v>
      </c>
      <c r="AM2192">
        <f>31.517-24.621</f>
        <v>6.8960000000000008</v>
      </c>
      <c r="AP2192">
        <v>28</v>
      </c>
      <c r="AR2192" s="15" t="s">
        <v>1155</v>
      </c>
    </row>
    <row r="2193" spans="1:44" x14ac:dyDescent="0.2">
      <c r="A2193" t="s">
        <v>1378</v>
      </c>
      <c r="B2193" s="15" t="s">
        <v>1146</v>
      </c>
      <c r="C2193" s="15" t="s">
        <v>1149</v>
      </c>
      <c r="D2193" s="14" t="s">
        <v>475</v>
      </c>
      <c r="E2193" s="14" t="s">
        <v>3045</v>
      </c>
      <c r="G2193" s="15" t="s">
        <v>1165</v>
      </c>
      <c r="H2193" s="14" t="s">
        <v>1165</v>
      </c>
      <c r="I2193" s="14" t="s">
        <v>3033</v>
      </c>
      <c r="M2193" s="14" t="s">
        <v>3034</v>
      </c>
      <c r="O2193">
        <v>2004</v>
      </c>
      <c r="Q2193" t="s">
        <v>1329</v>
      </c>
      <c r="R2193">
        <v>14</v>
      </c>
      <c r="T2193" t="s">
        <v>3035</v>
      </c>
      <c r="U2193" s="14" t="s">
        <v>1246</v>
      </c>
      <c r="V2193" s="9" t="s">
        <v>3036</v>
      </c>
      <c r="W2193">
        <v>120</v>
      </c>
      <c r="X2193" s="9" t="s">
        <v>3037</v>
      </c>
      <c r="Z2193" s="5"/>
      <c r="AD2193" s="14" t="s">
        <v>1165</v>
      </c>
      <c r="AF2193" t="s">
        <v>1165</v>
      </c>
      <c r="AI2193" t="s">
        <v>1165</v>
      </c>
      <c r="AJ2193" s="15" t="s">
        <v>1148</v>
      </c>
      <c r="AK2193" s="15">
        <v>89.447999999999993</v>
      </c>
      <c r="AL2193" t="s">
        <v>1263</v>
      </c>
      <c r="AM2193">
        <f>93.31-89.448</f>
        <v>3.862000000000009</v>
      </c>
      <c r="AP2193">
        <v>56</v>
      </c>
      <c r="AR2193" s="15" t="s">
        <v>1155</v>
      </c>
    </row>
    <row r="2194" spans="1:44" x14ac:dyDescent="0.2">
      <c r="A2194" t="s">
        <v>1378</v>
      </c>
      <c r="B2194" s="15" t="s">
        <v>1146</v>
      </c>
      <c r="C2194" s="15" t="s">
        <v>1149</v>
      </c>
      <c r="D2194" s="14" t="s">
        <v>475</v>
      </c>
      <c r="E2194" s="14" t="s">
        <v>3045</v>
      </c>
      <c r="G2194" s="15" t="s">
        <v>1165</v>
      </c>
      <c r="H2194" s="14" t="s">
        <v>1165</v>
      </c>
      <c r="I2194" s="14" t="s">
        <v>3033</v>
      </c>
      <c r="M2194" s="14" t="s">
        <v>3034</v>
      </c>
      <c r="O2194">
        <v>2004</v>
      </c>
      <c r="Q2194" t="s">
        <v>1329</v>
      </c>
      <c r="R2194">
        <v>14</v>
      </c>
      <c r="T2194" t="s">
        <v>3035</v>
      </c>
      <c r="U2194" s="14" t="s">
        <v>1246</v>
      </c>
      <c r="V2194" s="9" t="s">
        <v>3036</v>
      </c>
      <c r="W2194">
        <v>150</v>
      </c>
      <c r="X2194" s="9" t="s">
        <v>3037</v>
      </c>
      <c r="Z2194" s="5"/>
      <c r="AD2194" s="14" t="s">
        <v>1165</v>
      </c>
      <c r="AF2194" t="s">
        <v>1165</v>
      </c>
      <c r="AI2194" t="s">
        <v>1165</v>
      </c>
      <c r="AJ2194" s="15" t="s">
        <v>1148</v>
      </c>
      <c r="AK2194" s="15">
        <v>40.896999999999998</v>
      </c>
      <c r="AL2194" t="s">
        <v>1263</v>
      </c>
      <c r="AM2194">
        <f>44.483-40.897</f>
        <v>3.5859999999999985</v>
      </c>
      <c r="AP2194">
        <v>28</v>
      </c>
      <c r="AR2194" s="15" t="s">
        <v>1155</v>
      </c>
    </row>
    <row r="2195" spans="1:44" x14ac:dyDescent="0.2">
      <c r="A2195" t="s">
        <v>1378</v>
      </c>
      <c r="B2195" s="15" t="s">
        <v>1146</v>
      </c>
      <c r="C2195" s="15" t="s">
        <v>1149</v>
      </c>
      <c r="D2195" s="14" t="s">
        <v>475</v>
      </c>
      <c r="E2195" s="14" t="s">
        <v>3045</v>
      </c>
      <c r="G2195" s="15" t="s">
        <v>1165</v>
      </c>
      <c r="H2195" s="14" t="s">
        <v>1165</v>
      </c>
      <c r="I2195" s="14" t="s">
        <v>3033</v>
      </c>
      <c r="M2195" s="14" t="s">
        <v>3034</v>
      </c>
      <c r="O2195">
        <v>2004</v>
      </c>
      <c r="Q2195" t="s">
        <v>1329</v>
      </c>
      <c r="R2195">
        <v>14</v>
      </c>
      <c r="T2195" t="s">
        <v>3035</v>
      </c>
      <c r="U2195" s="14" t="s">
        <v>1246</v>
      </c>
      <c r="V2195" s="9" t="s">
        <v>3036</v>
      </c>
      <c r="W2195">
        <v>150</v>
      </c>
      <c r="X2195" s="9" t="s">
        <v>3037</v>
      </c>
      <c r="Z2195" s="5"/>
      <c r="AD2195" s="14" t="s">
        <v>1165</v>
      </c>
      <c r="AF2195" t="s">
        <v>1165</v>
      </c>
      <c r="AI2195" t="s">
        <v>1165</v>
      </c>
      <c r="AJ2195" s="15" t="s">
        <v>1148</v>
      </c>
      <c r="AK2195" s="15">
        <v>93.31</v>
      </c>
      <c r="AL2195" t="s">
        <v>1263</v>
      </c>
      <c r="AM2195">
        <f>96.069-93.31</f>
        <v>2.7590000000000003</v>
      </c>
      <c r="AP2195">
        <v>56</v>
      </c>
      <c r="AR2195" s="15" t="s">
        <v>1155</v>
      </c>
    </row>
    <row r="2196" spans="1:44" x14ac:dyDescent="0.2">
      <c r="A2196" t="s">
        <v>1378</v>
      </c>
      <c r="B2196" s="15" t="s">
        <v>1146</v>
      </c>
      <c r="C2196" s="15" t="s">
        <v>1149</v>
      </c>
      <c r="D2196" s="14" t="s">
        <v>475</v>
      </c>
      <c r="E2196" s="14" t="s">
        <v>3045</v>
      </c>
      <c r="G2196" s="15" t="s">
        <v>1165</v>
      </c>
      <c r="H2196" s="14" t="s">
        <v>1165</v>
      </c>
      <c r="I2196" s="14" t="s">
        <v>3033</v>
      </c>
      <c r="M2196" s="14" t="s">
        <v>3034</v>
      </c>
      <c r="O2196">
        <v>2004</v>
      </c>
      <c r="Q2196" t="s">
        <v>1329</v>
      </c>
      <c r="R2196">
        <v>14</v>
      </c>
      <c r="T2196" t="s">
        <v>3035</v>
      </c>
      <c r="U2196" s="14" t="s">
        <v>1246</v>
      </c>
      <c r="V2196" s="9" t="s">
        <v>3036</v>
      </c>
      <c r="W2196">
        <v>180</v>
      </c>
      <c r="X2196" s="9" t="s">
        <v>3037</v>
      </c>
      <c r="Z2196" s="5"/>
      <c r="AD2196" s="14" t="s">
        <v>1165</v>
      </c>
      <c r="AF2196" t="s">
        <v>1165</v>
      </c>
      <c r="AI2196" t="s">
        <v>1165</v>
      </c>
      <c r="AJ2196" s="15" t="s">
        <v>1148</v>
      </c>
      <c r="AK2196" s="15">
        <v>33.448</v>
      </c>
      <c r="AL2196" t="s">
        <v>1263</v>
      </c>
      <c r="AM2196">
        <f>40.621-33.448</f>
        <v>7.1730000000000018</v>
      </c>
      <c r="AP2196">
        <v>28</v>
      </c>
      <c r="AR2196" s="15" t="s">
        <v>1155</v>
      </c>
    </row>
    <row r="2197" spans="1:44" x14ac:dyDescent="0.2">
      <c r="A2197" t="s">
        <v>1378</v>
      </c>
      <c r="B2197" s="15" t="s">
        <v>1146</v>
      </c>
      <c r="C2197" s="15" t="s">
        <v>1149</v>
      </c>
      <c r="D2197" s="14" t="s">
        <v>475</v>
      </c>
      <c r="E2197" s="14" t="s">
        <v>3045</v>
      </c>
      <c r="G2197" s="15" t="s">
        <v>1165</v>
      </c>
      <c r="H2197" s="14" t="s">
        <v>1165</v>
      </c>
      <c r="I2197" s="14" t="s">
        <v>3033</v>
      </c>
      <c r="M2197" s="14" t="s">
        <v>3034</v>
      </c>
      <c r="O2197">
        <v>2004</v>
      </c>
      <c r="Q2197" t="s">
        <v>1329</v>
      </c>
      <c r="R2197">
        <v>14</v>
      </c>
      <c r="T2197" t="s">
        <v>3035</v>
      </c>
      <c r="U2197" s="14" t="s">
        <v>1246</v>
      </c>
      <c r="V2197" s="9" t="s">
        <v>3036</v>
      </c>
      <c r="W2197">
        <v>180</v>
      </c>
      <c r="X2197" s="9" t="s">
        <v>3037</v>
      </c>
      <c r="Z2197" s="5"/>
      <c r="AD2197" s="14" t="s">
        <v>1165</v>
      </c>
      <c r="AF2197" t="s">
        <v>1165</v>
      </c>
      <c r="AI2197" t="s">
        <v>1165</v>
      </c>
      <c r="AJ2197" s="15" t="s">
        <v>1148</v>
      </c>
      <c r="AK2197" s="15">
        <v>89.724000000000004</v>
      </c>
      <c r="AL2197" t="s">
        <v>1263</v>
      </c>
      <c r="AM2197">
        <f>92.483-89.724</f>
        <v>2.7590000000000003</v>
      </c>
      <c r="AP2197">
        <v>56</v>
      </c>
      <c r="AR2197" s="15" t="s">
        <v>1155</v>
      </c>
    </row>
    <row r="2198" spans="1:44" x14ac:dyDescent="0.2">
      <c r="A2198" t="s">
        <v>1378</v>
      </c>
      <c r="B2198" s="15" t="s">
        <v>1146</v>
      </c>
      <c r="C2198" s="15" t="s">
        <v>1149</v>
      </c>
      <c r="D2198" s="14" t="s">
        <v>475</v>
      </c>
      <c r="E2198" s="14" t="s">
        <v>3045</v>
      </c>
      <c r="G2198" s="15" t="s">
        <v>1165</v>
      </c>
      <c r="H2198" s="14" t="s">
        <v>1165</v>
      </c>
      <c r="I2198" s="14" t="s">
        <v>3033</v>
      </c>
      <c r="M2198" s="14" t="s">
        <v>3034</v>
      </c>
      <c r="O2198">
        <v>2004</v>
      </c>
      <c r="Q2198" t="s">
        <v>1329</v>
      </c>
      <c r="R2198">
        <v>14</v>
      </c>
      <c r="T2198" t="s">
        <v>3035</v>
      </c>
      <c r="U2198" s="14" t="s">
        <v>1246</v>
      </c>
      <c r="V2198" s="9" t="s">
        <v>3036</v>
      </c>
      <c r="W2198">
        <v>0</v>
      </c>
      <c r="X2198" s="9" t="s">
        <v>3038</v>
      </c>
      <c r="Z2198" s="5"/>
      <c r="AD2198" s="14" t="s">
        <v>1165</v>
      </c>
      <c r="AF2198" t="s">
        <v>1165</v>
      </c>
      <c r="AI2198" t="s">
        <v>1165</v>
      </c>
      <c r="AJ2198" s="15" t="s">
        <v>1148</v>
      </c>
      <c r="AK2198" s="15">
        <v>8.69</v>
      </c>
      <c r="AL2198" t="s">
        <v>1263</v>
      </c>
      <c r="AM2198">
        <f>12.207-8.69</f>
        <v>3.5170000000000012</v>
      </c>
      <c r="AP2198">
        <v>28</v>
      </c>
      <c r="AR2198" s="15" t="s">
        <v>1155</v>
      </c>
    </row>
    <row r="2199" spans="1:44" x14ac:dyDescent="0.2">
      <c r="A2199" t="s">
        <v>1378</v>
      </c>
      <c r="B2199" s="15" t="s">
        <v>1146</v>
      </c>
      <c r="C2199" s="15" t="s">
        <v>1149</v>
      </c>
      <c r="D2199" s="14" t="s">
        <v>475</v>
      </c>
      <c r="E2199" s="14" t="s">
        <v>3045</v>
      </c>
      <c r="G2199" s="15" t="s">
        <v>1165</v>
      </c>
      <c r="H2199" s="14" t="s">
        <v>1165</v>
      </c>
      <c r="I2199" s="14" t="s">
        <v>3033</v>
      </c>
      <c r="M2199" s="14" t="s">
        <v>3034</v>
      </c>
      <c r="O2199">
        <v>2004</v>
      </c>
      <c r="Q2199" t="s">
        <v>1329</v>
      </c>
      <c r="R2199">
        <v>14</v>
      </c>
      <c r="T2199" t="s">
        <v>3035</v>
      </c>
      <c r="U2199" s="14" t="s">
        <v>1246</v>
      </c>
      <c r="V2199" s="9" t="s">
        <v>3036</v>
      </c>
      <c r="W2199">
        <v>0</v>
      </c>
      <c r="X2199" s="9" t="s">
        <v>3038</v>
      </c>
      <c r="Z2199" s="5"/>
      <c r="AD2199" s="14" t="s">
        <v>1165</v>
      </c>
      <c r="AF2199" t="s">
        <v>1165</v>
      </c>
      <c r="AI2199" t="s">
        <v>1165</v>
      </c>
      <c r="AJ2199" s="15" t="s">
        <v>1148</v>
      </c>
      <c r="AK2199" s="15">
        <v>47.241</v>
      </c>
      <c r="AL2199" t="s">
        <v>1263</v>
      </c>
      <c r="AM2199">
        <f>51.931-47.241</f>
        <v>4.6899999999999977</v>
      </c>
      <c r="AP2199">
        <v>56</v>
      </c>
      <c r="AR2199" s="15" t="s">
        <v>1155</v>
      </c>
    </row>
    <row r="2200" spans="1:44" x14ac:dyDescent="0.2">
      <c r="A2200" t="s">
        <v>1378</v>
      </c>
      <c r="B2200" s="15" t="s">
        <v>1146</v>
      </c>
      <c r="C2200" s="15" t="s">
        <v>1149</v>
      </c>
      <c r="D2200" s="14" t="s">
        <v>475</v>
      </c>
      <c r="E2200" s="14" t="s">
        <v>3045</v>
      </c>
      <c r="G2200" s="15" t="s">
        <v>1165</v>
      </c>
      <c r="H2200" s="14" t="s">
        <v>1165</v>
      </c>
      <c r="I2200" s="14" t="s">
        <v>3033</v>
      </c>
      <c r="M2200" s="14" t="s">
        <v>3034</v>
      </c>
      <c r="O2200">
        <v>2004</v>
      </c>
      <c r="Q2200" t="s">
        <v>1329</v>
      </c>
      <c r="R2200">
        <v>14</v>
      </c>
      <c r="T2200" t="s">
        <v>3035</v>
      </c>
      <c r="U2200" s="14" t="s">
        <v>1246</v>
      </c>
      <c r="V2200" s="9" t="s">
        <v>3036</v>
      </c>
      <c r="W2200">
        <v>15</v>
      </c>
      <c r="X2200" s="9" t="s">
        <v>3038</v>
      </c>
      <c r="Z2200" s="5"/>
      <c r="AD2200" s="14" t="s">
        <v>1165</v>
      </c>
      <c r="AF2200" t="s">
        <v>1165</v>
      </c>
      <c r="AI2200" t="s">
        <v>1165</v>
      </c>
      <c r="AJ2200" s="15" t="s">
        <v>1148</v>
      </c>
      <c r="AK2200" s="15">
        <v>59.378999999999998</v>
      </c>
      <c r="AL2200" t="s">
        <v>1263</v>
      </c>
      <c r="AM2200">
        <f>64.897-59.379</f>
        <v>5.5180000000000078</v>
      </c>
      <c r="AP2200">
        <v>28</v>
      </c>
      <c r="AR2200" s="15" t="s">
        <v>1155</v>
      </c>
    </row>
    <row r="2201" spans="1:44" x14ac:dyDescent="0.2">
      <c r="A2201" t="s">
        <v>1378</v>
      </c>
      <c r="B2201" s="15" t="s">
        <v>1146</v>
      </c>
      <c r="C2201" s="15" t="s">
        <v>1149</v>
      </c>
      <c r="D2201" s="14" t="s">
        <v>475</v>
      </c>
      <c r="E2201" s="14" t="s">
        <v>3045</v>
      </c>
      <c r="G2201" s="15" t="s">
        <v>1165</v>
      </c>
      <c r="H2201" s="14" t="s">
        <v>1165</v>
      </c>
      <c r="I2201" s="14" t="s">
        <v>3033</v>
      </c>
      <c r="M2201" s="14" t="s">
        <v>3034</v>
      </c>
      <c r="O2201">
        <v>2004</v>
      </c>
      <c r="Q2201" t="s">
        <v>1329</v>
      </c>
      <c r="R2201">
        <v>14</v>
      </c>
      <c r="T2201" t="s">
        <v>3035</v>
      </c>
      <c r="U2201" s="14" t="s">
        <v>1246</v>
      </c>
      <c r="V2201" s="9" t="s">
        <v>3036</v>
      </c>
      <c r="W2201">
        <v>15</v>
      </c>
      <c r="X2201" s="9" t="s">
        <v>3038</v>
      </c>
      <c r="Z2201" s="5"/>
      <c r="AD2201" s="14" t="s">
        <v>1165</v>
      </c>
      <c r="AF2201" t="s">
        <v>1165</v>
      </c>
      <c r="AI2201" t="s">
        <v>1165</v>
      </c>
      <c r="AJ2201" s="15" t="s">
        <v>1148</v>
      </c>
      <c r="AK2201" s="15">
        <v>93.585999999999999</v>
      </c>
      <c r="AL2201" t="s">
        <v>1263</v>
      </c>
      <c r="AM2201">
        <f>98.552-93.586</f>
        <v>4.9660000000000082</v>
      </c>
      <c r="AP2201">
        <v>56</v>
      </c>
      <c r="AR2201" s="15" t="s">
        <v>1155</v>
      </c>
    </row>
    <row r="2202" spans="1:44" x14ac:dyDescent="0.2">
      <c r="A2202" t="s">
        <v>1378</v>
      </c>
      <c r="B2202" s="15" t="s">
        <v>1146</v>
      </c>
      <c r="C2202" s="15" t="s">
        <v>1149</v>
      </c>
      <c r="D2202" s="14" t="s">
        <v>475</v>
      </c>
      <c r="E2202" s="14" t="s">
        <v>3045</v>
      </c>
      <c r="G2202" s="15" t="s">
        <v>1165</v>
      </c>
      <c r="H2202" s="14" t="s">
        <v>1165</v>
      </c>
      <c r="I2202" s="14" t="s">
        <v>3033</v>
      </c>
      <c r="M2202" s="14" t="s">
        <v>3034</v>
      </c>
      <c r="O2202">
        <v>2004</v>
      </c>
      <c r="Q2202" t="s">
        <v>1329</v>
      </c>
      <c r="R2202">
        <v>14</v>
      </c>
      <c r="T2202" t="s">
        <v>3035</v>
      </c>
      <c r="U2202" s="14" t="s">
        <v>1246</v>
      </c>
      <c r="V2202" s="9" t="s">
        <v>3036</v>
      </c>
      <c r="W2202">
        <v>30</v>
      </c>
      <c r="X2202" s="9" t="s">
        <v>3038</v>
      </c>
      <c r="Z2202" s="5"/>
      <c r="AD2202" s="14" t="s">
        <v>1165</v>
      </c>
      <c r="AF2202" t="s">
        <v>1165</v>
      </c>
      <c r="AI2202" t="s">
        <v>1165</v>
      </c>
      <c r="AJ2202" s="15" t="s">
        <v>1148</v>
      </c>
      <c r="AK2202" s="15">
        <v>70.965999999999994</v>
      </c>
      <c r="AL2202" t="s">
        <v>1263</v>
      </c>
      <c r="AM2202">
        <f>79.517-70.966</f>
        <v>8.5510000000000019</v>
      </c>
      <c r="AP2202">
        <v>28</v>
      </c>
      <c r="AR2202" s="15" t="s">
        <v>1155</v>
      </c>
    </row>
    <row r="2203" spans="1:44" x14ac:dyDescent="0.2">
      <c r="A2203" t="s">
        <v>1378</v>
      </c>
      <c r="B2203" s="15" t="s">
        <v>1146</v>
      </c>
      <c r="C2203" s="15" t="s">
        <v>1149</v>
      </c>
      <c r="D2203" s="14" t="s">
        <v>475</v>
      </c>
      <c r="E2203" s="14" t="s">
        <v>3045</v>
      </c>
      <c r="G2203" s="15" t="s">
        <v>1165</v>
      </c>
      <c r="H2203" s="14" t="s">
        <v>1165</v>
      </c>
      <c r="I2203" s="14" t="s">
        <v>3033</v>
      </c>
      <c r="M2203" s="14" t="s">
        <v>3034</v>
      </c>
      <c r="O2203">
        <v>2004</v>
      </c>
      <c r="Q2203" t="s">
        <v>1329</v>
      </c>
      <c r="R2203">
        <v>14</v>
      </c>
      <c r="T2203" t="s">
        <v>3035</v>
      </c>
      <c r="U2203" s="14" t="s">
        <v>1246</v>
      </c>
      <c r="V2203" s="9" t="s">
        <v>3036</v>
      </c>
      <c r="W2203">
        <v>30</v>
      </c>
      <c r="X2203" s="9" t="s">
        <v>3038</v>
      </c>
      <c r="Z2203" s="5"/>
      <c r="AD2203" s="14" t="s">
        <v>1165</v>
      </c>
      <c r="AF2203" t="s">
        <v>1165</v>
      </c>
      <c r="AI2203" t="s">
        <v>1165</v>
      </c>
      <c r="AJ2203" s="15" t="s">
        <v>1148</v>
      </c>
      <c r="AK2203" s="15">
        <v>94.965999999999994</v>
      </c>
      <c r="AL2203" t="s">
        <v>1263</v>
      </c>
      <c r="AM2203">
        <f>101.034-94.966</f>
        <v>6.0680000000000121</v>
      </c>
      <c r="AP2203">
        <v>56</v>
      </c>
      <c r="AR2203" s="15" t="s">
        <v>1155</v>
      </c>
    </row>
    <row r="2204" spans="1:44" x14ac:dyDescent="0.2">
      <c r="A2204" t="s">
        <v>1378</v>
      </c>
      <c r="B2204" s="15" t="s">
        <v>1146</v>
      </c>
      <c r="C2204" s="15" t="s">
        <v>1149</v>
      </c>
      <c r="D2204" s="14" t="s">
        <v>475</v>
      </c>
      <c r="E2204" s="14" t="s">
        <v>3045</v>
      </c>
      <c r="G2204" s="15" t="s">
        <v>1165</v>
      </c>
      <c r="H2204" s="14" t="s">
        <v>1165</v>
      </c>
      <c r="I2204" s="14" t="s">
        <v>3033</v>
      </c>
      <c r="M2204" s="14" t="s">
        <v>3034</v>
      </c>
      <c r="O2204">
        <v>2004</v>
      </c>
      <c r="Q2204" t="s">
        <v>1329</v>
      </c>
      <c r="R2204">
        <v>14</v>
      </c>
      <c r="T2204" t="s">
        <v>3035</v>
      </c>
      <c r="U2204" s="14" t="s">
        <v>1246</v>
      </c>
      <c r="V2204" s="9" t="s">
        <v>3036</v>
      </c>
      <c r="W2204">
        <v>60</v>
      </c>
      <c r="X2204" s="9" t="s">
        <v>3038</v>
      </c>
      <c r="Z2204" s="5"/>
      <c r="AD2204" s="14" t="s">
        <v>1165</v>
      </c>
      <c r="AF2204" t="s">
        <v>1165</v>
      </c>
      <c r="AI2204" t="s">
        <v>1165</v>
      </c>
      <c r="AJ2204" s="15" t="s">
        <v>1148</v>
      </c>
      <c r="AK2204" s="15">
        <v>73.655000000000001</v>
      </c>
      <c r="AL2204" t="s">
        <v>1263</v>
      </c>
      <c r="AM2204">
        <f>94.138-73.655</f>
        <v>20.483000000000004</v>
      </c>
      <c r="AP2204">
        <v>28</v>
      </c>
      <c r="AR2204" s="15" t="s">
        <v>1155</v>
      </c>
    </row>
    <row r="2205" spans="1:44" x14ac:dyDescent="0.2">
      <c r="A2205" t="s">
        <v>1378</v>
      </c>
      <c r="B2205" s="15" t="s">
        <v>1146</v>
      </c>
      <c r="C2205" s="15" t="s">
        <v>1149</v>
      </c>
      <c r="D2205" s="14" t="s">
        <v>475</v>
      </c>
      <c r="E2205" s="14" t="s">
        <v>3045</v>
      </c>
      <c r="G2205" s="15" t="s">
        <v>1165</v>
      </c>
      <c r="H2205" s="14" t="s">
        <v>1165</v>
      </c>
      <c r="I2205" s="14" t="s">
        <v>3033</v>
      </c>
      <c r="M2205" s="14" t="s">
        <v>3034</v>
      </c>
      <c r="O2205">
        <v>2004</v>
      </c>
      <c r="Q2205" t="s">
        <v>1329</v>
      </c>
      <c r="R2205">
        <v>14</v>
      </c>
      <c r="T2205" t="s">
        <v>3035</v>
      </c>
      <c r="U2205" s="14" t="s">
        <v>1246</v>
      </c>
      <c r="V2205" s="9" t="s">
        <v>3036</v>
      </c>
      <c r="W2205">
        <v>60</v>
      </c>
      <c r="X2205" s="9" t="s">
        <v>3038</v>
      </c>
      <c r="Z2205" s="5"/>
      <c r="AD2205" s="14" t="s">
        <v>1165</v>
      </c>
      <c r="AF2205" t="s">
        <v>1165</v>
      </c>
      <c r="AI2205" t="s">
        <v>1165</v>
      </c>
      <c r="AJ2205" s="15" t="s">
        <v>1148</v>
      </c>
      <c r="AK2205" s="15">
        <v>84.206999999999994</v>
      </c>
      <c r="AL2205" t="s">
        <v>1263</v>
      </c>
      <c r="AM2205">
        <f>96.069-84.207</f>
        <v>11.862000000000009</v>
      </c>
      <c r="AP2205">
        <v>56</v>
      </c>
      <c r="AR2205" s="15" t="s">
        <v>1155</v>
      </c>
    </row>
    <row r="2206" spans="1:44" x14ac:dyDescent="0.2">
      <c r="A2206" t="s">
        <v>1378</v>
      </c>
      <c r="B2206" s="15" t="s">
        <v>1146</v>
      </c>
      <c r="C2206" s="15" t="s">
        <v>1149</v>
      </c>
      <c r="D2206" s="14" t="s">
        <v>475</v>
      </c>
      <c r="E2206" s="14" t="s">
        <v>3045</v>
      </c>
      <c r="G2206" s="15" t="s">
        <v>1165</v>
      </c>
      <c r="H2206" s="14" t="s">
        <v>1165</v>
      </c>
      <c r="I2206" s="14" t="s">
        <v>3033</v>
      </c>
      <c r="M2206" s="14" t="s">
        <v>3034</v>
      </c>
      <c r="O2206">
        <v>2004</v>
      </c>
      <c r="Q2206" t="s">
        <v>1329</v>
      </c>
      <c r="R2206">
        <v>14</v>
      </c>
      <c r="T2206" t="s">
        <v>3035</v>
      </c>
      <c r="U2206" s="14" t="s">
        <v>1246</v>
      </c>
      <c r="V2206" s="9" t="s">
        <v>3036</v>
      </c>
      <c r="W2206">
        <v>90</v>
      </c>
      <c r="X2206" s="9" t="s">
        <v>3038</v>
      </c>
      <c r="Z2206" s="5"/>
      <c r="AD2206" s="14" t="s">
        <v>1165</v>
      </c>
      <c r="AF2206" t="s">
        <v>1165</v>
      </c>
      <c r="AI2206" t="s">
        <v>1165</v>
      </c>
      <c r="AJ2206" s="15" t="s">
        <v>1148</v>
      </c>
      <c r="AK2206" s="15">
        <v>91.930999999999997</v>
      </c>
      <c r="AL2206" t="s">
        <v>1263</v>
      </c>
      <c r="AM2206">
        <f>94.69-91.931</f>
        <v>2.7590000000000003</v>
      </c>
      <c r="AP2206">
        <v>28</v>
      </c>
      <c r="AR2206" s="15" t="s">
        <v>1155</v>
      </c>
    </row>
    <row r="2207" spans="1:44" x14ac:dyDescent="0.2">
      <c r="A2207" t="s">
        <v>1378</v>
      </c>
      <c r="B2207" s="15" t="s">
        <v>1146</v>
      </c>
      <c r="C2207" s="15" t="s">
        <v>1149</v>
      </c>
      <c r="D2207" s="14" t="s">
        <v>475</v>
      </c>
      <c r="E2207" s="14" t="s">
        <v>3045</v>
      </c>
      <c r="G2207" s="15" t="s">
        <v>1165</v>
      </c>
      <c r="H2207" s="14" t="s">
        <v>1165</v>
      </c>
      <c r="I2207" s="14" t="s">
        <v>3033</v>
      </c>
      <c r="M2207" s="14" t="s">
        <v>3034</v>
      </c>
      <c r="O2207">
        <v>2004</v>
      </c>
      <c r="Q2207" t="s">
        <v>1329</v>
      </c>
      <c r="R2207">
        <v>14</v>
      </c>
      <c r="T2207" t="s">
        <v>3035</v>
      </c>
      <c r="U2207" s="14" t="s">
        <v>1246</v>
      </c>
      <c r="V2207" s="9" t="s">
        <v>3036</v>
      </c>
      <c r="W2207">
        <v>90</v>
      </c>
      <c r="X2207" s="9" t="s">
        <v>3038</v>
      </c>
      <c r="Z2207" s="5"/>
      <c r="AD2207" s="14" t="s">
        <v>1165</v>
      </c>
      <c r="AF2207" t="s">
        <v>1165</v>
      </c>
      <c r="AI2207" t="s">
        <v>1165</v>
      </c>
      <c r="AJ2207" s="15" t="s">
        <v>1148</v>
      </c>
      <c r="AK2207" s="15">
        <v>93.585999999999999</v>
      </c>
      <c r="AL2207" t="s">
        <v>1263</v>
      </c>
      <c r="AM2207">
        <f>96.345-93.586</f>
        <v>2.7590000000000003</v>
      </c>
      <c r="AP2207">
        <v>56</v>
      </c>
      <c r="AR2207" s="15" t="s">
        <v>1155</v>
      </c>
    </row>
    <row r="2208" spans="1:44" x14ac:dyDescent="0.2">
      <c r="A2208" t="s">
        <v>1378</v>
      </c>
      <c r="B2208" s="15" t="s">
        <v>1146</v>
      </c>
      <c r="C2208" s="15" t="s">
        <v>1149</v>
      </c>
      <c r="D2208" s="14" t="s">
        <v>475</v>
      </c>
      <c r="E2208" s="14" t="s">
        <v>3045</v>
      </c>
      <c r="G2208" s="15" t="s">
        <v>1165</v>
      </c>
      <c r="H2208" s="14" t="s">
        <v>1165</v>
      </c>
      <c r="I2208" s="14" t="s">
        <v>3033</v>
      </c>
      <c r="M2208" s="14" t="s">
        <v>3034</v>
      </c>
      <c r="O2208">
        <v>2004</v>
      </c>
      <c r="Q2208" t="s">
        <v>1329</v>
      </c>
      <c r="R2208">
        <v>14</v>
      </c>
      <c r="T2208" t="s">
        <v>3035</v>
      </c>
      <c r="U2208" s="14" t="s">
        <v>1246</v>
      </c>
      <c r="V2208" s="9" t="s">
        <v>3036</v>
      </c>
      <c r="W2208">
        <v>120</v>
      </c>
      <c r="X2208" s="9" t="s">
        <v>3038</v>
      </c>
      <c r="Z2208" s="5"/>
      <c r="AD2208" s="14" t="s">
        <v>1165</v>
      </c>
      <c r="AF2208" t="s">
        <v>1165</v>
      </c>
      <c r="AI2208" t="s">
        <v>1165</v>
      </c>
      <c r="AJ2208" s="15" t="s">
        <v>1148</v>
      </c>
      <c r="AK2208" s="15">
        <v>88.069000000000003</v>
      </c>
      <c r="AL2208" t="s">
        <v>1263</v>
      </c>
      <c r="AM2208">
        <f>90.828-88.069</f>
        <v>2.7590000000000003</v>
      </c>
      <c r="AP2208">
        <v>28</v>
      </c>
      <c r="AR2208" s="15" t="s">
        <v>1155</v>
      </c>
    </row>
    <row r="2209" spans="1:44" x14ac:dyDescent="0.2">
      <c r="A2209" t="s">
        <v>1378</v>
      </c>
      <c r="B2209" s="15" t="s">
        <v>1146</v>
      </c>
      <c r="C2209" s="15" t="s">
        <v>1149</v>
      </c>
      <c r="D2209" s="14" t="s">
        <v>475</v>
      </c>
      <c r="E2209" s="14" t="s">
        <v>3045</v>
      </c>
      <c r="G2209" s="15" t="s">
        <v>1165</v>
      </c>
      <c r="H2209" s="14" t="s">
        <v>1165</v>
      </c>
      <c r="I2209" s="14" t="s">
        <v>3033</v>
      </c>
      <c r="M2209" s="14" t="s">
        <v>3034</v>
      </c>
      <c r="O2209">
        <v>2004</v>
      </c>
      <c r="Q2209" t="s">
        <v>1329</v>
      </c>
      <c r="R2209">
        <v>14</v>
      </c>
      <c r="T2209" t="s">
        <v>3035</v>
      </c>
      <c r="U2209" s="14" t="s">
        <v>1246</v>
      </c>
      <c r="V2209" s="9" t="s">
        <v>3036</v>
      </c>
      <c r="W2209">
        <v>120</v>
      </c>
      <c r="X2209" s="9" t="s">
        <v>3038</v>
      </c>
      <c r="Z2209" s="5"/>
      <c r="AD2209" s="14" t="s">
        <v>1165</v>
      </c>
      <c r="AF2209" t="s">
        <v>1165</v>
      </c>
      <c r="AI2209" t="s">
        <v>1165</v>
      </c>
      <c r="AJ2209" s="15" t="s">
        <v>1148</v>
      </c>
      <c r="AK2209" s="15">
        <v>89.724000000000004</v>
      </c>
      <c r="AL2209" t="s">
        <v>1263</v>
      </c>
      <c r="AM2209">
        <f>92.207-89.724</f>
        <v>2.4829999999999899</v>
      </c>
      <c r="AP2209">
        <v>56</v>
      </c>
      <c r="AR2209" s="15" t="s">
        <v>1155</v>
      </c>
    </row>
    <row r="2210" spans="1:44" x14ac:dyDescent="0.2">
      <c r="A2210" t="s">
        <v>1378</v>
      </c>
      <c r="B2210" s="15" t="s">
        <v>1146</v>
      </c>
      <c r="C2210" s="15" t="s">
        <v>1149</v>
      </c>
      <c r="D2210" s="14" t="s">
        <v>475</v>
      </c>
      <c r="E2210" s="14" t="s">
        <v>3045</v>
      </c>
      <c r="G2210" s="15" t="s">
        <v>1165</v>
      </c>
      <c r="H2210" s="14" t="s">
        <v>1165</v>
      </c>
      <c r="I2210" s="14" t="s">
        <v>3033</v>
      </c>
      <c r="M2210" s="14" t="s">
        <v>3034</v>
      </c>
      <c r="O2210">
        <v>2004</v>
      </c>
      <c r="Q2210" t="s">
        <v>1329</v>
      </c>
      <c r="R2210">
        <v>14</v>
      </c>
      <c r="T2210" t="s">
        <v>3035</v>
      </c>
      <c r="U2210" s="14" t="s">
        <v>1246</v>
      </c>
      <c r="V2210" s="9" t="s">
        <v>3036</v>
      </c>
      <c r="W2210">
        <v>150</v>
      </c>
      <c r="X2210" s="9" t="s">
        <v>3038</v>
      </c>
      <c r="Z2210" s="5"/>
      <c r="AD2210" s="14" t="s">
        <v>1165</v>
      </c>
      <c r="AF2210" t="s">
        <v>1165</v>
      </c>
      <c r="AI2210" t="s">
        <v>1165</v>
      </c>
      <c r="AJ2210" s="15" t="s">
        <v>1148</v>
      </c>
      <c r="AK2210" s="15">
        <v>93.585999999999999</v>
      </c>
      <c r="AL2210" t="s">
        <v>1263</v>
      </c>
      <c r="AM2210">
        <f>98.552-93.586</f>
        <v>4.9660000000000082</v>
      </c>
      <c r="AP2210">
        <v>28</v>
      </c>
      <c r="AR2210" s="15" t="s">
        <v>1155</v>
      </c>
    </row>
    <row r="2211" spans="1:44" x14ac:dyDescent="0.2">
      <c r="A2211" t="s">
        <v>1378</v>
      </c>
      <c r="B2211" s="15" t="s">
        <v>1146</v>
      </c>
      <c r="C2211" s="15" t="s">
        <v>1149</v>
      </c>
      <c r="D2211" s="14" t="s">
        <v>475</v>
      </c>
      <c r="E2211" s="14" t="s">
        <v>3045</v>
      </c>
      <c r="G2211" s="15" t="s">
        <v>1165</v>
      </c>
      <c r="H2211" s="14" t="s">
        <v>1165</v>
      </c>
      <c r="I2211" s="14" t="s">
        <v>3033</v>
      </c>
      <c r="M2211" s="14" t="s">
        <v>3034</v>
      </c>
      <c r="O2211">
        <v>2004</v>
      </c>
      <c r="Q2211" t="s">
        <v>1329</v>
      </c>
      <c r="R2211">
        <v>14</v>
      </c>
      <c r="T2211" t="s">
        <v>3035</v>
      </c>
      <c r="U2211" s="14" t="s">
        <v>1246</v>
      </c>
      <c r="V2211" s="9" t="s">
        <v>3036</v>
      </c>
      <c r="W2211">
        <v>150</v>
      </c>
      <c r="X2211" s="9" t="s">
        <v>3038</v>
      </c>
      <c r="Z2211" s="5"/>
      <c r="AD2211" s="14" t="s">
        <v>1165</v>
      </c>
      <c r="AF2211" t="s">
        <v>1165</v>
      </c>
      <c r="AI2211" t="s">
        <v>1165</v>
      </c>
      <c r="AJ2211" s="15" t="s">
        <v>1148</v>
      </c>
      <c r="AK2211" s="15">
        <v>94.965999999999994</v>
      </c>
      <c r="AL2211" t="s">
        <v>1263</v>
      </c>
      <c r="AM2211">
        <f>99.103-94.966</f>
        <v>4.1370000000000005</v>
      </c>
      <c r="AP2211">
        <v>56</v>
      </c>
      <c r="AR2211" s="15" t="s">
        <v>1155</v>
      </c>
    </row>
    <row r="2212" spans="1:44" x14ac:dyDescent="0.2">
      <c r="A2212" t="s">
        <v>1378</v>
      </c>
      <c r="B2212" s="15" t="s">
        <v>1146</v>
      </c>
      <c r="C2212" s="15" t="s">
        <v>1149</v>
      </c>
      <c r="D2212" s="14" t="s">
        <v>475</v>
      </c>
      <c r="E2212" s="14" t="s">
        <v>3045</v>
      </c>
      <c r="G2212" s="15" t="s">
        <v>1165</v>
      </c>
      <c r="H2212" s="14" t="s">
        <v>1165</v>
      </c>
      <c r="I2212" s="14" t="s">
        <v>3033</v>
      </c>
      <c r="M2212" s="14" t="s">
        <v>3034</v>
      </c>
      <c r="O2212">
        <v>2004</v>
      </c>
      <c r="Q2212" t="s">
        <v>1329</v>
      </c>
      <c r="R2212">
        <v>14</v>
      </c>
      <c r="T2212" t="s">
        <v>3035</v>
      </c>
      <c r="U2212" s="14" t="s">
        <v>1246</v>
      </c>
      <c r="V2212" s="9" t="s">
        <v>3036</v>
      </c>
      <c r="W2212">
        <v>180</v>
      </c>
      <c r="X2212" s="9" t="s">
        <v>3038</v>
      </c>
      <c r="Z2212" s="5"/>
      <c r="AD2212" s="14" t="s">
        <v>1165</v>
      </c>
      <c r="AF2212" t="s">
        <v>1165</v>
      </c>
      <c r="AI2212" t="s">
        <v>1165</v>
      </c>
      <c r="AJ2212" s="15" t="s">
        <v>1148</v>
      </c>
      <c r="AK2212" s="15">
        <v>93.31</v>
      </c>
      <c r="AL2212" t="s">
        <v>1263</v>
      </c>
      <c r="AM2212">
        <f>96.897-93.31</f>
        <v>3.5870000000000033</v>
      </c>
      <c r="AP2212">
        <v>28</v>
      </c>
      <c r="AR2212" s="15" t="s">
        <v>1155</v>
      </c>
    </row>
    <row r="2213" spans="1:44" x14ac:dyDescent="0.2">
      <c r="A2213" t="s">
        <v>1378</v>
      </c>
      <c r="B2213" s="15" t="s">
        <v>1146</v>
      </c>
      <c r="C2213" s="15" t="s">
        <v>1149</v>
      </c>
      <c r="D2213" s="14" t="s">
        <v>475</v>
      </c>
      <c r="E2213" s="14" t="s">
        <v>3045</v>
      </c>
      <c r="G2213" s="15" t="s">
        <v>1165</v>
      </c>
      <c r="H2213" s="14" t="s">
        <v>1165</v>
      </c>
      <c r="I2213" s="14" t="s">
        <v>3033</v>
      </c>
      <c r="M2213" s="14" t="s">
        <v>3034</v>
      </c>
      <c r="O2213">
        <v>2004</v>
      </c>
      <c r="Q2213" t="s">
        <v>1329</v>
      </c>
      <c r="R2213">
        <v>14</v>
      </c>
      <c r="T2213" t="s">
        <v>3035</v>
      </c>
      <c r="U2213" s="14" t="s">
        <v>1246</v>
      </c>
      <c r="V2213" s="9" t="s">
        <v>3036</v>
      </c>
      <c r="W2213">
        <v>180</v>
      </c>
      <c r="X2213" s="9" t="s">
        <v>3038</v>
      </c>
      <c r="Z2213" s="5"/>
      <c r="AD2213" s="14" t="s">
        <v>1165</v>
      </c>
      <c r="AF2213" t="s">
        <v>1165</v>
      </c>
      <c r="AI2213" t="s">
        <v>1165</v>
      </c>
      <c r="AJ2213" s="15" t="s">
        <v>1148</v>
      </c>
      <c r="AK2213" s="15">
        <v>94.138000000000005</v>
      </c>
      <c r="AL2213" t="s">
        <v>1263</v>
      </c>
      <c r="AM2213">
        <f>97.448-94.138</f>
        <v>3.3099999999999881</v>
      </c>
      <c r="AP2213">
        <v>56</v>
      </c>
      <c r="AR2213" s="15" t="s">
        <v>1155</v>
      </c>
    </row>
    <row r="2214" spans="1:44" x14ac:dyDescent="0.2">
      <c r="A2214" t="s">
        <v>1378</v>
      </c>
      <c r="B2214" s="15" t="s">
        <v>1146</v>
      </c>
      <c r="C2214" s="15" t="s">
        <v>1149</v>
      </c>
      <c r="D2214" s="14" t="s">
        <v>475</v>
      </c>
      <c r="E2214" s="14" t="s">
        <v>3045</v>
      </c>
      <c r="G2214" s="15" t="s">
        <v>1165</v>
      </c>
      <c r="H2214" s="14" t="s">
        <v>1165</v>
      </c>
      <c r="I2214" s="14" t="s">
        <v>3033</v>
      </c>
      <c r="M2214" s="14" t="s">
        <v>3034</v>
      </c>
      <c r="O2214">
        <v>2004</v>
      </c>
      <c r="Q2214" t="s">
        <v>1329</v>
      </c>
      <c r="R2214">
        <v>14</v>
      </c>
      <c r="T2214" t="s">
        <v>3035</v>
      </c>
      <c r="U2214" s="14" t="s">
        <v>1246</v>
      </c>
      <c r="V2214" s="9" t="s">
        <v>3036</v>
      </c>
      <c r="W2214">
        <v>0</v>
      </c>
      <c r="X2214" s="9" t="s">
        <v>3039</v>
      </c>
      <c r="Z2214" s="5"/>
      <c r="AD2214" s="14" t="s">
        <v>1165</v>
      </c>
      <c r="AF2214" t="s">
        <v>1165</v>
      </c>
      <c r="AI2214" t="s">
        <v>1165</v>
      </c>
      <c r="AJ2214" s="15" t="s">
        <v>1148</v>
      </c>
      <c r="AK2214" s="15">
        <v>81.930999999999997</v>
      </c>
      <c r="AL2214" t="s">
        <v>1263</v>
      </c>
      <c r="AM2214">
        <f>89.31-81.931</f>
        <v>7.3790000000000049</v>
      </c>
      <c r="AP2214">
        <v>28</v>
      </c>
      <c r="AR2214" s="15" t="s">
        <v>1155</v>
      </c>
    </row>
    <row r="2215" spans="1:44" x14ac:dyDescent="0.2">
      <c r="A2215" t="s">
        <v>1378</v>
      </c>
      <c r="B2215" s="15" t="s">
        <v>1146</v>
      </c>
      <c r="C2215" s="15" t="s">
        <v>1149</v>
      </c>
      <c r="D2215" s="14" t="s">
        <v>475</v>
      </c>
      <c r="E2215" s="14" t="s">
        <v>3045</v>
      </c>
      <c r="G2215" s="15" t="s">
        <v>1165</v>
      </c>
      <c r="H2215" s="14" t="s">
        <v>1165</v>
      </c>
      <c r="I2215" s="14" t="s">
        <v>3033</v>
      </c>
      <c r="M2215" s="14" t="s">
        <v>3034</v>
      </c>
      <c r="O2215">
        <v>2004</v>
      </c>
      <c r="Q2215" t="s">
        <v>1329</v>
      </c>
      <c r="R2215">
        <v>14</v>
      </c>
      <c r="T2215" t="s">
        <v>3035</v>
      </c>
      <c r="U2215" s="14" t="s">
        <v>1246</v>
      </c>
      <c r="V2215" s="9" t="s">
        <v>3036</v>
      </c>
      <c r="W2215">
        <v>0</v>
      </c>
      <c r="X2215" s="9" t="s">
        <v>3039</v>
      </c>
      <c r="Z2215" s="5"/>
      <c r="AD2215" s="14" t="s">
        <v>1165</v>
      </c>
      <c r="AF2215" t="s">
        <v>1165</v>
      </c>
      <c r="AI2215" t="s">
        <v>1165</v>
      </c>
      <c r="AJ2215" s="15" t="s">
        <v>1148</v>
      </c>
      <c r="AK2215" s="15">
        <v>86</v>
      </c>
      <c r="AL2215" t="s">
        <v>1263</v>
      </c>
      <c r="AM2215">
        <f>92.621-86</f>
        <v>6.6209999999999951</v>
      </c>
      <c r="AP2215">
        <v>56</v>
      </c>
      <c r="AR2215" s="15" t="s">
        <v>1155</v>
      </c>
    </row>
    <row r="2216" spans="1:44" x14ac:dyDescent="0.2">
      <c r="A2216" t="s">
        <v>1378</v>
      </c>
      <c r="B2216" s="15" t="s">
        <v>1146</v>
      </c>
      <c r="C2216" s="15" t="s">
        <v>1149</v>
      </c>
      <c r="D2216" s="14" t="s">
        <v>475</v>
      </c>
      <c r="E2216" s="14" t="s">
        <v>3045</v>
      </c>
      <c r="G2216" s="15" t="s">
        <v>1165</v>
      </c>
      <c r="H2216" s="14" t="s">
        <v>1165</v>
      </c>
      <c r="I2216" s="14" t="s">
        <v>3033</v>
      </c>
      <c r="M2216" s="14" t="s">
        <v>3034</v>
      </c>
      <c r="O2216">
        <v>2004</v>
      </c>
      <c r="Q2216" t="s">
        <v>1329</v>
      </c>
      <c r="R2216">
        <v>14</v>
      </c>
      <c r="T2216" t="s">
        <v>3035</v>
      </c>
      <c r="U2216" s="14" t="s">
        <v>1246</v>
      </c>
      <c r="V2216" s="9" t="s">
        <v>3036</v>
      </c>
      <c r="W2216">
        <v>15</v>
      </c>
      <c r="X2216" s="9" t="s">
        <v>3039</v>
      </c>
      <c r="Z2216" s="5"/>
      <c r="AD2216" s="14" t="s">
        <v>1165</v>
      </c>
      <c r="AF2216" t="s">
        <v>1165</v>
      </c>
      <c r="AI2216" t="s">
        <v>1165</v>
      </c>
      <c r="AJ2216" s="15" t="s">
        <v>1148</v>
      </c>
      <c r="AK2216" s="15">
        <v>91.793000000000006</v>
      </c>
      <c r="AL2216" t="s">
        <v>1263</v>
      </c>
      <c r="AM2216">
        <f>94.276-91.793</f>
        <v>2.4829999999999899</v>
      </c>
      <c r="AP2216">
        <v>28</v>
      </c>
      <c r="AR2216" s="15" t="s">
        <v>1155</v>
      </c>
    </row>
    <row r="2217" spans="1:44" x14ac:dyDescent="0.2">
      <c r="A2217" t="s">
        <v>1378</v>
      </c>
      <c r="B2217" s="15" t="s">
        <v>1146</v>
      </c>
      <c r="C2217" s="15" t="s">
        <v>1149</v>
      </c>
      <c r="D2217" s="14" t="s">
        <v>475</v>
      </c>
      <c r="E2217" s="14" t="s">
        <v>3045</v>
      </c>
      <c r="G2217" s="15" t="s">
        <v>1165</v>
      </c>
      <c r="H2217" s="14" t="s">
        <v>1165</v>
      </c>
      <c r="I2217" s="14" t="s">
        <v>3033</v>
      </c>
      <c r="M2217" s="14" t="s">
        <v>3034</v>
      </c>
      <c r="O2217">
        <v>2004</v>
      </c>
      <c r="Q2217" t="s">
        <v>1329</v>
      </c>
      <c r="R2217">
        <v>14</v>
      </c>
      <c r="T2217" t="s">
        <v>3035</v>
      </c>
      <c r="U2217" s="14" t="s">
        <v>1246</v>
      </c>
      <c r="V2217" s="9" t="s">
        <v>3036</v>
      </c>
      <c r="W2217">
        <v>15</v>
      </c>
      <c r="X2217" s="9" t="s">
        <v>3039</v>
      </c>
      <c r="Z2217" s="5"/>
      <c r="AD2217" s="14" t="s">
        <v>1165</v>
      </c>
      <c r="AF2217" t="s">
        <v>1165</v>
      </c>
      <c r="AI2217" t="s">
        <v>1165</v>
      </c>
      <c r="AJ2217" s="15" t="s">
        <v>1148</v>
      </c>
      <c r="AK2217" s="15">
        <v>92.620999999999995</v>
      </c>
      <c r="AL2217" t="s">
        <v>1263</v>
      </c>
      <c r="AM2217">
        <f>95.379-92.621</f>
        <v>2.7580000000000098</v>
      </c>
      <c r="AP2217">
        <v>56</v>
      </c>
      <c r="AR2217" s="15" t="s">
        <v>1155</v>
      </c>
    </row>
    <row r="2218" spans="1:44" x14ac:dyDescent="0.2">
      <c r="A2218" t="s">
        <v>1378</v>
      </c>
      <c r="B2218" s="15" t="s">
        <v>1146</v>
      </c>
      <c r="C2218" s="15" t="s">
        <v>1149</v>
      </c>
      <c r="D2218" s="14" t="s">
        <v>475</v>
      </c>
      <c r="E2218" s="14" t="s">
        <v>3045</v>
      </c>
      <c r="G2218" s="15" t="s">
        <v>1165</v>
      </c>
      <c r="H2218" s="14" t="s">
        <v>1165</v>
      </c>
      <c r="I2218" s="14" t="s">
        <v>3033</v>
      </c>
      <c r="M2218" s="14" t="s">
        <v>3034</v>
      </c>
      <c r="O2218">
        <v>2004</v>
      </c>
      <c r="Q2218" t="s">
        <v>1329</v>
      </c>
      <c r="R2218">
        <v>14</v>
      </c>
      <c r="T2218" t="s">
        <v>3035</v>
      </c>
      <c r="U2218" s="14" t="s">
        <v>1246</v>
      </c>
      <c r="V2218" s="9" t="s">
        <v>3036</v>
      </c>
      <c r="W2218">
        <v>30</v>
      </c>
      <c r="X2218" s="9" t="s">
        <v>3039</v>
      </c>
      <c r="Z2218" s="5"/>
      <c r="AD2218" s="14" t="s">
        <v>1165</v>
      </c>
      <c r="AF2218" t="s">
        <v>1165</v>
      </c>
      <c r="AI2218" t="s">
        <v>1165</v>
      </c>
      <c r="AJ2218" s="15" t="s">
        <v>1148</v>
      </c>
      <c r="AK2218" s="15">
        <v>92.69</v>
      </c>
      <c r="AL2218" t="s">
        <v>1263</v>
      </c>
      <c r="AM2218">
        <f>94.552-92.69</f>
        <v>1.862000000000009</v>
      </c>
      <c r="AP2218">
        <v>28</v>
      </c>
      <c r="AR2218" s="15" t="s">
        <v>1155</v>
      </c>
    </row>
    <row r="2219" spans="1:44" x14ac:dyDescent="0.2">
      <c r="A2219" t="s">
        <v>1378</v>
      </c>
      <c r="B2219" s="15" t="s">
        <v>1146</v>
      </c>
      <c r="C2219" s="15" t="s">
        <v>1149</v>
      </c>
      <c r="D2219" s="14" t="s">
        <v>475</v>
      </c>
      <c r="E2219" s="14" t="s">
        <v>3045</v>
      </c>
      <c r="G2219" s="15" t="s">
        <v>1165</v>
      </c>
      <c r="H2219" s="14" t="s">
        <v>1165</v>
      </c>
      <c r="I2219" s="14" t="s">
        <v>3033</v>
      </c>
      <c r="M2219" s="14" t="s">
        <v>3034</v>
      </c>
      <c r="O2219">
        <v>2004</v>
      </c>
      <c r="Q2219" t="s">
        <v>1329</v>
      </c>
      <c r="R2219">
        <v>14</v>
      </c>
      <c r="T2219" t="s">
        <v>3035</v>
      </c>
      <c r="U2219" s="14" t="s">
        <v>1246</v>
      </c>
      <c r="V2219" s="9" t="s">
        <v>3036</v>
      </c>
      <c r="W2219">
        <v>30</v>
      </c>
      <c r="X2219" s="9" t="s">
        <v>3039</v>
      </c>
      <c r="Z2219" s="5"/>
      <c r="AD2219" s="14" t="s">
        <v>1165</v>
      </c>
      <c r="AF2219" t="s">
        <v>1165</v>
      </c>
      <c r="AI2219" t="s">
        <v>1165</v>
      </c>
      <c r="AJ2219" s="15" t="s">
        <v>1148</v>
      </c>
      <c r="AK2219" s="15">
        <v>94.828000000000003</v>
      </c>
      <c r="AL2219" t="s">
        <v>1263</v>
      </c>
      <c r="AM2219">
        <f>97.862-94.828</f>
        <v>3.0339999999999918</v>
      </c>
      <c r="AP2219">
        <v>56</v>
      </c>
      <c r="AR2219" s="15" t="s">
        <v>1155</v>
      </c>
    </row>
    <row r="2220" spans="1:44" x14ac:dyDescent="0.2">
      <c r="A2220" t="s">
        <v>1378</v>
      </c>
      <c r="B2220" s="15" t="s">
        <v>1146</v>
      </c>
      <c r="C2220" s="15" t="s">
        <v>1149</v>
      </c>
      <c r="D2220" s="14" t="s">
        <v>475</v>
      </c>
      <c r="E2220" s="14" t="s">
        <v>3045</v>
      </c>
      <c r="G2220" s="15" t="s">
        <v>1165</v>
      </c>
      <c r="H2220" s="14" t="s">
        <v>1165</v>
      </c>
      <c r="I2220" s="14" t="s">
        <v>3033</v>
      </c>
      <c r="M2220" s="14" t="s">
        <v>3034</v>
      </c>
      <c r="O2220">
        <v>2004</v>
      </c>
      <c r="Q2220" t="s">
        <v>1329</v>
      </c>
      <c r="R2220">
        <v>14</v>
      </c>
      <c r="T2220" t="s">
        <v>3035</v>
      </c>
      <c r="U2220" s="14" t="s">
        <v>1246</v>
      </c>
      <c r="V2220" s="9" t="s">
        <v>3036</v>
      </c>
      <c r="W2220">
        <v>60</v>
      </c>
      <c r="X2220" s="9" t="s">
        <v>3039</v>
      </c>
      <c r="Z2220" s="5"/>
      <c r="AD2220" s="14" t="s">
        <v>1165</v>
      </c>
      <c r="AF2220" t="s">
        <v>1165</v>
      </c>
      <c r="AI2220" t="s">
        <v>1165</v>
      </c>
      <c r="AJ2220" s="15" t="s">
        <v>1148</v>
      </c>
      <c r="AK2220" s="15">
        <v>92.620999999999995</v>
      </c>
      <c r="AL2220" t="s">
        <v>1263</v>
      </c>
      <c r="AM2220">
        <f>96.483-92.621</f>
        <v>3.862000000000009</v>
      </c>
      <c r="AP2220">
        <v>28</v>
      </c>
      <c r="AR2220" s="15" t="s">
        <v>1155</v>
      </c>
    </row>
    <row r="2221" spans="1:44" x14ac:dyDescent="0.2">
      <c r="A2221" t="s">
        <v>1378</v>
      </c>
      <c r="B2221" s="15" t="s">
        <v>1146</v>
      </c>
      <c r="C2221" s="15" t="s">
        <v>1149</v>
      </c>
      <c r="D2221" s="14" t="s">
        <v>475</v>
      </c>
      <c r="E2221" s="14" t="s">
        <v>3045</v>
      </c>
      <c r="G2221" s="15" t="s">
        <v>1165</v>
      </c>
      <c r="H2221" s="14" t="s">
        <v>1165</v>
      </c>
      <c r="I2221" s="14" t="s">
        <v>3033</v>
      </c>
      <c r="M2221" s="14" t="s">
        <v>3034</v>
      </c>
      <c r="O2221">
        <v>2004</v>
      </c>
      <c r="Q2221" t="s">
        <v>1329</v>
      </c>
      <c r="R2221">
        <v>14</v>
      </c>
      <c r="T2221" t="s">
        <v>3035</v>
      </c>
      <c r="U2221" s="14" t="s">
        <v>1246</v>
      </c>
      <c r="V2221" s="9" t="s">
        <v>3036</v>
      </c>
      <c r="W2221">
        <v>60</v>
      </c>
      <c r="X2221" s="9" t="s">
        <v>3039</v>
      </c>
      <c r="Z2221" s="5"/>
      <c r="AD2221" s="14" t="s">
        <v>1165</v>
      </c>
      <c r="AF2221" t="s">
        <v>1165</v>
      </c>
      <c r="AI2221" t="s">
        <v>1165</v>
      </c>
      <c r="AJ2221" s="15" t="s">
        <v>1148</v>
      </c>
      <c r="AK2221" s="15">
        <v>94.275999999999996</v>
      </c>
      <c r="AL2221" t="s">
        <v>1263</v>
      </c>
      <c r="AM2221">
        <f>97.862-94.276</f>
        <v>3.5859999999999985</v>
      </c>
      <c r="AP2221">
        <v>56</v>
      </c>
      <c r="AR2221" s="15" t="s">
        <v>1155</v>
      </c>
    </row>
    <row r="2222" spans="1:44" x14ac:dyDescent="0.2">
      <c r="A2222" t="s">
        <v>1378</v>
      </c>
      <c r="B2222" s="15" t="s">
        <v>1146</v>
      </c>
      <c r="C2222" s="15" t="s">
        <v>1149</v>
      </c>
      <c r="D2222" s="14" t="s">
        <v>475</v>
      </c>
      <c r="E2222" s="14" t="s">
        <v>3045</v>
      </c>
      <c r="G2222" s="15" t="s">
        <v>1165</v>
      </c>
      <c r="H2222" s="14" t="s">
        <v>1165</v>
      </c>
      <c r="I2222" s="14" t="s">
        <v>3033</v>
      </c>
      <c r="M2222" s="14" t="s">
        <v>3034</v>
      </c>
      <c r="O2222">
        <v>2004</v>
      </c>
      <c r="Q2222" t="s">
        <v>1329</v>
      </c>
      <c r="R2222">
        <v>14</v>
      </c>
      <c r="T2222" t="s">
        <v>3035</v>
      </c>
      <c r="U2222" s="14" t="s">
        <v>1246</v>
      </c>
      <c r="V2222" s="9" t="s">
        <v>3036</v>
      </c>
      <c r="W2222">
        <v>90</v>
      </c>
      <c r="X2222" s="9" t="s">
        <v>3039</v>
      </c>
      <c r="Z2222" s="5"/>
      <c r="AD2222" s="14" t="s">
        <v>1165</v>
      </c>
      <c r="AF2222" t="s">
        <v>1165</v>
      </c>
      <c r="AI2222" t="s">
        <v>1165</v>
      </c>
      <c r="AJ2222" s="15" t="s">
        <v>1148</v>
      </c>
      <c r="AK2222" s="15">
        <v>94.828000000000003</v>
      </c>
      <c r="AL2222" t="s">
        <v>1263</v>
      </c>
      <c r="AM2222">
        <f>96.207-94.828</f>
        <v>1.3789999999999907</v>
      </c>
      <c r="AP2222">
        <v>28</v>
      </c>
      <c r="AR2222" s="15" t="s">
        <v>1155</v>
      </c>
    </row>
    <row r="2223" spans="1:44" x14ac:dyDescent="0.2">
      <c r="A2223" t="s">
        <v>1378</v>
      </c>
      <c r="B2223" s="15" t="s">
        <v>1146</v>
      </c>
      <c r="C2223" s="15" t="s">
        <v>1149</v>
      </c>
      <c r="D2223" s="14" t="s">
        <v>475</v>
      </c>
      <c r="E2223" s="14" t="s">
        <v>3045</v>
      </c>
      <c r="G2223" s="15" t="s">
        <v>1165</v>
      </c>
      <c r="H2223" s="14" t="s">
        <v>1165</v>
      </c>
      <c r="I2223" s="14" t="s">
        <v>3033</v>
      </c>
      <c r="M2223" s="14" t="s">
        <v>3034</v>
      </c>
      <c r="O2223">
        <v>2004</v>
      </c>
      <c r="Q2223" t="s">
        <v>1329</v>
      </c>
      <c r="R2223">
        <v>14</v>
      </c>
      <c r="T2223" t="s">
        <v>3035</v>
      </c>
      <c r="U2223" s="14" t="s">
        <v>1246</v>
      </c>
      <c r="V2223" s="9" t="s">
        <v>3036</v>
      </c>
      <c r="W2223">
        <v>90</v>
      </c>
      <c r="X2223" s="9" t="s">
        <v>3039</v>
      </c>
      <c r="Z2223" s="5"/>
      <c r="AD2223" s="14" t="s">
        <v>1165</v>
      </c>
      <c r="AF2223" t="s">
        <v>1165</v>
      </c>
      <c r="AI2223" t="s">
        <v>1165</v>
      </c>
      <c r="AJ2223" s="15" t="s">
        <v>1148</v>
      </c>
      <c r="AK2223" s="15">
        <v>94.275999999999996</v>
      </c>
      <c r="AL2223" t="s">
        <v>1263</v>
      </c>
      <c r="AM2223">
        <f>96.207-94.276</f>
        <v>1.9309999999999974</v>
      </c>
      <c r="AP2223">
        <v>56</v>
      </c>
      <c r="AR2223" s="15" t="s">
        <v>1155</v>
      </c>
    </row>
    <row r="2224" spans="1:44" x14ac:dyDescent="0.2">
      <c r="A2224" t="s">
        <v>1378</v>
      </c>
      <c r="B2224" s="15" t="s">
        <v>1146</v>
      </c>
      <c r="C2224" s="15" t="s">
        <v>1149</v>
      </c>
      <c r="D2224" s="14" t="s">
        <v>475</v>
      </c>
      <c r="E2224" s="14" t="s">
        <v>3045</v>
      </c>
      <c r="G2224" s="15" t="s">
        <v>1165</v>
      </c>
      <c r="H2224" s="14" t="s">
        <v>1165</v>
      </c>
      <c r="I2224" s="14" t="s">
        <v>3033</v>
      </c>
      <c r="M2224" s="14" t="s">
        <v>3034</v>
      </c>
      <c r="O2224">
        <v>2004</v>
      </c>
      <c r="Q2224" t="s">
        <v>1329</v>
      </c>
      <c r="R2224">
        <v>14</v>
      </c>
      <c r="T2224" t="s">
        <v>3035</v>
      </c>
      <c r="U2224" s="14" t="s">
        <v>1246</v>
      </c>
      <c r="V2224" s="9" t="s">
        <v>3036</v>
      </c>
      <c r="W2224">
        <v>120</v>
      </c>
      <c r="X2224" s="9" t="s">
        <v>3039</v>
      </c>
      <c r="Z2224" s="5"/>
      <c r="AD2224" s="14" t="s">
        <v>1165</v>
      </c>
      <c r="AF2224" t="s">
        <v>1165</v>
      </c>
      <c r="AI2224" t="s">
        <v>1165</v>
      </c>
      <c r="AJ2224" s="15" t="s">
        <v>1148</v>
      </c>
      <c r="AK2224" s="15">
        <v>99.31</v>
      </c>
      <c r="AL2224" t="s">
        <v>1263</v>
      </c>
      <c r="AM2224">
        <f>102.276-99.31</f>
        <v>2.965999999999994</v>
      </c>
      <c r="AP2224">
        <v>28</v>
      </c>
      <c r="AR2224" s="15" t="s">
        <v>1155</v>
      </c>
    </row>
    <row r="2225" spans="1:44" x14ac:dyDescent="0.2">
      <c r="A2225" t="s">
        <v>1378</v>
      </c>
      <c r="B2225" s="15" t="s">
        <v>1146</v>
      </c>
      <c r="C2225" s="15" t="s">
        <v>1149</v>
      </c>
      <c r="D2225" s="14" t="s">
        <v>475</v>
      </c>
      <c r="E2225" s="14" t="s">
        <v>3045</v>
      </c>
      <c r="G2225" s="15" t="s">
        <v>1165</v>
      </c>
      <c r="H2225" s="14" t="s">
        <v>1165</v>
      </c>
      <c r="I2225" s="14" t="s">
        <v>3033</v>
      </c>
      <c r="M2225" s="14" t="s">
        <v>3034</v>
      </c>
      <c r="O2225">
        <v>2004</v>
      </c>
      <c r="Q2225" t="s">
        <v>1329</v>
      </c>
      <c r="R2225">
        <v>14</v>
      </c>
      <c r="T2225" t="s">
        <v>3035</v>
      </c>
      <c r="U2225" s="14" t="s">
        <v>1246</v>
      </c>
      <c r="V2225" s="9" t="s">
        <v>3036</v>
      </c>
      <c r="W2225">
        <v>120</v>
      </c>
      <c r="X2225" s="9" t="s">
        <v>3039</v>
      </c>
      <c r="Z2225" s="5"/>
      <c r="AD2225" s="14" t="s">
        <v>1165</v>
      </c>
      <c r="AF2225" t="s">
        <v>1165</v>
      </c>
      <c r="AI2225" t="s">
        <v>1165</v>
      </c>
      <c r="AJ2225" s="15" t="s">
        <v>1148</v>
      </c>
      <c r="AK2225" s="15">
        <v>99.241</v>
      </c>
      <c r="AL2225" t="s">
        <v>1263</v>
      </c>
      <c r="AM2225">
        <f>102.276-99.241</f>
        <v>3.0349999999999966</v>
      </c>
      <c r="AP2225">
        <v>56</v>
      </c>
      <c r="AR2225" s="15" t="s">
        <v>1155</v>
      </c>
    </row>
    <row r="2226" spans="1:44" x14ac:dyDescent="0.2">
      <c r="A2226" t="s">
        <v>1378</v>
      </c>
      <c r="B2226" s="15" t="s">
        <v>1146</v>
      </c>
      <c r="C2226" s="15" t="s">
        <v>1149</v>
      </c>
      <c r="D2226" s="14" t="s">
        <v>475</v>
      </c>
      <c r="E2226" s="14" t="s">
        <v>3045</v>
      </c>
      <c r="G2226" s="15" t="s">
        <v>1165</v>
      </c>
      <c r="H2226" s="14" t="s">
        <v>1165</v>
      </c>
      <c r="I2226" s="14" t="s">
        <v>3033</v>
      </c>
      <c r="M2226" s="14" t="s">
        <v>3034</v>
      </c>
      <c r="O2226">
        <v>2004</v>
      </c>
      <c r="Q2226" t="s">
        <v>1329</v>
      </c>
      <c r="R2226">
        <v>14</v>
      </c>
      <c r="T2226" t="s">
        <v>3035</v>
      </c>
      <c r="U2226" s="14" t="s">
        <v>1246</v>
      </c>
      <c r="V2226" s="9" t="s">
        <v>3036</v>
      </c>
      <c r="W2226">
        <v>150</v>
      </c>
      <c r="X2226" s="9" t="s">
        <v>3039</v>
      </c>
      <c r="Z2226" s="5"/>
      <c r="AD2226" s="14" t="s">
        <v>1165</v>
      </c>
      <c r="AF2226" t="s">
        <v>1165</v>
      </c>
      <c r="AI2226" t="s">
        <v>1165</v>
      </c>
      <c r="AJ2226" s="15" t="s">
        <v>1148</v>
      </c>
      <c r="AK2226" s="15">
        <v>98.138000000000005</v>
      </c>
      <c r="AL2226" t="s">
        <v>1263</v>
      </c>
      <c r="AM2226">
        <f>100.069-98.138</f>
        <v>1.9309999999999974</v>
      </c>
      <c r="AP2226">
        <v>28</v>
      </c>
      <c r="AR2226" s="15" t="s">
        <v>1155</v>
      </c>
    </row>
    <row r="2227" spans="1:44" x14ac:dyDescent="0.2">
      <c r="A2227" t="s">
        <v>1378</v>
      </c>
      <c r="B2227" s="15" t="s">
        <v>1146</v>
      </c>
      <c r="C2227" s="15" t="s">
        <v>1149</v>
      </c>
      <c r="D2227" s="14" t="s">
        <v>475</v>
      </c>
      <c r="E2227" s="14" t="s">
        <v>3045</v>
      </c>
      <c r="G2227" s="15" t="s">
        <v>1165</v>
      </c>
      <c r="H2227" s="14" t="s">
        <v>1165</v>
      </c>
      <c r="I2227" s="14" t="s">
        <v>3033</v>
      </c>
      <c r="M2227" s="14" t="s">
        <v>3034</v>
      </c>
      <c r="O2227">
        <v>2004</v>
      </c>
      <c r="Q2227" t="s">
        <v>1329</v>
      </c>
      <c r="R2227">
        <v>14</v>
      </c>
      <c r="T2227" t="s">
        <v>3035</v>
      </c>
      <c r="U2227" s="14" t="s">
        <v>1246</v>
      </c>
      <c r="V2227" s="9" t="s">
        <v>3036</v>
      </c>
      <c r="W2227">
        <v>150</v>
      </c>
      <c r="X2227" s="9" t="s">
        <v>3039</v>
      </c>
      <c r="Z2227" s="5"/>
      <c r="AD2227" s="14" t="s">
        <v>1165</v>
      </c>
      <c r="AF2227" t="s">
        <v>1165</v>
      </c>
      <c r="AI2227" t="s">
        <v>1165</v>
      </c>
      <c r="AJ2227" s="15" t="s">
        <v>1148</v>
      </c>
      <c r="AK2227" s="15">
        <v>97.861999999999995</v>
      </c>
      <c r="AL2227" t="s">
        <v>1263</v>
      </c>
      <c r="AM2227">
        <f>99.793-97.862</f>
        <v>1.9310000000000116</v>
      </c>
      <c r="AP2227">
        <v>56</v>
      </c>
      <c r="AR2227" s="15" t="s">
        <v>1155</v>
      </c>
    </row>
    <row r="2228" spans="1:44" x14ac:dyDescent="0.2">
      <c r="A2228" t="s">
        <v>1378</v>
      </c>
      <c r="B2228" s="15" t="s">
        <v>1146</v>
      </c>
      <c r="C2228" s="15" t="s">
        <v>1149</v>
      </c>
      <c r="D2228" s="14" t="s">
        <v>475</v>
      </c>
      <c r="E2228" s="14" t="s">
        <v>3045</v>
      </c>
      <c r="G2228" s="15" t="s">
        <v>1165</v>
      </c>
      <c r="H2228" s="14" t="s">
        <v>1165</v>
      </c>
      <c r="I2228" s="14" t="s">
        <v>3033</v>
      </c>
      <c r="M2228" s="14" t="s">
        <v>3034</v>
      </c>
      <c r="O2228">
        <v>2004</v>
      </c>
      <c r="Q2228" t="s">
        <v>1329</v>
      </c>
      <c r="R2228">
        <v>14</v>
      </c>
      <c r="T2228" t="s">
        <v>3035</v>
      </c>
      <c r="U2228" s="14" t="s">
        <v>1246</v>
      </c>
      <c r="V2228" s="9" t="s">
        <v>3036</v>
      </c>
      <c r="W2228">
        <v>180</v>
      </c>
      <c r="X2228" s="9" t="s">
        <v>3039</v>
      </c>
      <c r="Z2228" s="5"/>
      <c r="AD2228" s="14" t="s">
        <v>1165</v>
      </c>
      <c r="AF2228" t="s">
        <v>1165</v>
      </c>
      <c r="AI2228" t="s">
        <v>1165</v>
      </c>
      <c r="AJ2228" s="15" t="s">
        <v>1148</v>
      </c>
      <c r="AK2228" s="15">
        <v>94.552000000000007</v>
      </c>
      <c r="AL2228" t="s">
        <v>1263</v>
      </c>
      <c r="AM2228">
        <f>98.966-94.552</f>
        <v>4.4139999999999873</v>
      </c>
      <c r="AP2228">
        <v>28</v>
      </c>
      <c r="AR2228" s="15" t="s">
        <v>1155</v>
      </c>
    </row>
    <row r="2229" spans="1:44" x14ac:dyDescent="0.2">
      <c r="A2229" t="s">
        <v>1378</v>
      </c>
      <c r="B2229" s="15" t="s">
        <v>1146</v>
      </c>
      <c r="C2229" s="15" t="s">
        <v>1149</v>
      </c>
      <c r="D2229" s="14" t="s">
        <v>475</v>
      </c>
      <c r="E2229" s="14" t="s">
        <v>3045</v>
      </c>
      <c r="G2229" s="15" t="s">
        <v>1165</v>
      </c>
      <c r="H2229" s="14" t="s">
        <v>1165</v>
      </c>
      <c r="I2229" s="14" t="s">
        <v>3033</v>
      </c>
      <c r="M2229" s="14" t="s">
        <v>3034</v>
      </c>
      <c r="O2229">
        <v>2004</v>
      </c>
      <c r="Q2229" t="s">
        <v>1329</v>
      </c>
      <c r="R2229">
        <v>14</v>
      </c>
      <c r="T2229" t="s">
        <v>3035</v>
      </c>
      <c r="U2229" s="14" t="s">
        <v>1246</v>
      </c>
      <c r="V2229" s="9" t="s">
        <v>3036</v>
      </c>
      <c r="W2229">
        <v>180</v>
      </c>
      <c r="X2229" s="9" t="s">
        <v>3039</v>
      </c>
      <c r="Z2229" s="5"/>
      <c r="AD2229" s="14" t="s">
        <v>1165</v>
      </c>
      <c r="AF2229" t="s">
        <v>1165</v>
      </c>
      <c r="AI2229" t="s">
        <v>1165</v>
      </c>
      <c r="AJ2229" s="15" t="s">
        <v>1148</v>
      </c>
      <c r="AK2229" s="15">
        <v>94.552000000000007</v>
      </c>
      <c r="AL2229" t="s">
        <v>1263</v>
      </c>
      <c r="AM2229">
        <f>98.966-94.552</f>
        <v>4.4139999999999873</v>
      </c>
      <c r="AP2229">
        <v>56</v>
      </c>
      <c r="AR2229" s="15" t="s">
        <v>1155</v>
      </c>
    </row>
    <row r="2230" spans="1:44" x14ac:dyDescent="0.2">
      <c r="A2230" t="s">
        <v>1378</v>
      </c>
      <c r="B2230" s="15" t="s">
        <v>1146</v>
      </c>
      <c r="C2230" s="15" t="s">
        <v>1149</v>
      </c>
      <c r="D2230" s="14" t="s">
        <v>475</v>
      </c>
      <c r="E2230" s="14" t="s">
        <v>3045</v>
      </c>
      <c r="G2230" s="15" t="s">
        <v>1165</v>
      </c>
      <c r="H2230" s="14" t="s">
        <v>1165</v>
      </c>
      <c r="I2230" s="14" t="s">
        <v>3033</v>
      </c>
      <c r="M2230" s="14" t="s">
        <v>3034</v>
      </c>
      <c r="O2230">
        <v>2004</v>
      </c>
      <c r="Q2230" t="s">
        <v>1329</v>
      </c>
      <c r="R2230">
        <v>14</v>
      </c>
      <c r="T2230" t="s">
        <v>3035</v>
      </c>
      <c r="U2230" s="14" t="s">
        <v>1246</v>
      </c>
      <c r="V2230" s="9" t="s">
        <v>3036</v>
      </c>
      <c r="W2230">
        <v>0</v>
      </c>
      <c r="X2230" s="9" t="s">
        <v>3040</v>
      </c>
      <c r="Z2230" s="5"/>
      <c r="AD2230" s="14" t="s">
        <v>1165</v>
      </c>
      <c r="AF2230" t="s">
        <v>1165</v>
      </c>
      <c r="AI2230" t="s">
        <v>1165</v>
      </c>
      <c r="AJ2230" s="15" t="s">
        <v>1148</v>
      </c>
      <c r="AK2230" s="15">
        <v>17.082999999999998</v>
      </c>
      <c r="AL2230" t="s">
        <v>1263</v>
      </c>
      <c r="AM2230">
        <f>19.375-17.083</f>
        <v>2.2920000000000016</v>
      </c>
      <c r="AP2230">
        <v>28</v>
      </c>
      <c r="AR2230" s="15" t="s">
        <v>1155</v>
      </c>
    </row>
    <row r="2231" spans="1:44" x14ac:dyDescent="0.2">
      <c r="A2231" t="s">
        <v>1378</v>
      </c>
      <c r="B2231" s="15" t="s">
        <v>1146</v>
      </c>
      <c r="C2231" s="15" t="s">
        <v>1149</v>
      </c>
      <c r="D2231" s="14" t="s">
        <v>475</v>
      </c>
      <c r="E2231" s="14" t="s">
        <v>3045</v>
      </c>
      <c r="G2231" s="15" t="s">
        <v>1165</v>
      </c>
      <c r="H2231" s="14" t="s">
        <v>1165</v>
      </c>
      <c r="I2231" s="14" t="s">
        <v>3033</v>
      </c>
      <c r="M2231" s="14" t="s">
        <v>3034</v>
      </c>
      <c r="O2231">
        <v>2004</v>
      </c>
      <c r="Q2231" t="s">
        <v>1329</v>
      </c>
      <c r="R2231">
        <v>14</v>
      </c>
      <c r="T2231" t="s">
        <v>3035</v>
      </c>
      <c r="U2231" s="14" t="s">
        <v>1246</v>
      </c>
      <c r="V2231" s="9" t="s">
        <v>3036</v>
      </c>
      <c r="W2231">
        <v>0</v>
      </c>
      <c r="X2231" s="9" t="s">
        <v>3040</v>
      </c>
      <c r="Z2231" s="5"/>
      <c r="AD2231" s="14" t="s">
        <v>1165</v>
      </c>
      <c r="AF2231" t="s">
        <v>1165</v>
      </c>
      <c r="AI2231" t="s">
        <v>1165</v>
      </c>
      <c r="AJ2231" s="15" t="s">
        <v>1148</v>
      </c>
      <c r="AK2231" s="15">
        <v>22.431000000000001</v>
      </c>
      <c r="AL2231" t="s">
        <v>1263</v>
      </c>
      <c r="AM2231">
        <f>26.042-22.431</f>
        <v>3.6110000000000007</v>
      </c>
      <c r="AP2231">
        <v>56</v>
      </c>
      <c r="AR2231" s="15" t="s">
        <v>1155</v>
      </c>
    </row>
    <row r="2232" spans="1:44" x14ac:dyDescent="0.2">
      <c r="A2232" t="s">
        <v>1378</v>
      </c>
      <c r="B2232" s="15" t="s">
        <v>1146</v>
      </c>
      <c r="C2232" s="15" t="s">
        <v>1149</v>
      </c>
      <c r="D2232" s="14" t="s">
        <v>475</v>
      </c>
      <c r="E2232" s="14" t="s">
        <v>3045</v>
      </c>
      <c r="G2232" s="15" t="s">
        <v>1165</v>
      </c>
      <c r="H2232" s="14" t="s">
        <v>1165</v>
      </c>
      <c r="I2232" s="14" t="s">
        <v>3033</v>
      </c>
      <c r="M2232" s="14" t="s">
        <v>3034</v>
      </c>
      <c r="O2232">
        <v>2004</v>
      </c>
      <c r="Q2232" t="s">
        <v>1329</v>
      </c>
      <c r="R2232">
        <v>14</v>
      </c>
      <c r="T2232" t="s">
        <v>3035</v>
      </c>
      <c r="U2232" s="14" t="s">
        <v>1246</v>
      </c>
      <c r="V2232" s="9" t="s">
        <v>3036</v>
      </c>
      <c r="W2232">
        <v>15</v>
      </c>
      <c r="X2232" s="9" t="s">
        <v>3040</v>
      </c>
      <c r="Z2232" s="5"/>
      <c r="AD2232" s="14" t="s">
        <v>1165</v>
      </c>
      <c r="AF2232" t="s">
        <v>1165</v>
      </c>
      <c r="AI2232" t="s">
        <v>1165</v>
      </c>
      <c r="AJ2232" s="15" t="s">
        <v>1148</v>
      </c>
      <c r="AK2232" s="15">
        <v>57.707999999999998</v>
      </c>
      <c r="AL2232" t="s">
        <v>1263</v>
      </c>
      <c r="AM2232">
        <f>62.986-57.708</f>
        <v>5.2779999999999987</v>
      </c>
      <c r="AP2232">
        <v>28</v>
      </c>
      <c r="AR2232" s="15" t="s">
        <v>1155</v>
      </c>
    </row>
    <row r="2233" spans="1:44" x14ac:dyDescent="0.2">
      <c r="A2233" t="s">
        <v>1378</v>
      </c>
      <c r="B2233" s="15" t="s">
        <v>1146</v>
      </c>
      <c r="C2233" s="15" t="s">
        <v>1149</v>
      </c>
      <c r="D2233" s="14" t="s">
        <v>475</v>
      </c>
      <c r="E2233" s="14" t="s">
        <v>3045</v>
      </c>
      <c r="G2233" s="15" t="s">
        <v>1165</v>
      </c>
      <c r="H2233" s="14" t="s">
        <v>1165</v>
      </c>
      <c r="I2233" s="14" t="s">
        <v>3033</v>
      </c>
      <c r="M2233" s="14" t="s">
        <v>3034</v>
      </c>
      <c r="O2233">
        <v>2004</v>
      </c>
      <c r="Q2233" t="s">
        <v>1329</v>
      </c>
      <c r="R2233">
        <v>14</v>
      </c>
      <c r="T2233" t="s">
        <v>3035</v>
      </c>
      <c r="U2233" s="14" t="s">
        <v>1246</v>
      </c>
      <c r="V2233" s="9" t="s">
        <v>3036</v>
      </c>
      <c r="W2233">
        <v>15</v>
      </c>
      <c r="X2233" s="9" t="s">
        <v>3040</v>
      </c>
      <c r="Z2233" s="5"/>
      <c r="AD2233" s="14" t="s">
        <v>1165</v>
      </c>
      <c r="AF2233" t="s">
        <v>1165</v>
      </c>
      <c r="AI2233" t="s">
        <v>1165</v>
      </c>
      <c r="AJ2233" s="15" t="s">
        <v>1148</v>
      </c>
      <c r="AK2233" s="15">
        <v>60.485999999999997</v>
      </c>
      <c r="AL2233" t="s">
        <v>1263</v>
      </c>
      <c r="AM2233">
        <f>64.097-60.486</f>
        <v>3.6109999999999971</v>
      </c>
      <c r="AP2233">
        <v>56</v>
      </c>
      <c r="AR2233" s="15" t="s">
        <v>1155</v>
      </c>
    </row>
    <row r="2234" spans="1:44" x14ac:dyDescent="0.2">
      <c r="A2234" t="s">
        <v>1378</v>
      </c>
      <c r="B2234" s="15" t="s">
        <v>1146</v>
      </c>
      <c r="C2234" s="15" t="s">
        <v>1149</v>
      </c>
      <c r="D2234" s="14" t="s">
        <v>475</v>
      </c>
      <c r="E2234" s="14" t="s">
        <v>3045</v>
      </c>
      <c r="G2234" s="15" t="s">
        <v>1165</v>
      </c>
      <c r="H2234" s="14" t="s">
        <v>1165</v>
      </c>
      <c r="I2234" s="14" t="s">
        <v>3033</v>
      </c>
      <c r="M2234" s="14" t="s">
        <v>3034</v>
      </c>
      <c r="O2234">
        <v>2004</v>
      </c>
      <c r="Q2234" t="s">
        <v>1329</v>
      </c>
      <c r="R2234">
        <v>14</v>
      </c>
      <c r="T2234" t="s">
        <v>3035</v>
      </c>
      <c r="U2234" s="14" t="s">
        <v>1246</v>
      </c>
      <c r="V2234" s="9" t="s">
        <v>3036</v>
      </c>
      <c r="W2234">
        <v>30</v>
      </c>
      <c r="X2234" s="9" t="s">
        <v>3040</v>
      </c>
      <c r="Z2234" s="5"/>
      <c r="AD2234" s="14" t="s">
        <v>1165</v>
      </c>
      <c r="AF2234" t="s">
        <v>1165</v>
      </c>
      <c r="AI2234" t="s">
        <v>1165</v>
      </c>
      <c r="AJ2234" s="15" t="s">
        <v>1148</v>
      </c>
      <c r="AK2234" s="15">
        <v>79.375</v>
      </c>
      <c r="AL2234" t="s">
        <v>1263</v>
      </c>
      <c r="AM2234">
        <f>85.208-79.375</f>
        <v>5.8329999999999984</v>
      </c>
      <c r="AP2234">
        <v>28</v>
      </c>
      <c r="AR2234" s="15" t="s">
        <v>1155</v>
      </c>
    </row>
    <row r="2235" spans="1:44" x14ac:dyDescent="0.2">
      <c r="A2235" t="s">
        <v>1378</v>
      </c>
      <c r="B2235" s="15" t="s">
        <v>1146</v>
      </c>
      <c r="C2235" s="15" t="s">
        <v>1149</v>
      </c>
      <c r="D2235" s="14" t="s">
        <v>475</v>
      </c>
      <c r="E2235" s="14" t="s">
        <v>3045</v>
      </c>
      <c r="G2235" s="15" t="s">
        <v>1165</v>
      </c>
      <c r="H2235" s="14" t="s">
        <v>1165</v>
      </c>
      <c r="I2235" s="14" t="s">
        <v>3033</v>
      </c>
      <c r="M2235" s="14" t="s">
        <v>3034</v>
      </c>
      <c r="O2235">
        <v>2004</v>
      </c>
      <c r="Q2235" t="s">
        <v>1329</v>
      </c>
      <c r="R2235">
        <v>14</v>
      </c>
      <c r="T2235" t="s">
        <v>3035</v>
      </c>
      <c r="U2235" s="14" t="s">
        <v>1246</v>
      </c>
      <c r="V2235" s="9" t="s">
        <v>3036</v>
      </c>
      <c r="W2235">
        <v>30</v>
      </c>
      <c r="X2235" s="9" t="s">
        <v>3040</v>
      </c>
      <c r="Z2235" s="5"/>
      <c r="AD2235" s="14" t="s">
        <v>1165</v>
      </c>
      <c r="AF2235" t="s">
        <v>1165</v>
      </c>
      <c r="AI2235" t="s">
        <v>1165</v>
      </c>
      <c r="AJ2235" s="15" t="s">
        <v>1148</v>
      </c>
      <c r="AK2235" s="15">
        <v>81.319000000000003</v>
      </c>
      <c r="AL2235" t="s">
        <v>1263</v>
      </c>
      <c r="AM2235">
        <f>87.708-81.319</f>
        <v>6.3889999999999958</v>
      </c>
      <c r="AP2235">
        <v>56</v>
      </c>
      <c r="AR2235" s="15" t="s">
        <v>1155</v>
      </c>
    </row>
    <row r="2236" spans="1:44" x14ac:dyDescent="0.2">
      <c r="A2236" t="s">
        <v>1378</v>
      </c>
      <c r="B2236" s="15" t="s">
        <v>1146</v>
      </c>
      <c r="C2236" s="15" t="s">
        <v>1149</v>
      </c>
      <c r="D2236" s="14" t="s">
        <v>475</v>
      </c>
      <c r="E2236" s="14" t="s">
        <v>3045</v>
      </c>
      <c r="G2236" s="15" t="s">
        <v>1165</v>
      </c>
      <c r="H2236" s="14" t="s">
        <v>1165</v>
      </c>
      <c r="I2236" s="14" t="s">
        <v>3033</v>
      </c>
      <c r="M2236" s="14" t="s">
        <v>3034</v>
      </c>
      <c r="O2236">
        <v>2004</v>
      </c>
      <c r="Q2236" t="s">
        <v>1329</v>
      </c>
      <c r="R2236">
        <v>14</v>
      </c>
      <c r="T2236" t="s">
        <v>3035</v>
      </c>
      <c r="U2236" s="14" t="s">
        <v>1246</v>
      </c>
      <c r="V2236" s="9" t="s">
        <v>3036</v>
      </c>
      <c r="W2236">
        <v>60</v>
      </c>
      <c r="X2236" s="9" t="s">
        <v>3040</v>
      </c>
      <c r="Z2236" s="5"/>
      <c r="AD2236" s="14" t="s">
        <v>1165</v>
      </c>
      <c r="AF2236" t="s">
        <v>1165</v>
      </c>
      <c r="AI2236" t="s">
        <v>1165</v>
      </c>
      <c r="AJ2236" s="15" t="s">
        <v>1148</v>
      </c>
      <c r="AK2236" s="15">
        <v>84.096999999999994</v>
      </c>
      <c r="AL2236" t="s">
        <v>1263</v>
      </c>
      <c r="AM2236">
        <f>87.986-84.097</f>
        <v>3.88900000000001</v>
      </c>
      <c r="AP2236">
        <v>28</v>
      </c>
      <c r="AR2236" s="15" t="s">
        <v>1155</v>
      </c>
    </row>
    <row r="2237" spans="1:44" x14ac:dyDescent="0.2">
      <c r="A2237" t="s">
        <v>1378</v>
      </c>
      <c r="B2237" s="15" t="s">
        <v>1146</v>
      </c>
      <c r="C2237" s="15" t="s">
        <v>1149</v>
      </c>
      <c r="D2237" s="14" t="s">
        <v>475</v>
      </c>
      <c r="E2237" s="14" t="s">
        <v>3045</v>
      </c>
      <c r="G2237" s="15" t="s">
        <v>1165</v>
      </c>
      <c r="H2237" s="14" t="s">
        <v>1165</v>
      </c>
      <c r="I2237" s="14" t="s">
        <v>3033</v>
      </c>
      <c r="M2237" s="14" t="s">
        <v>3034</v>
      </c>
      <c r="O2237">
        <v>2004</v>
      </c>
      <c r="Q2237" t="s">
        <v>1329</v>
      </c>
      <c r="R2237">
        <v>14</v>
      </c>
      <c r="T2237" t="s">
        <v>3035</v>
      </c>
      <c r="U2237" s="14" t="s">
        <v>1246</v>
      </c>
      <c r="V2237" s="9" t="s">
        <v>3036</v>
      </c>
      <c r="W2237">
        <v>60</v>
      </c>
      <c r="X2237" s="9" t="s">
        <v>3040</v>
      </c>
      <c r="Z2237" s="5"/>
      <c r="AD2237" s="14" t="s">
        <v>1165</v>
      </c>
      <c r="AF2237" t="s">
        <v>1165</v>
      </c>
      <c r="AI2237" t="s">
        <v>1165</v>
      </c>
      <c r="AJ2237" s="15" t="s">
        <v>1148</v>
      </c>
      <c r="AK2237" s="15">
        <v>84.096999999999994</v>
      </c>
      <c r="AL2237" t="s">
        <v>1263</v>
      </c>
      <c r="AM2237">
        <f>87.986-84.097</f>
        <v>3.88900000000001</v>
      </c>
      <c r="AP2237">
        <v>56</v>
      </c>
      <c r="AR2237" s="15" t="s">
        <v>1155</v>
      </c>
    </row>
    <row r="2238" spans="1:44" x14ac:dyDescent="0.2">
      <c r="A2238" t="s">
        <v>1378</v>
      </c>
      <c r="B2238" s="15" t="s">
        <v>1146</v>
      </c>
      <c r="C2238" s="15" t="s">
        <v>1149</v>
      </c>
      <c r="D2238" s="14" t="s">
        <v>475</v>
      </c>
      <c r="E2238" s="14" t="s">
        <v>3045</v>
      </c>
      <c r="G2238" s="15" t="s">
        <v>1165</v>
      </c>
      <c r="H2238" s="14" t="s">
        <v>1165</v>
      </c>
      <c r="I2238" s="14" t="s">
        <v>3033</v>
      </c>
      <c r="M2238" s="14" t="s">
        <v>3034</v>
      </c>
      <c r="O2238">
        <v>2004</v>
      </c>
      <c r="Q2238" t="s">
        <v>1329</v>
      </c>
      <c r="R2238">
        <v>14</v>
      </c>
      <c r="T2238" t="s">
        <v>3035</v>
      </c>
      <c r="U2238" s="14" t="s">
        <v>1246</v>
      </c>
      <c r="V2238" s="9" t="s">
        <v>3036</v>
      </c>
      <c r="W2238">
        <v>90</v>
      </c>
      <c r="X2238" s="9" t="s">
        <v>3040</v>
      </c>
      <c r="Z2238" s="5"/>
      <c r="AD2238" s="14" t="s">
        <v>1165</v>
      </c>
      <c r="AF2238" t="s">
        <v>1165</v>
      </c>
      <c r="AI2238" t="s">
        <v>1165</v>
      </c>
      <c r="AJ2238" s="15" t="s">
        <v>1148</v>
      </c>
      <c r="AK2238" s="15">
        <v>91.875</v>
      </c>
      <c r="AL2238" t="s">
        <v>1263</v>
      </c>
      <c r="AM2238">
        <f>100.208-91.875</f>
        <v>8.3329999999999984</v>
      </c>
      <c r="AP2238">
        <v>28</v>
      </c>
      <c r="AR2238" s="15" t="s">
        <v>1155</v>
      </c>
    </row>
    <row r="2239" spans="1:44" x14ac:dyDescent="0.2">
      <c r="A2239" t="s">
        <v>1378</v>
      </c>
      <c r="B2239" s="15" t="s">
        <v>1146</v>
      </c>
      <c r="C2239" s="15" t="s">
        <v>1149</v>
      </c>
      <c r="D2239" s="14" t="s">
        <v>475</v>
      </c>
      <c r="E2239" s="14" t="s">
        <v>3045</v>
      </c>
      <c r="G2239" s="15" t="s">
        <v>1165</v>
      </c>
      <c r="H2239" s="14" t="s">
        <v>1165</v>
      </c>
      <c r="I2239" s="14" t="s">
        <v>3033</v>
      </c>
      <c r="M2239" s="14" t="s">
        <v>3034</v>
      </c>
      <c r="O2239">
        <v>2004</v>
      </c>
      <c r="Q2239" t="s">
        <v>1329</v>
      </c>
      <c r="R2239">
        <v>14</v>
      </c>
      <c r="T2239" t="s">
        <v>3035</v>
      </c>
      <c r="U2239" s="14" t="s">
        <v>1246</v>
      </c>
      <c r="V2239" s="9" t="s">
        <v>3036</v>
      </c>
      <c r="W2239">
        <v>90</v>
      </c>
      <c r="X2239" s="9" t="s">
        <v>3040</v>
      </c>
      <c r="Z2239" s="5"/>
      <c r="AD2239" s="14" t="s">
        <v>1165</v>
      </c>
      <c r="AF2239" t="s">
        <v>1165</v>
      </c>
      <c r="AI2239" t="s">
        <v>1165</v>
      </c>
      <c r="AJ2239" s="15" t="s">
        <v>1148</v>
      </c>
      <c r="AK2239" s="15">
        <v>91.875</v>
      </c>
      <c r="AL2239" t="s">
        <v>1263</v>
      </c>
      <c r="AM2239">
        <f>100.208-91.875</f>
        <v>8.3329999999999984</v>
      </c>
      <c r="AP2239">
        <v>56</v>
      </c>
      <c r="AR2239" s="15" t="s">
        <v>1155</v>
      </c>
    </row>
    <row r="2240" spans="1:44" x14ac:dyDescent="0.2">
      <c r="A2240" t="s">
        <v>1378</v>
      </c>
      <c r="B2240" s="15" t="s">
        <v>1146</v>
      </c>
      <c r="C2240" s="15" t="s">
        <v>1149</v>
      </c>
      <c r="D2240" s="14" t="s">
        <v>475</v>
      </c>
      <c r="E2240" s="14" t="s">
        <v>3045</v>
      </c>
      <c r="G2240" s="15" t="s">
        <v>1165</v>
      </c>
      <c r="H2240" s="14" t="s">
        <v>1165</v>
      </c>
      <c r="I2240" s="14" t="s">
        <v>3033</v>
      </c>
      <c r="M2240" s="14" t="s">
        <v>3034</v>
      </c>
      <c r="O2240">
        <v>2004</v>
      </c>
      <c r="Q2240" t="s">
        <v>1329</v>
      </c>
      <c r="R2240">
        <v>14</v>
      </c>
      <c r="T2240" t="s">
        <v>3035</v>
      </c>
      <c r="U2240" s="14" t="s">
        <v>1246</v>
      </c>
      <c r="V2240" s="9" t="s">
        <v>3036</v>
      </c>
      <c r="W2240">
        <v>120</v>
      </c>
      <c r="X2240" s="9" t="s">
        <v>3040</v>
      </c>
      <c r="Z2240" s="5"/>
      <c r="AD2240" s="14" t="s">
        <v>1165</v>
      </c>
      <c r="AF2240" t="s">
        <v>1165</v>
      </c>
      <c r="AI2240" t="s">
        <v>1165</v>
      </c>
      <c r="AJ2240" s="15" t="s">
        <v>1148</v>
      </c>
      <c r="AK2240" s="15">
        <v>93.542000000000002</v>
      </c>
      <c r="AL2240" t="s">
        <v>1263</v>
      </c>
      <c r="AM2240">
        <f>97.708-93.542</f>
        <v>4.1659999999999968</v>
      </c>
      <c r="AP2240">
        <v>28</v>
      </c>
      <c r="AR2240" s="15" t="s">
        <v>1155</v>
      </c>
    </row>
    <row r="2241" spans="1:44" x14ac:dyDescent="0.2">
      <c r="A2241" t="s">
        <v>1378</v>
      </c>
      <c r="B2241" s="15" t="s">
        <v>1146</v>
      </c>
      <c r="C2241" s="15" t="s">
        <v>1149</v>
      </c>
      <c r="D2241" s="14" t="s">
        <v>475</v>
      </c>
      <c r="E2241" s="14" t="s">
        <v>3045</v>
      </c>
      <c r="G2241" s="15" t="s">
        <v>1165</v>
      </c>
      <c r="H2241" s="14" t="s">
        <v>1165</v>
      </c>
      <c r="I2241" s="14" t="s">
        <v>3033</v>
      </c>
      <c r="M2241" s="14" t="s">
        <v>3034</v>
      </c>
      <c r="O2241">
        <v>2004</v>
      </c>
      <c r="Q2241" t="s">
        <v>1329</v>
      </c>
      <c r="R2241">
        <v>14</v>
      </c>
      <c r="T2241" t="s">
        <v>3035</v>
      </c>
      <c r="U2241" s="14" t="s">
        <v>1246</v>
      </c>
      <c r="V2241" s="9" t="s">
        <v>3036</v>
      </c>
      <c r="W2241">
        <v>120</v>
      </c>
      <c r="X2241" s="9" t="s">
        <v>3040</v>
      </c>
      <c r="Z2241" s="5"/>
      <c r="AD2241" s="14" t="s">
        <v>1165</v>
      </c>
      <c r="AF2241" t="s">
        <v>1165</v>
      </c>
      <c r="AI2241" t="s">
        <v>1165</v>
      </c>
      <c r="AJ2241" s="15" t="s">
        <v>1148</v>
      </c>
      <c r="AK2241" s="15">
        <v>100</v>
      </c>
      <c r="AL2241" t="s">
        <v>1263</v>
      </c>
      <c r="AM2241">
        <f>104.375-100.208</f>
        <v>4.1670000000000016</v>
      </c>
      <c r="AP2241">
        <v>56</v>
      </c>
      <c r="AR2241" s="15" t="s">
        <v>1155</v>
      </c>
    </row>
    <row r="2242" spans="1:44" x14ac:dyDescent="0.2">
      <c r="A2242" t="s">
        <v>1378</v>
      </c>
      <c r="B2242" s="15" t="s">
        <v>1146</v>
      </c>
      <c r="C2242" s="15" t="s">
        <v>1149</v>
      </c>
      <c r="D2242" s="14" t="s">
        <v>475</v>
      </c>
      <c r="E2242" s="14" t="s">
        <v>3045</v>
      </c>
      <c r="G2242" s="15" t="s">
        <v>1165</v>
      </c>
      <c r="H2242" s="14" t="s">
        <v>1165</v>
      </c>
      <c r="I2242" s="14" t="s">
        <v>3033</v>
      </c>
      <c r="M2242" s="14" t="s">
        <v>3034</v>
      </c>
      <c r="O2242">
        <v>2004</v>
      </c>
      <c r="Q2242" t="s">
        <v>1329</v>
      </c>
      <c r="R2242">
        <v>14</v>
      </c>
      <c r="T2242" t="s">
        <v>3035</v>
      </c>
      <c r="U2242" s="14" t="s">
        <v>1246</v>
      </c>
      <c r="V2242" s="9" t="s">
        <v>3036</v>
      </c>
      <c r="W2242">
        <v>150</v>
      </c>
      <c r="X2242" s="9" t="s">
        <v>3040</v>
      </c>
      <c r="Z2242" s="5"/>
      <c r="AD2242" s="14" t="s">
        <v>1165</v>
      </c>
      <c r="AF2242" t="s">
        <v>1165</v>
      </c>
      <c r="AI2242" t="s">
        <v>1165</v>
      </c>
      <c r="AJ2242" s="15" t="s">
        <v>1148</v>
      </c>
      <c r="AK2242" s="15">
        <v>89.653000000000006</v>
      </c>
      <c r="AL2242" t="s">
        <v>1263</v>
      </c>
      <c r="AM2242">
        <f>93.819-89.653</f>
        <v>4.1659999999999968</v>
      </c>
      <c r="AP2242">
        <v>28</v>
      </c>
      <c r="AR2242" s="15" t="s">
        <v>1155</v>
      </c>
    </row>
    <row r="2243" spans="1:44" x14ac:dyDescent="0.2">
      <c r="A2243" t="s">
        <v>1378</v>
      </c>
      <c r="B2243" s="15" t="s">
        <v>1146</v>
      </c>
      <c r="C2243" s="15" t="s">
        <v>1149</v>
      </c>
      <c r="D2243" s="14" t="s">
        <v>475</v>
      </c>
      <c r="E2243" s="14" t="s">
        <v>3045</v>
      </c>
      <c r="G2243" s="15" t="s">
        <v>1165</v>
      </c>
      <c r="H2243" s="14" t="s">
        <v>1165</v>
      </c>
      <c r="I2243" s="14" t="s">
        <v>3033</v>
      </c>
      <c r="M2243" s="14" t="s">
        <v>3034</v>
      </c>
      <c r="O2243">
        <v>2004</v>
      </c>
      <c r="Q2243" t="s">
        <v>1329</v>
      </c>
      <c r="R2243">
        <v>14</v>
      </c>
      <c r="T2243" t="s">
        <v>3035</v>
      </c>
      <c r="U2243" s="14" t="s">
        <v>1246</v>
      </c>
      <c r="V2243" s="9" t="s">
        <v>3036</v>
      </c>
      <c r="W2243">
        <v>150</v>
      </c>
      <c r="X2243" s="9" t="s">
        <v>3040</v>
      </c>
      <c r="Z2243" s="5"/>
      <c r="AD2243" s="14" t="s">
        <v>1165</v>
      </c>
      <c r="AF2243" t="s">
        <v>1165</v>
      </c>
      <c r="AI2243" t="s">
        <v>1165</v>
      </c>
      <c r="AJ2243" s="15" t="s">
        <v>1148</v>
      </c>
      <c r="AK2243" s="15">
        <v>89.375</v>
      </c>
      <c r="AL2243" t="s">
        <v>1263</v>
      </c>
      <c r="AM2243">
        <f>93.819-89.375</f>
        <v>4.4440000000000026</v>
      </c>
      <c r="AP2243">
        <v>56</v>
      </c>
      <c r="AR2243" s="15" t="s">
        <v>1155</v>
      </c>
    </row>
    <row r="2244" spans="1:44" x14ac:dyDescent="0.2">
      <c r="A2244" t="s">
        <v>1378</v>
      </c>
      <c r="B2244" s="15" t="s">
        <v>1146</v>
      </c>
      <c r="C2244" s="15" t="s">
        <v>1149</v>
      </c>
      <c r="D2244" s="14" t="s">
        <v>475</v>
      </c>
      <c r="E2244" s="14" t="s">
        <v>3045</v>
      </c>
      <c r="G2244" s="15" t="s">
        <v>1165</v>
      </c>
      <c r="H2244" s="14" t="s">
        <v>1165</v>
      </c>
      <c r="I2244" s="14" t="s">
        <v>3033</v>
      </c>
      <c r="M2244" s="14" t="s">
        <v>3034</v>
      </c>
      <c r="O2244">
        <v>2004</v>
      </c>
      <c r="Q2244" t="s">
        <v>1329</v>
      </c>
      <c r="R2244">
        <v>14</v>
      </c>
      <c r="T2244" t="s">
        <v>3035</v>
      </c>
      <c r="U2244" s="14" t="s">
        <v>1246</v>
      </c>
      <c r="V2244" s="9" t="s">
        <v>3036</v>
      </c>
      <c r="W2244">
        <v>180</v>
      </c>
      <c r="X2244" s="9" t="s">
        <v>3040</v>
      </c>
      <c r="Z2244" s="5"/>
      <c r="AD2244" s="14" t="s">
        <v>1165</v>
      </c>
      <c r="AF2244" t="s">
        <v>1165</v>
      </c>
      <c r="AI2244" t="s">
        <v>1165</v>
      </c>
      <c r="AJ2244" s="15" t="s">
        <v>1148</v>
      </c>
      <c r="AK2244" s="15">
        <v>92.430999999999997</v>
      </c>
      <c r="AL2244" t="s">
        <v>1263</v>
      </c>
      <c r="AM2244">
        <f>94.375-92.431</f>
        <v>1.9440000000000026</v>
      </c>
      <c r="AP2244">
        <v>28</v>
      </c>
      <c r="AR2244" s="15" t="s">
        <v>1155</v>
      </c>
    </row>
    <row r="2245" spans="1:44" x14ac:dyDescent="0.2">
      <c r="A2245" t="s">
        <v>1378</v>
      </c>
      <c r="B2245" s="15" t="s">
        <v>1146</v>
      </c>
      <c r="C2245" s="15" t="s">
        <v>1149</v>
      </c>
      <c r="D2245" s="14" t="s">
        <v>475</v>
      </c>
      <c r="E2245" s="14" t="s">
        <v>3045</v>
      </c>
      <c r="G2245" s="15" t="s">
        <v>1165</v>
      </c>
      <c r="H2245" s="14" t="s">
        <v>1165</v>
      </c>
      <c r="I2245" s="14" t="s">
        <v>3033</v>
      </c>
      <c r="M2245" s="14" t="s">
        <v>3034</v>
      </c>
      <c r="O2245">
        <v>2004</v>
      </c>
      <c r="Q2245" t="s">
        <v>1329</v>
      </c>
      <c r="R2245">
        <v>14</v>
      </c>
      <c r="T2245" t="s">
        <v>3035</v>
      </c>
      <c r="U2245" s="14" t="s">
        <v>1246</v>
      </c>
      <c r="V2245" s="9" t="s">
        <v>3036</v>
      </c>
      <c r="W2245">
        <v>180</v>
      </c>
      <c r="X2245" s="9" t="s">
        <v>3040</v>
      </c>
      <c r="Z2245" s="5"/>
      <c r="AD2245" s="14" t="s">
        <v>1165</v>
      </c>
      <c r="AF2245" t="s">
        <v>1165</v>
      </c>
      <c r="AI2245" t="s">
        <v>1165</v>
      </c>
      <c r="AJ2245" s="15" t="s">
        <v>1148</v>
      </c>
      <c r="AK2245" s="15">
        <v>92.153000000000006</v>
      </c>
      <c r="AL2245" t="s">
        <v>1263</v>
      </c>
      <c r="AM2245">
        <f>94.653-92.153</f>
        <v>2.5</v>
      </c>
      <c r="AP2245">
        <v>56</v>
      </c>
      <c r="AR2245" s="15" t="s">
        <v>1155</v>
      </c>
    </row>
    <row r="2246" spans="1:44" x14ac:dyDescent="0.2">
      <c r="A2246" t="s">
        <v>1378</v>
      </c>
      <c r="B2246" s="15" t="s">
        <v>1146</v>
      </c>
      <c r="C2246" s="15" t="s">
        <v>1149</v>
      </c>
      <c r="D2246" s="14" t="s">
        <v>475</v>
      </c>
      <c r="E2246" s="14" t="s">
        <v>3046</v>
      </c>
      <c r="G2246" s="15" t="s">
        <v>1165</v>
      </c>
      <c r="H2246" s="14" t="s">
        <v>1165</v>
      </c>
      <c r="I2246" s="14" t="s">
        <v>3033</v>
      </c>
      <c r="M2246" s="14" t="s">
        <v>3034</v>
      </c>
      <c r="O2246">
        <v>2004</v>
      </c>
      <c r="Q2246" t="s">
        <v>1329</v>
      </c>
      <c r="R2246">
        <v>14</v>
      </c>
      <c r="T2246" t="s">
        <v>3035</v>
      </c>
      <c r="U2246" s="14" t="s">
        <v>1246</v>
      </c>
      <c r="V2246" s="9" t="s">
        <v>3036</v>
      </c>
      <c r="W2246">
        <v>0</v>
      </c>
      <c r="X2246" s="9" t="s">
        <v>3037</v>
      </c>
      <c r="Z2246" s="5"/>
      <c r="AD2246" s="14" t="s">
        <v>1165</v>
      </c>
      <c r="AF2246" t="s">
        <v>1165</v>
      </c>
      <c r="AI2246" t="s">
        <v>1165</v>
      </c>
      <c r="AJ2246" s="15" t="s">
        <v>1148</v>
      </c>
      <c r="AK2246" s="15">
        <v>0</v>
      </c>
      <c r="AL2246" t="s">
        <v>1263</v>
      </c>
      <c r="AM2246">
        <v>0</v>
      </c>
      <c r="AP2246">
        <v>28</v>
      </c>
      <c r="AR2246" s="15" t="s">
        <v>1155</v>
      </c>
    </row>
    <row r="2247" spans="1:44" x14ac:dyDescent="0.2">
      <c r="A2247" t="s">
        <v>1378</v>
      </c>
      <c r="B2247" s="15" t="s">
        <v>1146</v>
      </c>
      <c r="C2247" s="15" t="s">
        <v>1149</v>
      </c>
      <c r="D2247" s="14" t="s">
        <v>475</v>
      </c>
      <c r="E2247" s="14" t="s">
        <v>3046</v>
      </c>
      <c r="G2247" s="15" t="s">
        <v>1165</v>
      </c>
      <c r="H2247" s="14" t="s">
        <v>1165</v>
      </c>
      <c r="I2247" s="14" t="s">
        <v>3033</v>
      </c>
      <c r="M2247" s="14" t="s">
        <v>3034</v>
      </c>
      <c r="O2247">
        <v>2004</v>
      </c>
      <c r="Q2247" t="s">
        <v>1329</v>
      </c>
      <c r="R2247">
        <v>14</v>
      </c>
      <c r="T2247" t="s">
        <v>3035</v>
      </c>
      <c r="U2247" s="14" t="s">
        <v>1246</v>
      </c>
      <c r="V2247" s="9" t="s">
        <v>3036</v>
      </c>
      <c r="W2247">
        <v>0</v>
      </c>
      <c r="X2247" s="9" t="s">
        <v>3037</v>
      </c>
      <c r="Z2247" s="5"/>
      <c r="AD2247" s="14" t="s">
        <v>1165</v>
      </c>
      <c r="AF2247" t="s">
        <v>1165</v>
      </c>
      <c r="AI2247" t="s">
        <v>1165</v>
      </c>
      <c r="AJ2247" s="15" t="s">
        <v>1148</v>
      </c>
      <c r="AK2247" s="15">
        <v>0</v>
      </c>
      <c r="AL2247" t="s">
        <v>1263</v>
      </c>
      <c r="AM2247">
        <v>0</v>
      </c>
      <c r="AP2247">
        <v>56</v>
      </c>
      <c r="AR2247" s="15" t="s">
        <v>1155</v>
      </c>
    </row>
    <row r="2248" spans="1:44" x14ac:dyDescent="0.2">
      <c r="A2248" t="s">
        <v>1378</v>
      </c>
      <c r="B2248" s="15" t="s">
        <v>1146</v>
      </c>
      <c r="C2248" s="15" t="s">
        <v>1149</v>
      </c>
      <c r="D2248" s="14" t="s">
        <v>475</v>
      </c>
      <c r="E2248" s="14" t="s">
        <v>3046</v>
      </c>
      <c r="G2248" s="15" t="s">
        <v>1165</v>
      </c>
      <c r="H2248" s="14" t="s">
        <v>1165</v>
      </c>
      <c r="I2248" s="14" t="s">
        <v>3033</v>
      </c>
      <c r="M2248" s="14" t="s">
        <v>3034</v>
      </c>
      <c r="O2248">
        <v>2004</v>
      </c>
      <c r="Q2248" t="s">
        <v>1329</v>
      </c>
      <c r="R2248">
        <v>14</v>
      </c>
      <c r="T2248" t="s">
        <v>3035</v>
      </c>
      <c r="U2248" s="14" t="s">
        <v>1246</v>
      </c>
      <c r="V2248" s="9" t="s">
        <v>3036</v>
      </c>
      <c r="W2248">
        <v>30</v>
      </c>
      <c r="X2248" s="9" t="s">
        <v>3037</v>
      </c>
      <c r="Z2248" s="5"/>
      <c r="AD2248" s="14" t="s">
        <v>1165</v>
      </c>
      <c r="AF2248" t="s">
        <v>1165</v>
      </c>
      <c r="AI2248" t="s">
        <v>1165</v>
      </c>
      <c r="AJ2248" s="15" t="s">
        <v>1148</v>
      </c>
      <c r="AK2248" s="15">
        <v>0</v>
      </c>
      <c r="AL2248" t="s">
        <v>1263</v>
      </c>
      <c r="AM2248">
        <v>0</v>
      </c>
      <c r="AP2248">
        <v>28</v>
      </c>
      <c r="AR2248" s="15" t="s">
        <v>1155</v>
      </c>
    </row>
    <row r="2249" spans="1:44" x14ac:dyDescent="0.2">
      <c r="A2249" t="s">
        <v>1378</v>
      </c>
      <c r="B2249" s="15" t="s">
        <v>1146</v>
      </c>
      <c r="C2249" s="15" t="s">
        <v>1149</v>
      </c>
      <c r="D2249" s="14" t="s">
        <v>475</v>
      </c>
      <c r="E2249" s="14" t="s">
        <v>3046</v>
      </c>
      <c r="G2249" s="15" t="s">
        <v>1165</v>
      </c>
      <c r="H2249" s="14" t="s">
        <v>1165</v>
      </c>
      <c r="I2249" s="14" t="s">
        <v>3033</v>
      </c>
      <c r="M2249" s="14" t="s">
        <v>3034</v>
      </c>
      <c r="O2249">
        <v>2004</v>
      </c>
      <c r="Q2249" t="s">
        <v>1329</v>
      </c>
      <c r="R2249">
        <v>14</v>
      </c>
      <c r="T2249" t="s">
        <v>3035</v>
      </c>
      <c r="U2249" s="14" t="s">
        <v>1246</v>
      </c>
      <c r="V2249" s="9" t="s">
        <v>3036</v>
      </c>
      <c r="W2249">
        <v>30</v>
      </c>
      <c r="X2249" s="9" t="s">
        <v>3037</v>
      </c>
      <c r="Z2249" s="5"/>
      <c r="AD2249" s="14" t="s">
        <v>1165</v>
      </c>
      <c r="AF2249" t="s">
        <v>1165</v>
      </c>
      <c r="AI2249" t="s">
        <v>1165</v>
      </c>
      <c r="AJ2249" s="15" t="s">
        <v>1148</v>
      </c>
      <c r="AK2249" s="15">
        <v>17.021000000000001</v>
      </c>
      <c r="AL2249" t="s">
        <v>1263</v>
      </c>
      <c r="AM2249">
        <f>23.617-17.021</f>
        <v>6.5960000000000001</v>
      </c>
      <c r="AP2249">
        <v>56</v>
      </c>
      <c r="AR2249" s="15" t="s">
        <v>1155</v>
      </c>
    </row>
    <row r="2250" spans="1:44" x14ac:dyDescent="0.2">
      <c r="A2250" t="s">
        <v>1378</v>
      </c>
      <c r="B2250" s="15" t="s">
        <v>1146</v>
      </c>
      <c r="C2250" s="15" t="s">
        <v>1149</v>
      </c>
      <c r="D2250" s="14" t="s">
        <v>475</v>
      </c>
      <c r="E2250" s="14" t="s">
        <v>3046</v>
      </c>
      <c r="G2250" s="15" t="s">
        <v>1165</v>
      </c>
      <c r="H2250" s="14" t="s">
        <v>1165</v>
      </c>
      <c r="I2250" s="14" t="s">
        <v>3033</v>
      </c>
      <c r="M2250" s="14" t="s">
        <v>3034</v>
      </c>
      <c r="O2250">
        <v>2004</v>
      </c>
      <c r="Q2250" t="s">
        <v>1329</v>
      </c>
      <c r="R2250">
        <v>14</v>
      </c>
      <c r="T2250" t="s">
        <v>3035</v>
      </c>
      <c r="U2250" s="14" t="s">
        <v>1246</v>
      </c>
      <c r="V2250" s="9" t="s">
        <v>3036</v>
      </c>
      <c r="W2250">
        <v>90</v>
      </c>
      <c r="X2250" s="9" t="s">
        <v>3037</v>
      </c>
      <c r="Z2250" s="5"/>
      <c r="AD2250" s="14" t="s">
        <v>1165</v>
      </c>
      <c r="AF2250" t="s">
        <v>1165</v>
      </c>
      <c r="AI2250" t="s">
        <v>1165</v>
      </c>
      <c r="AJ2250" s="15" t="s">
        <v>1148</v>
      </c>
      <c r="AK2250" s="15">
        <v>2.5529999999999999</v>
      </c>
      <c r="AL2250" t="s">
        <v>1263</v>
      </c>
      <c r="AM2250">
        <f>4.894-2.553</f>
        <v>2.3410000000000002</v>
      </c>
      <c r="AP2250">
        <v>28</v>
      </c>
      <c r="AR2250" s="15" t="s">
        <v>1155</v>
      </c>
    </row>
    <row r="2251" spans="1:44" x14ac:dyDescent="0.2">
      <c r="A2251" t="s">
        <v>1378</v>
      </c>
      <c r="B2251" s="15" t="s">
        <v>1146</v>
      </c>
      <c r="C2251" s="15" t="s">
        <v>1149</v>
      </c>
      <c r="D2251" s="14" t="s">
        <v>475</v>
      </c>
      <c r="E2251" s="14" t="s">
        <v>3046</v>
      </c>
      <c r="G2251" s="15" t="s">
        <v>1165</v>
      </c>
      <c r="H2251" s="14" t="s">
        <v>1165</v>
      </c>
      <c r="I2251" s="14" t="s">
        <v>3033</v>
      </c>
      <c r="M2251" s="14" t="s">
        <v>3034</v>
      </c>
      <c r="O2251">
        <v>2004</v>
      </c>
      <c r="Q2251" t="s">
        <v>1329</v>
      </c>
      <c r="R2251">
        <v>14</v>
      </c>
      <c r="T2251" t="s">
        <v>3035</v>
      </c>
      <c r="U2251" s="14" t="s">
        <v>1246</v>
      </c>
      <c r="V2251" s="9" t="s">
        <v>3036</v>
      </c>
      <c r="W2251">
        <v>90</v>
      </c>
      <c r="X2251" s="9" t="s">
        <v>3037</v>
      </c>
      <c r="Z2251" s="5"/>
      <c r="AD2251" s="14" t="s">
        <v>1165</v>
      </c>
      <c r="AF2251" t="s">
        <v>1165</v>
      </c>
      <c r="AI2251" t="s">
        <v>1165</v>
      </c>
      <c r="AJ2251" s="15" t="s">
        <v>1148</v>
      </c>
      <c r="AK2251" s="15">
        <v>41.914999999999999</v>
      </c>
      <c r="AL2251" t="s">
        <v>1263</v>
      </c>
      <c r="AM2251">
        <f>49.574-41.915</f>
        <v>7.6589999999999989</v>
      </c>
      <c r="AP2251">
        <v>56</v>
      </c>
      <c r="AR2251" s="15" t="s">
        <v>1155</v>
      </c>
    </row>
    <row r="2252" spans="1:44" x14ac:dyDescent="0.2">
      <c r="A2252" t="s">
        <v>1378</v>
      </c>
      <c r="B2252" s="15" t="s">
        <v>1146</v>
      </c>
      <c r="C2252" s="15" t="s">
        <v>1149</v>
      </c>
      <c r="D2252" s="14" t="s">
        <v>475</v>
      </c>
      <c r="E2252" s="14" t="s">
        <v>3046</v>
      </c>
      <c r="G2252" s="15" t="s">
        <v>1165</v>
      </c>
      <c r="H2252" s="14" t="s">
        <v>1165</v>
      </c>
      <c r="I2252" s="14" t="s">
        <v>3033</v>
      </c>
      <c r="M2252" s="14" t="s">
        <v>3034</v>
      </c>
      <c r="O2252">
        <v>2004</v>
      </c>
      <c r="Q2252" t="s">
        <v>1329</v>
      </c>
      <c r="R2252">
        <v>14</v>
      </c>
      <c r="T2252" t="s">
        <v>3035</v>
      </c>
      <c r="U2252" s="14" t="s">
        <v>1246</v>
      </c>
      <c r="V2252" s="9" t="s">
        <v>3036</v>
      </c>
      <c r="W2252">
        <v>180</v>
      </c>
      <c r="X2252" s="9" t="s">
        <v>3037</v>
      </c>
      <c r="Z2252" s="5"/>
      <c r="AD2252" s="14" t="s">
        <v>1165</v>
      </c>
      <c r="AF2252" t="s">
        <v>1165</v>
      </c>
      <c r="AI2252" t="s">
        <v>1165</v>
      </c>
      <c r="AJ2252" s="15" t="s">
        <v>1148</v>
      </c>
      <c r="AK2252" s="15">
        <v>4.2549999999999999</v>
      </c>
      <c r="AL2252" t="s">
        <v>1263</v>
      </c>
      <c r="AM2252">
        <f>7.021-4.255</f>
        <v>2.766</v>
      </c>
      <c r="AP2252">
        <v>28</v>
      </c>
      <c r="AR2252" s="15" t="s">
        <v>1155</v>
      </c>
    </row>
    <row r="2253" spans="1:44" x14ac:dyDescent="0.2">
      <c r="A2253" t="s">
        <v>1378</v>
      </c>
      <c r="B2253" s="15" t="s">
        <v>1146</v>
      </c>
      <c r="C2253" s="15" t="s">
        <v>1149</v>
      </c>
      <c r="D2253" s="14" t="s">
        <v>475</v>
      </c>
      <c r="E2253" s="14" t="s">
        <v>3046</v>
      </c>
      <c r="G2253" s="15" t="s">
        <v>1165</v>
      </c>
      <c r="H2253" s="14" t="s">
        <v>1165</v>
      </c>
      <c r="I2253" s="14" t="s">
        <v>3033</v>
      </c>
      <c r="M2253" s="14" t="s">
        <v>3034</v>
      </c>
      <c r="O2253">
        <v>2004</v>
      </c>
      <c r="Q2253" t="s">
        <v>1329</v>
      </c>
      <c r="R2253">
        <v>14</v>
      </c>
      <c r="T2253" t="s">
        <v>3035</v>
      </c>
      <c r="U2253" s="14" t="s">
        <v>1246</v>
      </c>
      <c r="V2253" s="9" t="s">
        <v>3036</v>
      </c>
      <c r="W2253">
        <v>180</v>
      </c>
      <c r="X2253" s="9" t="s">
        <v>3037</v>
      </c>
      <c r="Z2253" s="5"/>
      <c r="AD2253" s="14" t="s">
        <v>1165</v>
      </c>
      <c r="AF2253" t="s">
        <v>1165</v>
      </c>
      <c r="AI2253" t="s">
        <v>1165</v>
      </c>
      <c r="AJ2253" s="15" t="s">
        <v>1148</v>
      </c>
      <c r="AK2253" s="15">
        <v>31.702000000000002</v>
      </c>
      <c r="AL2253" t="s">
        <v>1263</v>
      </c>
      <c r="AM2253">
        <f>40.213-31.702</f>
        <v>8.5109999999999992</v>
      </c>
      <c r="AP2253">
        <v>56</v>
      </c>
      <c r="AR2253" s="15" t="s">
        <v>1155</v>
      </c>
    </row>
    <row r="2254" spans="1:44" x14ac:dyDescent="0.2">
      <c r="A2254" t="s">
        <v>1378</v>
      </c>
      <c r="B2254" s="15" t="s">
        <v>1146</v>
      </c>
      <c r="C2254" s="15" t="s">
        <v>1149</v>
      </c>
      <c r="D2254" s="14" t="s">
        <v>475</v>
      </c>
      <c r="E2254" s="14" t="s">
        <v>3046</v>
      </c>
      <c r="G2254" s="15" t="s">
        <v>1165</v>
      </c>
      <c r="H2254" s="14" t="s">
        <v>1165</v>
      </c>
      <c r="I2254" s="14" t="s">
        <v>3033</v>
      </c>
      <c r="M2254" s="14" t="s">
        <v>3034</v>
      </c>
      <c r="O2254">
        <v>2004</v>
      </c>
      <c r="Q2254" t="s">
        <v>1329</v>
      </c>
      <c r="R2254">
        <v>14</v>
      </c>
      <c r="T2254" t="s">
        <v>3035</v>
      </c>
      <c r="U2254" s="14" t="s">
        <v>1246</v>
      </c>
      <c r="V2254" s="9" t="s">
        <v>3036</v>
      </c>
      <c r="W2254">
        <v>0</v>
      </c>
      <c r="X2254" s="9" t="s">
        <v>3038</v>
      </c>
      <c r="Z2254" s="5"/>
      <c r="AD2254" s="14" t="s">
        <v>1165</v>
      </c>
      <c r="AF2254" t="s">
        <v>1165</v>
      </c>
      <c r="AI2254" t="s">
        <v>1165</v>
      </c>
      <c r="AJ2254" s="15" t="s">
        <v>1148</v>
      </c>
      <c r="AK2254" s="15">
        <v>0</v>
      </c>
      <c r="AL2254" t="s">
        <v>1263</v>
      </c>
      <c r="AM2254">
        <v>0</v>
      </c>
      <c r="AP2254">
        <v>28</v>
      </c>
      <c r="AR2254" s="15" t="s">
        <v>1155</v>
      </c>
    </row>
    <row r="2255" spans="1:44" x14ac:dyDescent="0.2">
      <c r="A2255" t="s">
        <v>1378</v>
      </c>
      <c r="B2255" s="15" t="s">
        <v>1146</v>
      </c>
      <c r="C2255" s="15" t="s">
        <v>1149</v>
      </c>
      <c r="D2255" s="14" t="s">
        <v>475</v>
      </c>
      <c r="E2255" s="14" t="s">
        <v>3046</v>
      </c>
      <c r="G2255" s="15" t="s">
        <v>1165</v>
      </c>
      <c r="H2255" s="14" t="s">
        <v>1165</v>
      </c>
      <c r="I2255" s="14" t="s">
        <v>3033</v>
      </c>
      <c r="M2255" s="14" t="s">
        <v>3034</v>
      </c>
      <c r="O2255">
        <v>2004</v>
      </c>
      <c r="Q2255" t="s">
        <v>1329</v>
      </c>
      <c r="R2255">
        <v>14</v>
      </c>
      <c r="T2255" t="s">
        <v>3035</v>
      </c>
      <c r="U2255" s="14" t="s">
        <v>1246</v>
      </c>
      <c r="V2255" s="9" t="s">
        <v>3036</v>
      </c>
      <c r="W2255">
        <v>0</v>
      </c>
      <c r="X2255" s="9" t="s">
        <v>3038</v>
      </c>
      <c r="Z2255" s="5"/>
      <c r="AD2255" s="14" t="s">
        <v>1165</v>
      </c>
      <c r="AF2255" t="s">
        <v>1165</v>
      </c>
      <c r="AI2255" t="s">
        <v>1165</v>
      </c>
      <c r="AJ2255" s="15" t="s">
        <v>1148</v>
      </c>
      <c r="AK2255" s="15">
        <v>0</v>
      </c>
      <c r="AL2255" t="s">
        <v>1263</v>
      </c>
      <c r="AM2255">
        <v>0</v>
      </c>
      <c r="AP2255">
        <v>56</v>
      </c>
      <c r="AR2255" s="15" t="s">
        <v>1155</v>
      </c>
    </row>
    <row r="2256" spans="1:44" x14ac:dyDescent="0.2">
      <c r="A2256" t="s">
        <v>1378</v>
      </c>
      <c r="B2256" s="15" t="s">
        <v>1146</v>
      </c>
      <c r="C2256" s="15" t="s">
        <v>1149</v>
      </c>
      <c r="D2256" s="14" t="s">
        <v>475</v>
      </c>
      <c r="E2256" s="14" t="s">
        <v>3046</v>
      </c>
      <c r="G2256" s="15" t="s">
        <v>1165</v>
      </c>
      <c r="H2256" s="14" t="s">
        <v>1165</v>
      </c>
      <c r="I2256" s="14" t="s">
        <v>3033</v>
      </c>
      <c r="M2256" s="14" t="s">
        <v>3034</v>
      </c>
      <c r="O2256">
        <v>2004</v>
      </c>
      <c r="Q2256" t="s">
        <v>1329</v>
      </c>
      <c r="R2256">
        <v>14</v>
      </c>
      <c r="T2256" t="s">
        <v>3035</v>
      </c>
      <c r="U2256" s="14" t="s">
        <v>1246</v>
      </c>
      <c r="V2256" s="9" t="s">
        <v>3036</v>
      </c>
      <c r="W2256">
        <v>30</v>
      </c>
      <c r="X2256" s="9" t="s">
        <v>3038</v>
      </c>
      <c r="Z2256" s="5"/>
      <c r="AD2256" s="14" t="s">
        <v>1165</v>
      </c>
      <c r="AF2256" t="s">
        <v>1165</v>
      </c>
      <c r="AI2256" t="s">
        <v>1165</v>
      </c>
      <c r="AJ2256" s="15" t="s">
        <v>1148</v>
      </c>
      <c r="AK2256" s="15">
        <v>31.861999999999998</v>
      </c>
      <c r="AL2256" t="s">
        <v>1263</v>
      </c>
      <c r="AM2256">
        <f>39.517-31.862</f>
        <v>7.6550000000000047</v>
      </c>
      <c r="AP2256">
        <v>28</v>
      </c>
      <c r="AR2256" s="15" t="s">
        <v>1155</v>
      </c>
    </row>
    <row r="2257" spans="1:44" x14ac:dyDescent="0.2">
      <c r="A2257" t="s">
        <v>1378</v>
      </c>
      <c r="B2257" s="15" t="s">
        <v>1146</v>
      </c>
      <c r="C2257" s="15" t="s">
        <v>1149</v>
      </c>
      <c r="D2257" s="14" t="s">
        <v>475</v>
      </c>
      <c r="E2257" s="14" t="s">
        <v>3046</v>
      </c>
      <c r="G2257" s="15" t="s">
        <v>1165</v>
      </c>
      <c r="H2257" s="14" t="s">
        <v>1165</v>
      </c>
      <c r="I2257" s="14" t="s">
        <v>3033</v>
      </c>
      <c r="M2257" s="14" t="s">
        <v>3034</v>
      </c>
      <c r="O2257">
        <v>2004</v>
      </c>
      <c r="Q2257" t="s">
        <v>1329</v>
      </c>
      <c r="R2257">
        <v>14</v>
      </c>
      <c r="T2257" t="s">
        <v>3035</v>
      </c>
      <c r="U2257" s="14" t="s">
        <v>1246</v>
      </c>
      <c r="V2257" s="9" t="s">
        <v>3036</v>
      </c>
      <c r="W2257">
        <v>30</v>
      </c>
      <c r="X2257" s="9" t="s">
        <v>3038</v>
      </c>
      <c r="Z2257" s="5"/>
      <c r="AD2257" s="14" t="s">
        <v>1165</v>
      </c>
      <c r="AF2257" t="s">
        <v>1165</v>
      </c>
      <c r="AI2257" t="s">
        <v>1165</v>
      </c>
      <c r="AJ2257" s="15" t="s">
        <v>1148</v>
      </c>
      <c r="AK2257" s="15">
        <v>54.828000000000003</v>
      </c>
      <c r="AL2257" t="s">
        <v>1263</v>
      </c>
      <c r="AM2257">
        <f>63.517-54.828</f>
        <v>8.6890000000000001</v>
      </c>
      <c r="AP2257">
        <v>56</v>
      </c>
      <c r="AR2257" s="15" t="s">
        <v>1155</v>
      </c>
    </row>
    <row r="2258" spans="1:44" x14ac:dyDescent="0.2">
      <c r="A2258" t="s">
        <v>1378</v>
      </c>
      <c r="B2258" s="15" t="s">
        <v>1146</v>
      </c>
      <c r="C2258" s="15" t="s">
        <v>1149</v>
      </c>
      <c r="D2258" s="14" t="s">
        <v>475</v>
      </c>
      <c r="E2258" s="14" t="s">
        <v>3046</v>
      </c>
      <c r="G2258" s="15" t="s">
        <v>1165</v>
      </c>
      <c r="H2258" s="14" t="s">
        <v>1165</v>
      </c>
      <c r="I2258" s="14" t="s">
        <v>3033</v>
      </c>
      <c r="M2258" s="14" t="s">
        <v>3034</v>
      </c>
      <c r="O2258">
        <v>2004</v>
      </c>
      <c r="Q2258" t="s">
        <v>1329</v>
      </c>
      <c r="R2258">
        <v>14</v>
      </c>
      <c r="T2258" t="s">
        <v>3035</v>
      </c>
      <c r="U2258" s="14" t="s">
        <v>1246</v>
      </c>
      <c r="V2258" s="9" t="s">
        <v>3036</v>
      </c>
      <c r="W2258">
        <v>90</v>
      </c>
      <c r="X2258" s="9" t="s">
        <v>3038</v>
      </c>
      <c r="Z2258" s="5"/>
      <c r="AD2258" s="14" t="s">
        <v>1165</v>
      </c>
      <c r="AF2258" t="s">
        <v>1165</v>
      </c>
      <c r="AI2258" t="s">
        <v>1165</v>
      </c>
      <c r="AJ2258" s="15" t="s">
        <v>1148</v>
      </c>
      <c r="AK2258" s="15">
        <v>33.31</v>
      </c>
      <c r="AL2258" t="s">
        <v>1263</v>
      </c>
      <c r="AM2258">
        <f>39.103-33.31</f>
        <v>5.7929999999999993</v>
      </c>
      <c r="AP2258">
        <v>28</v>
      </c>
      <c r="AR2258" s="15" t="s">
        <v>1155</v>
      </c>
    </row>
    <row r="2259" spans="1:44" x14ac:dyDescent="0.2">
      <c r="A2259" t="s">
        <v>1378</v>
      </c>
      <c r="B2259" s="15" t="s">
        <v>1146</v>
      </c>
      <c r="C2259" s="15" t="s">
        <v>1149</v>
      </c>
      <c r="D2259" s="14" t="s">
        <v>475</v>
      </c>
      <c r="E2259" s="14" t="s">
        <v>3046</v>
      </c>
      <c r="G2259" s="15" t="s">
        <v>1165</v>
      </c>
      <c r="H2259" s="14" t="s">
        <v>1165</v>
      </c>
      <c r="I2259" s="14" t="s">
        <v>3033</v>
      </c>
      <c r="M2259" s="14" t="s">
        <v>3034</v>
      </c>
      <c r="O2259">
        <v>2004</v>
      </c>
      <c r="Q2259" t="s">
        <v>1329</v>
      </c>
      <c r="R2259">
        <v>14</v>
      </c>
      <c r="T2259" t="s">
        <v>3035</v>
      </c>
      <c r="U2259" s="14" t="s">
        <v>1246</v>
      </c>
      <c r="V2259" s="9" t="s">
        <v>3036</v>
      </c>
      <c r="W2259">
        <v>90</v>
      </c>
      <c r="X2259" s="9" t="s">
        <v>3038</v>
      </c>
      <c r="Z2259" s="5"/>
      <c r="AD2259" s="14" t="s">
        <v>1165</v>
      </c>
      <c r="AF2259" t="s">
        <v>1165</v>
      </c>
      <c r="AI2259" t="s">
        <v>1165</v>
      </c>
      <c r="AJ2259" s="15" t="s">
        <v>1148</v>
      </c>
      <c r="AK2259" s="15">
        <v>61.862000000000002</v>
      </c>
      <c r="AL2259" t="s">
        <v>1263</v>
      </c>
      <c r="AM2259">
        <f>70.552-61.862</f>
        <v>8.6900000000000048</v>
      </c>
      <c r="AP2259">
        <v>56</v>
      </c>
      <c r="AR2259" s="15" t="s">
        <v>1155</v>
      </c>
    </row>
    <row r="2260" spans="1:44" x14ac:dyDescent="0.2">
      <c r="A2260" t="s">
        <v>1378</v>
      </c>
      <c r="B2260" s="15" t="s">
        <v>1146</v>
      </c>
      <c r="C2260" s="15" t="s">
        <v>1149</v>
      </c>
      <c r="D2260" s="14" t="s">
        <v>475</v>
      </c>
      <c r="E2260" s="14" t="s">
        <v>3046</v>
      </c>
      <c r="G2260" s="15" t="s">
        <v>1165</v>
      </c>
      <c r="H2260" s="14" t="s">
        <v>1165</v>
      </c>
      <c r="I2260" s="14" t="s">
        <v>3033</v>
      </c>
      <c r="M2260" s="14" t="s">
        <v>3034</v>
      </c>
      <c r="O2260">
        <v>2004</v>
      </c>
      <c r="Q2260" t="s">
        <v>1329</v>
      </c>
      <c r="R2260">
        <v>14</v>
      </c>
      <c r="T2260" t="s">
        <v>3035</v>
      </c>
      <c r="U2260" s="14" t="s">
        <v>1246</v>
      </c>
      <c r="V2260" s="9" t="s">
        <v>3036</v>
      </c>
      <c r="W2260">
        <v>180</v>
      </c>
      <c r="X2260" s="9" t="s">
        <v>3038</v>
      </c>
      <c r="Z2260" s="5"/>
      <c r="AD2260" s="14" t="s">
        <v>1165</v>
      </c>
      <c r="AF2260" t="s">
        <v>1165</v>
      </c>
      <c r="AI2260" t="s">
        <v>1165</v>
      </c>
      <c r="AJ2260" s="15" t="s">
        <v>1148</v>
      </c>
      <c r="AK2260" s="15">
        <v>50.276000000000003</v>
      </c>
      <c r="AL2260" t="s">
        <v>1263</v>
      </c>
      <c r="AM2260">
        <f>57.31-50.276</f>
        <v>7.0339999999999989</v>
      </c>
      <c r="AP2260">
        <v>28</v>
      </c>
      <c r="AR2260" s="15" t="s">
        <v>1155</v>
      </c>
    </row>
    <row r="2261" spans="1:44" x14ac:dyDescent="0.2">
      <c r="A2261" t="s">
        <v>1378</v>
      </c>
      <c r="B2261" s="15" t="s">
        <v>1146</v>
      </c>
      <c r="C2261" s="15" t="s">
        <v>1149</v>
      </c>
      <c r="D2261" s="14" t="s">
        <v>475</v>
      </c>
      <c r="E2261" s="14" t="s">
        <v>3046</v>
      </c>
      <c r="G2261" s="15" t="s">
        <v>1165</v>
      </c>
      <c r="H2261" s="14" t="s">
        <v>1165</v>
      </c>
      <c r="I2261" s="14" t="s">
        <v>3033</v>
      </c>
      <c r="M2261" s="14" t="s">
        <v>3034</v>
      </c>
      <c r="O2261">
        <v>2004</v>
      </c>
      <c r="Q2261" t="s">
        <v>1329</v>
      </c>
      <c r="R2261">
        <v>14</v>
      </c>
      <c r="T2261" t="s">
        <v>3035</v>
      </c>
      <c r="U2261" s="14" t="s">
        <v>1246</v>
      </c>
      <c r="V2261" s="9" t="s">
        <v>3036</v>
      </c>
      <c r="W2261">
        <v>180</v>
      </c>
      <c r="X2261" s="9" t="s">
        <v>3038</v>
      </c>
      <c r="Z2261" s="5"/>
      <c r="AD2261" s="14" t="s">
        <v>1165</v>
      </c>
      <c r="AF2261" t="s">
        <v>1165</v>
      </c>
      <c r="AI2261" t="s">
        <v>1165</v>
      </c>
      <c r="AJ2261" s="15" t="s">
        <v>1148</v>
      </c>
      <c r="AK2261" s="15">
        <v>66</v>
      </c>
      <c r="AL2261" t="s">
        <v>1263</v>
      </c>
      <c r="AM2261">
        <f>75.931-66</f>
        <v>9.9309999999999974</v>
      </c>
      <c r="AP2261">
        <v>56</v>
      </c>
      <c r="AR2261" s="15" t="s">
        <v>1155</v>
      </c>
    </row>
    <row r="2262" spans="1:44" x14ac:dyDescent="0.2">
      <c r="A2262" t="s">
        <v>1378</v>
      </c>
      <c r="B2262" s="15" t="s">
        <v>1146</v>
      </c>
      <c r="C2262" s="15" t="s">
        <v>1149</v>
      </c>
      <c r="D2262" s="14" t="s">
        <v>475</v>
      </c>
      <c r="E2262" s="14" t="s">
        <v>3046</v>
      </c>
      <c r="G2262" s="15" t="s">
        <v>1165</v>
      </c>
      <c r="H2262" s="14" t="s">
        <v>1165</v>
      </c>
      <c r="I2262" s="14" t="s">
        <v>3033</v>
      </c>
      <c r="M2262" s="14" t="s">
        <v>3034</v>
      </c>
      <c r="O2262">
        <v>2004</v>
      </c>
      <c r="Q2262" t="s">
        <v>1329</v>
      </c>
      <c r="R2262">
        <v>14</v>
      </c>
      <c r="T2262" t="s">
        <v>3035</v>
      </c>
      <c r="U2262" s="14" t="s">
        <v>1246</v>
      </c>
      <c r="V2262" s="9" t="s">
        <v>3036</v>
      </c>
      <c r="W2262">
        <v>0</v>
      </c>
      <c r="X2262" s="9" t="s">
        <v>3039</v>
      </c>
      <c r="Z2262" s="5"/>
      <c r="AD2262" s="14" t="s">
        <v>1165</v>
      </c>
      <c r="AF2262" t="s">
        <v>1165</v>
      </c>
      <c r="AI2262" t="s">
        <v>1165</v>
      </c>
      <c r="AJ2262" s="15" t="s">
        <v>1148</v>
      </c>
      <c r="AK2262" s="15">
        <v>6.17</v>
      </c>
      <c r="AL2262" t="s">
        <v>1263</v>
      </c>
      <c r="AM2262">
        <f>10.851-6.17</f>
        <v>4.6810000000000009</v>
      </c>
      <c r="AP2262">
        <v>28</v>
      </c>
      <c r="AR2262" s="15" t="s">
        <v>1155</v>
      </c>
    </row>
    <row r="2263" spans="1:44" x14ac:dyDescent="0.2">
      <c r="A2263" t="s">
        <v>1378</v>
      </c>
      <c r="B2263" s="15" t="s">
        <v>1146</v>
      </c>
      <c r="C2263" s="15" t="s">
        <v>1149</v>
      </c>
      <c r="D2263" s="14" t="s">
        <v>475</v>
      </c>
      <c r="E2263" s="14" t="s">
        <v>3046</v>
      </c>
      <c r="G2263" s="15" t="s">
        <v>1165</v>
      </c>
      <c r="H2263" s="14" t="s">
        <v>1165</v>
      </c>
      <c r="I2263" s="14" t="s">
        <v>3033</v>
      </c>
      <c r="M2263" s="14" t="s">
        <v>3034</v>
      </c>
      <c r="O2263">
        <v>2004</v>
      </c>
      <c r="Q2263" t="s">
        <v>1329</v>
      </c>
      <c r="R2263">
        <v>14</v>
      </c>
      <c r="T2263" t="s">
        <v>3035</v>
      </c>
      <c r="U2263" s="14" t="s">
        <v>1246</v>
      </c>
      <c r="V2263" s="9" t="s">
        <v>3036</v>
      </c>
      <c r="W2263">
        <v>0</v>
      </c>
      <c r="X2263" s="9" t="s">
        <v>3039</v>
      </c>
      <c r="Z2263" s="5"/>
      <c r="AD2263" s="14" t="s">
        <v>1165</v>
      </c>
      <c r="AF2263" t="s">
        <v>1165</v>
      </c>
      <c r="AI2263" t="s">
        <v>1165</v>
      </c>
      <c r="AJ2263" s="15" t="s">
        <v>1148</v>
      </c>
      <c r="AK2263" s="15">
        <v>8.7230000000000008</v>
      </c>
      <c r="AL2263" t="s">
        <v>1263</v>
      </c>
      <c r="AM2263">
        <f>13.404-8.723</f>
        <v>4.6809999999999992</v>
      </c>
      <c r="AP2263">
        <v>56</v>
      </c>
      <c r="AR2263" s="15" t="s">
        <v>1155</v>
      </c>
    </row>
    <row r="2264" spans="1:44" x14ac:dyDescent="0.2">
      <c r="A2264" t="s">
        <v>1378</v>
      </c>
      <c r="B2264" s="15" t="s">
        <v>1146</v>
      </c>
      <c r="C2264" s="15" t="s">
        <v>1149</v>
      </c>
      <c r="D2264" s="14" t="s">
        <v>475</v>
      </c>
      <c r="E2264" s="14" t="s">
        <v>3046</v>
      </c>
      <c r="G2264" s="15" t="s">
        <v>1165</v>
      </c>
      <c r="H2264" s="14" t="s">
        <v>1165</v>
      </c>
      <c r="I2264" s="14" t="s">
        <v>3033</v>
      </c>
      <c r="M2264" s="14" t="s">
        <v>3034</v>
      </c>
      <c r="O2264">
        <v>2004</v>
      </c>
      <c r="Q2264" t="s">
        <v>1329</v>
      </c>
      <c r="R2264">
        <v>14</v>
      </c>
      <c r="T2264" t="s">
        <v>3035</v>
      </c>
      <c r="U2264" s="14" t="s">
        <v>1246</v>
      </c>
      <c r="V2264" s="9" t="s">
        <v>3036</v>
      </c>
      <c r="W2264">
        <v>30</v>
      </c>
      <c r="X2264" s="9" t="s">
        <v>3039</v>
      </c>
      <c r="Z2264" s="5"/>
      <c r="AD2264" s="14" t="s">
        <v>1165</v>
      </c>
      <c r="AF2264" t="s">
        <v>1165</v>
      </c>
      <c r="AI2264" t="s">
        <v>1165</v>
      </c>
      <c r="AJ2264" s="15" t="s">
        <v>1148</v>
      </c>
      <c r="AK2264" s="15">
        <v>93.83</v>
      </c>
      <c r="AL2264" t="s">
        <v>1263</v>
      </c>
      <c r="AM2264">
        <f>106.17-93.38</f>
        <v>12.790000000000006</v>
      </c>
      <c r="AP2264">
        <v>28</v>
      </c>
      <c r="AR2264" s="15" t="s">
        <v>1155</v>
      </c>
    </row>
    <row r="2265" spans="1:44" x14ac:dyDescent="0.2">
      <c r="A2265" t="s">
        <v>1378</v>
      </c>
      <c r="B2265" s="15" t="s">
        <v>1146</v>
      </c>
      <c r="C2265" s="15" t="s">
        <v>1149</v>
      </c>
      <c r="D2265" s="14" t="s">
        <v>475</v>
      </c>
      <c r="E2265" s="14" t="s">
        <v>3046</v>
      </c>
      <c r="G2265" s="15" t="s">
        <v>1165</v>
      </c>
      <c r="H2265" s="14" t="s">
        <v>1165</v>
      </c>
      <c r="I2265" s="14" t="s">
        <v>3033</v>
      </c>
      <c r="M2265" s="14" t="s">
        <v>3034</v>
      </c>
      <c r="O2265">
        <v>2004</v>
      </c>
      <c r="Q2265" t="s">
        <v>1329</v>
      </c>
      <c r="R2265">
        <v>14</v>
      </c>
      <c r="T2265" t="s">
        <v>3035</v>
      </c>
      <c r="U2265" s="14" t="s">
        <v>1246</v>
      </c>
      <c r="V2265" s="9" t="s">
        <v>3036</v>
      </c>
      <c r="W2265">
        <v>30</v>
      </c>
      <c r="X2265" s="9" t="s">
        <v>3039</v>
      </c>
      <c r="Z2265" s="5"/>
      <c r="AD2265" s="14" t="s">
        <v>1165</v>
      </c>
      <c r="AF2265" t="s">
        <v>1165</v>
      </c>
      <c r="AI2265" t="s">
        <v>1165</v>
      </c>
      <c r="AJ2265" s="15" t="s">
        <v>1148</v>
      </c>
      <c r="AK2265" s="15">
        <v>100</v>
      </c>
      <c r="AL2265" t="s">
        <v>1263</v>
      </c>
      <c r="AM2265">
        <f>106.17-100.638</f>
        <v>5.5319999999999965</v>
      </c>
      <c r="AP2265">
        <v>56</v>
      </c>
      <c r="AR2265" s="15" t="s">
        <v>1155</v>
      </c>
    </row>
    <row r="2266" spans="1:44" x14ac:dyDescent="0.2">
      <c r="A2266" t="s">
        <v>1378</v>
      </c>
      <c r="B2266" s="15" t="s">
        <v>1146</v>
      </c>
      <c r="C2266" s="15" t="s">
        <v>1149</v>
      </c>
      <c r="D2266" s="14" t="s">
        <v>475</v>
      </c>
      <c r="E2266" s="14" t="s">
        <v>3046</v>
      </c>
      <c r="G2266" s="15" t="s">
        <v>1165</v>
      </c>
      <c r="H2266" s="14" t="s">
        <v>1165</v>
      </c>
      <c r="I2266" s="14" t="s">
        <v>3033</v>
      </c>
      <c r="M2266" s="14" t="s">
        <v>3034</v>
      </c>
      <c r="O2266">
        <v>2004</v>
      </c>
      <c r="Q2266" t="s">
        <v>1329</v>
      </c>
      <c r="R2266">
        <v>14</v>
      </c>
      <c r="T2266" t="s">
        <v>3035</v>
      </c>
      <c r="U2266" s="14" t="s">
        <v>1246</v>
      </c>
      <c r="V2266" s="9" t="s">
        <v>3036</v>
      </c>
      <c r="W2266">
        <v>90</v>
      </c>
      <c r="X2266" s="9" t="s">
        <v>3039</v>
      </c>
      <c r="Z2266" s="5"/>
      <c r="AD2266" s="14" t="s">
        <v>1165</v>
      </c>
      <c r="AF2266" t="s">
        <v>1165</v>
      </c>
      <c r="AI2266" t="s">
        <v>1165</v>
      </c>
      <c r="AJ2266" s="15" t="s">
        <v>1148</v>
      </c>
      <c r="AK2266" s="15">
        <v>71.489000000000004</v>
      </c>
      <c r="AL2266" t="s">
        <v>1263</v>
      </c>
      <c r="AM2266">
        <f>81.915-71.489</f>
        <v>10.426000000000002</v>
      </c>
      <c r="AP2266">
        <v>28</v>
      </c>
      <c r="AR2266" s="15" t="s">
        <v>1155</v>
      </c>
    </row>
    <row r="2267" spans="1:44" x14ac:dyDescent="0.2">
      <c r="A2267" t="s">
        <v>1378</v>
      </c>
      <c r="B2267" s="15" t="s">
        <v>1146</v>
      </c>
      <c r="C2267" s="15" t="s">
        <v>1149</v>
      </c>
      <c r="D2267" s="14" t="s">
        <v>475</v>
      </c>
      <c r="E2267" s="14" t="s">
        <v>3046</v>
      </c>
      <c r="G2267" s="15" t="s">
        <v>1165</v>
      </c>
      <c r="H2267" s="14" t="s">
        <v>1165</v>
      </c>
      <c r="I2267" s="14" t="s">
        <v>3033</v>
      </c>
      <c r="M2267" s="14" t="s">
        <v>3034</v>
      </c>
      <c r="O2267">
        <v>2004</v>
      </c>
      <c r="Q2267" t="s">
        <v>1329</v>
      </c>
      <c r="R2267">
        <v>14</v>
      </c>
      <c r="T2267" t="s">
        <v>3035</v>
      </c>
      <c r="U2267" s="14" t="s">
        <v>1246</v>
      </c>
      <c r="V2267" s="9" t="s">
        <v>3036</v>
      </c>
      <c r="W2267">
        <v>90</v>
      </c>
      <c r="X2267" s="9" t="s">
        <v>3039</v>
      </c>
      <c r="Z2267" s="5"/>
      <c r="AD2267" s="14" t="s">
        <v>1165</v>
      </c>
      <c r="AF2267" t="s">
        <v>1165</v>
      </c>
      <c r="AI2267" t="s">
        <v>1165</v>
      </c>
      <c r="AJ2267" s="15" t="s">
        <v>1148</v>
      </c>
      <c r="AK2267" s="15">
        <v>81.489000000000004</v>
      </c>
      <c r="AL2267" t="s">
        <v>1263</v>
      </c>
      <c r="AM2267">
        <f>92.979-81.489</f>
        <v>11.489999999999995</v>
      </c>
      <c r="AP2267">
        <v>56</v>
      </c>
      <c r="AR2267" s="15" t="s">
        <v>1155</v>
      </c>
    </row>
    <row r="2268" spans="1:44" x14ac:dyDescent="0.2">
      <c r="A2268" t="s">
        <v>1378</v>
      </c>
      <c r="B2268" s="15" t="s">
        <v>1146</v>
      </c>
      <c r="C2268" s="15" t="s">
        <v>1149</v>
      </c>
      <c r="D2268" s="14" t="s">
        <v>475</v>
      </c>
      <c r="E2268" s="14" t="s">
        <v>3046</v>
      </c>
      <c r="G2268" s="15" t="s">
        <v>1165</v>
      </c>
      <c r="H2268" s="14" t="s">
        <v>1165</v>
      </c>
      <c r="I2268" s="14" t="s">
        <v>3033</v>
      </c>
      <c r="M2268" s="14" t="s">
        <v>3034</v>
      </c>
      <c r="O2268">
        <v>2004</v>
      </c>
      <c r="Q2268" t="s">
        <v>1329</v>
      </c>
      <c r="R2268">
        <v>14</v>
      </c>
      <c r="T2268" t="s">
        <v>3035</v>
      </c>
      <c r="U2268" s="14" t="s">
        <v>1246</v>
      </c>
      <c r="V2268" s="9" t="s">
        <v>3036</v>
      </c>
      <c r="W2268">
        <v>180</v>
      </c>
      <c r="X2268" s="9" t="s">
        <v>3039</v>
      </c>
      <c r="Z2268" s="5"/>
      <c r="AD2268" s="14" t="s">
        <v>1165</v>
      </c>
      <c r="AF2268" t="s">
        <v>1165</v>
      </c>
      <c r="AI2268" t="s">
        <v>1165</v>
      </c>
      <c r="AJ2268" s="15" t="s">
        <v>1148</v>
      </c>
      <c r="AK2268" s="15">
        <v>47.447000000000003</v>
      </c>
      <c r="AL2268" t="s">
        <v>1263</v>
      </c>
      <c r="AM2268">
        <f>56.809-47.447</f>
        <v>9.3619999999999948</v>
      </c>
      <c r="AP2268">
        <v>28</v>
      </c>
      <c r="AR2268" s="15" t="s">
        <v>1155</v>
      </c>
    </row>
    <row r="2269" spans="1:44" x14ac:dyDescent="0.2">
      <c r="A2269" t="s">
        <v>1378</v>
      </c>
      <c r="B2269" s="15" t="s">
        <v>1146</v>
      </c>
      <c r="C2269" s="15" t="s">
        <v>1149</v>
      </c>
      <c r="D2269" s="14" t="s">
        <v>475</v>
      </c>
      <c r="E2269" s="14" t="s">
        <v>3046</v>
      </c>
      <c r="G2269" s="15" t="s">
        <v>1165</v>
      </c>
      <c r="H2269" s="14" t="s">
        <v>1165</v>
      </c>
      <c r="I2269" s="14" t="s">
        <v>3033</v>
      </c>
      <c r="M2269" s="14" t="s">
        <v>3034</v>
      </c>
      <c r="O2269">
        <v>2004</v>
      </c>
      <c r="Q2269" t="s">
        <v>1329</v>
      </c>
      <c r="R2269">
        <v>14</v>
      </c>
      <c r="T2269" t="s">
        <v>3035</v>
      </c>
      <c r="U2269" s="14" t="s">
        <v>1246</v>
      </c>
      <c r="V2269" s="9" t="s">
        <v>3036</v>
      </c>
      <c r="W2269">
        <v>180</v>
      </c>
      <c r="X2269" s="9" t="s">
        <v>3039</v>
      </c>
      <c r="Z2269" s="5"/>
      <c r="AD2269" s="14" t="s">
        <v>1165</v>
      </c>
      <c r="AF2269" t="s">
        <v>1165</v>
      </c>
      <c r="AI2269" t="s">
        <v>1165</v>
      </c>
      <c r="AJ2269" s="15" t="s">
        <v>1148</v>
      </c>
      <c r="AK2269" s="15">
        <v>57.66</v>
      </c>
      <c r="AL2269" t="s">
        <v>1263</v>
      </c>
      <c r="AM2269">
        <f>67.872-57.66</f>
        <v>10.212000000000003</v>
      </c>
      <c r="AP2269">
        <v>56</v>
      </c>
      <c r="AR2269" s="15" t="s">
        <v>1155</v>
      </c>
    </row>
    <row r="2270" spans="1:44" x14ac:dyDescent="0.2">
      <c r="A2270" t="s">
        <v>1378</v>
      </c>
      <c r="B2270" s="15" t="s">
        <v>1146</v>
      </c>
      <c r="C2270" s="15" t="s">
        <v>1149</v>
      </c>
      <c r="D2270" s="14" t="s">
        <v>475</v>
      </c>
      <c r="E2270" s="14" t="s">
        <v>3046</v>
      </c>
      <c r="G2270" s="15" t="s">
        <v>1165</v>
      </c>
      <c r="H2270" s="14" t="s">
        <v>1165</v>
      </c>
      <c r="I2270" s="14" t="s">
        <v>3033</v>
      </c>
      <c r="M2270" s="14" t="s">
        <v>3034</v>
      </c>
      <c r="O2270">
        <v>2004</v>
      </c>
      <c r="Q2270" t="s">
        <v>1329</v>
      </c>
      <c r="R2270">
        <v>14</v>
      </c>
      <c r="T2270" t="s">
        <v>3035</v>
      </c>
      <c r="U2270" s="14" t="s">
        <v>1246</v>
      </c>
      <c r="V2270" s="9" t="s">
        <v>3036</v>
      </c>
      <c r="W2270">
        <v>0</v>
      </c>
      <c r="X2270" s="9" t="s">
        <v>3040</v>
      </c>
      <c r="Z2270" s="5"/>
      <c r="AD2270" s="14" t="s">
        <v>1165</v>
      </c>
      <c r="AF2270" t="s">
        <v>1165</v>
      </c>
      <c r="AI2270" t="s">
        <v>1165</v>
      </c>
      <c r="AJ2270" s="15" t="s">
        <v>1148</v>
      </c>
      <c r="AK2270" s="15">
        <v>3.7109999999999999</v>
      </c>
      <c r="AL2270" t="s">
        <v>1263</v>
      </c>
      <c r="AM2270">
        <f>5.979-3.711</f>
        <v>2.2680000000000002</v>
      </c>
      <c r="AP2270">
        <v>28</v>
      </c>
      <c r="AR2270" s="15" t="s">
        <v>1155</v>
      </c>
    </row>
    <row r="2271" spans="1:44" x14ac:dyDescent="0.2">
      <c r="A2271" t="s">
        <v>1378</v>
      </c>
      <c r="B2271" s="15" t="s">
        <v>1146</v>
      </c>
      <c r="C2271" s="15" t="s">
        <v>1149</v>
      </c>
      <c r="D2271" s="14" t="s">
        <v>475</v>
      </c>
      <c r="E2271" s="14" t="s">
        <v>3046</v>
      </c>
      <c r="G2271" s="15" t="s">
        <v>1165</v>
      </c>
      <c r="H2271" s="14" t="s">
        <v>1165</v>
      </c>
      <c r="I2271" s="14" t="s">
        <v>3033</v>
      </c>
      <c r="M2271" s="14" t="s">
        <v>3034</v>
      </c>
      <c r="O2271">
        <v>2004</v>
      </c>
      <c r="Q2271" t="s">
        <v>1329</v>
      </c>
      <c r="R2271">
        <v>14</v>
      </c>
      <c r="T2271" t="s">
        <v>3035</v>
      </c>
      <c r="U2271" s="14" t="s">
        <v>1246</v>
      </c>
      <c r="V2271" s="9" t="s">
        <v>3036</v>
      </c>
      <c r="W2271">
        <v>0</v>
      </c>
      <c r="X2271" s="9" t="s">
        <v>3040</v>
      </c>
      <c r="Z2271" s="5"/>
      <c r="AD2271" s="14" t="s">
        <v>1165</v>
      </c>
      <c r="AF2271" t="s">
        <v>1165</v>
      </c>
      <c r="AI2271" t="s">
        <v>1165</v>
      </c>
      <c r="AJ2271" s="15" t="s">
        <v>1148</v>
      </c>
      <c r="AK2271" s="15">
        <v>5.1550000000000002</v>
      </c>
      <c r="AL2271" t="s">
        <v>1263</v>
      </c>
      <c r="AM2271">
        <f>8.041-5.155</f>
        <v>2.8860000000000001</v>
      </c>
      <c r="AP2271">
        <v>56</v>
      </c>
      <c r="AR2271" s="15" t="s">
        <v>1155</v>
      </c>
    </row>
    <row r="2272" spans="1:44" x14ac:dyDescent="0.2">
      <c r="A2272" t="s">
        <v>1378</v>
      </c>
      <c r="B2272" s="15" t="s">
        <v>1146</v>
      </c>
      <c r="C2272" s="15" t="s">
        <v>1149</v>
      </c>
      <c r="D2272" s="14" t="s">
        <v>475</v>
      </c>
      <c r="E2272" s="14" t="s">
        <v>3046</v>
      </c>
      <c r="G2272" s="15" t="s">
        <v>1165</v>
      </c>
      <c r="H2272" s="14" t="s">
        <v>1165</v>
      </c>
      <c r="I2272" s="14" t="s">
        <v>3033</v>
      </c>
      <c r="M2272" s="14" t="s">
        <v>3034</v>
      </c>
      <c r="O2272">
        <v>2004</v>
      </c>
      <c r="Q2272" t="s">
        <v>1329</v>
      </c>
      <c r="R2272">
        <v>14</v>
      </c>
      <c r="T2272" t="s">
        <v>3035</v>
      </c>
      <c r="U2272" s="14" t="s">
        <v>1246</v>
      </c>
      <c r="V2272" s="9" t="s">
        <v>3036</v>
      </c>
      <c r="W2272">
        <v>30</v>
      </c>
      <c r="X2272" s="9" t="s">
        <v>3040</v>
      </c>
      <c r="Z2272" s="5"/>
      <c r="AD2272" s="14" t="s">
        <v>1165</v>
      </c>
      <c r="AF2272" t="s">
        <v>1165</v>
      </c>
      <c r="AI2272" t="s">
        <v>1165</v>
      </c>
      <c r="AJ2272" s="15" t="s">
        <v>1148</v>
      </c>
      <c r="AK2272" s="15">
        <v>23.504999999999999</v>
      </c>
      <c r="AL2272" t="s">
        <v>1263</v>
      </c>
      <c r="AM2272">
        <f>28.66-23.505</f>
        <v>5.1550000000000011</v>
      </c>
      <c r="AP2272">
        <v>28</v>
      </c>
      <c r="AR2272" s="15" t="s">
        <v>1155</v>
      </c>
    </row>
    <row r="2273" spans="1:44" x14ac:dyDescent="0.2">
      <c r="A2273" t="s">
        <v>1378</v>
      </c>
      <c r="B2273" s="15" t="s">
        <v>1146</v>
      </c>
      <c r="C2273" s="15" t="s">
        <v>1149</v>
      </c>
      <c r="D2273" s="14" t="s">
        <v>475</v>
      </c>
      <c r="E2273" s="14" t="s">
        <v>3046</v>
      </c>
      <c r="G2273" s="15" t="s">
        <v>1165</v>
      </c>
      <c r="H2273" s="14" t="s">
        <v>1165</v>
      </c>
      <c r="I2273" s="14" t="s">
        <v>3033</v>
      </c>
      <c r="M2273" s="14" t="s">
        <v>3034</v>
      </c>
      <c r="O2273">
        <v>2004</v>
      </c>
      <c r="Q2273" t="s">
        <v>1329</v>
      </c>
      <c r="R2273">
        <v>14</v>
      </c>
      <c r="T2273" t="s">
        <v>3035</v>
      </c>
      <c r="U2273" s="14" t="s">
        <v>1246</v>
      </c>
      <c r="V2273" s="9" t="s">
        <v>3036</v>
      </c>
      <c r="W2273">
        <v>30</v>
      </c>
      <c r="X2273" s="9" t="s">
        <v>3040</v>
      </c>
      <c r="Z2273" s="5"/>
      <c r="AD2273" s="14" t="s">
        <v>1165</v>
      </c>
      <c r="AF2273" t="s">
        <v>1165</v>
      </c>
      <c r="AI2273" t="s">
        <v>1165</v>
      </c>
      <c r="AJ2273" s="15" t="s">
        <v>1148</v>
      </c>
      <c r="AK2273" s="15">
        <v>24.948</v>
      </c>
      <c r="AL2273" t="s">
        <v>1263</v>
      </c>
      <c r="AM2273">
        <f>30.309-24.948</f>
        <v>5.3610000000000007</v>
      </c>
      <c r="AP2273">
        <v>56</v>
      </c>
      <c r="AR2273" s="15" t="s">
        <v>1155</v>
      </c>
    </row>
    <row r="2274" spans="1:44" x14ac:dyDescent="0.2">
      <c r="A2274" t="s">
        <v>1378</v>
      </c>
      <c r="B2274" s="15" t="s">
        <v>1146</v>
      </c>
      <c r="C2274" s="15" t="s">
        <v>1149</v>
      </c>
      <c r="D2274" s="14" t="s">
        <v>475</v>
      </c>
      <c r="E2274" s="14" t="s">
        <v>3046</v>
      </c>
      <c r="G2274" s="15" t="s">
        <v>1165</v>
      </c>
      <c r="H2274" s="14" t="s">
        <v>1165</v>
      </c>
      <c r="I2274" s="14" t="s">
        <v>3033</v>
      </c>
      <c r="M2274" s="14" t="s">
        <v>3034</v>
      </c>
      <c r="O2274">
        <v>2004</v>
      </c>
      <c r="Q2274" t="s">
        <v>1329</v>
      </c>
      <c r="R2274">
        <v>14</v>
      </c>
      <c r="T2274" t="s">
        <v>3035</v>
      </c>
      <c r="U2274" s="14" t="s">
        <v>1246</v>
      </c>
      <c r="V2274" s="9" t="s">
        <v>3036</v>
      </c>
      <c r="W2274">
        <v>90</v>
      </c>
      <c r="X2274" s="9" t="s">
        <v>3040</v>
      </c>
      <c r="Z2274" s="5"/>
      <c r="AD2274" s="14" t="s">
        <v>1165</v>
      </c>
      <c r="AF2274" t="s">
        <v>1165</v>
      </c>
      <c r="AI2274" t="s">
        <v>1165</v>
      </c>
      <c r="AJ2274" s="15" t="s">
        <v>1148</v>
      </c>
      <c r="AK2274" s="15">
        <v>35.875999999999998</v>
      </c>
      <c r="AL2274" t="s">
        <v>1263</v>
      </c>
      <c r="AM2274">
        <f>44.33-35.876</f>
        <v>8.4540000000000006</v>
      </c>
      <c r="AP2274">
        <v>28</v>
      </c>
      <c r="AR2274" s="15" t="s">
        <v>1155</v>
      </c>
    </row>
    <row r="2275" spans="1:44" x14ac:dyDescent="0.2">
      <c r="A2275" t="s">
        <v>1378</v>
      </c>
      <c r="B2275" s="15" t="s">
        <v>1146</v>
      </c>
      <c r="C2275" s="15" t="s">
        <v>1149</v>
      </c>
      <c r="D2275" s="14" t="s">
        <v>475</v>
      </c>
      <c r="E2275" s="14" t="s">
        <v>3046</v>
      </c>
      <c r="G2275" s="15" t="s">
        <v>1165</v>
      </c>
      <c r="H2275" s="14" t="s">
        <v>1165</v>
      </c>
      <c r="I2275" s="14" t="s">
        <v>3033</v>
      </c>
      <c r="M2275" s="14" t="s">
        <v>3034</v>
      </c>
      <c r="O2275">
        <v>2004</v>
      </c>
      <c r="Q2275" t="s">
        <v>1329</v>
      </c>
      <c r="R2275">
        <v>14</v>
      </c>
      <c r="T2275" t="s">
        <v>3035</v>
      </c>
      <c r="U2275" s="14" t="s">
        <v>1246</v>
      </c>
      <c r="V2275" s="9" t="s">
        <v>3036</v>
      </c>
      <c r="W2275">
        <v>90</v>
      </c>
      <c r="X2275" s="9" t="s">
        <v>3040</v>
      </c>
      <c r="Z2275" s="5"/>
      <c r="AD2275" s="14" t="s">
        <v>1165</v>
      </c>
      <c r="AF2275" t="s">
        <v>1165</v>
      </c>
      <c r="AI2275" t="s">
        <v>1165</v>
      </c>
      <c r="AJ2275" s="15" t="s">
        <v>1148</v>
      </c>
      <c r="AK2275" s="15">
        <v>37.731999999999999</v>
      </c>
      <c r="AL2275" t="s">
        <v>1263</v>
      </c>
      <c r="AM2275">
        <f>45.979-37.732</f>
        <v>8.2469999999999999</v>
      </c>
      <c r="AP2275">
        <v>56</v>
      </c>
      <c r="AR2275" s="15" t="s">
        <v>1155</v>
      </c>
    </row>
    <row r="2276" spans="1:44" x14ac:dyDescent="0.2">
      <c r="A2276" t="s">
        <v>1378</v>
      </c>
      <c r="B2276" s="15" t="s">
        <v>1146</v>
      </c>
      <c r="C2276" s="15" t="s">
        <v>1149</v>
      </c>
      <c r="D2276" s="14" t="s">
        <v>475</v>
      </c>
      <c r="E2276" s="14" t="s">
        <v>3046</v>
      </c>
      <c r="G2276" s="15" t="s">
        <v>1165</v>
      </c>
      <c r="H2276" s="14" t="s">
        <v>1165</v>
      </c>
      <c r="I2276" s="14" t="s">
        <v>3033</v>
      </c>
      <c r="M2276" s="14" t="s">
        <v>3034</v>
      </c>
      <c r="O2276">
        <v>2004</v>
      </c>
      <c r="Q2276" t="s">
        <v>1329</v>
      </c>
      <c r="R2276">
        <v>14</v>
      </c>
      <c r="T2276" t="s">
        <v>3035</v>
      </c>
      <c r="U2276" s="14" t="s">
        <v>1246</v>
      </c>
      <c r="V2276" s="9" t="s">
        <v>3036</v>
      </c>
      <c r="W2276">
        <v>180</v>
      </c>
      <c r="X2276" s="9" t="s">
        <v>3040</v>
      </c>
      <c r="Z2276" s="5"/>
      <c r="AD2276" s="14" t="s">
        <v>1165</v>
      </c>
      <c r="AF2276" t="s">
        <v>1165</v>
      </c>
      <c r="AI2276" t="s">
        <v>1165</v>
      </c>
      <c r="AJ2276" s="15" t="s">
        <v>1148</v>
      </c>
      <c r="AK2276" s="15">
        <v>28.247</v>
      </c>
      <c r="AL2276" t="s">
        <v>1263</v>
      </c>
      <c r="AM2276">
        <f>35.67-28.247</f>
        <v>7.4230000000000018</v>
      </c>
      <c r="AP2276">
        <v>28</v>
      </c>
      <c r="AR2276" s="15" t="s">
        <v>1155</v>
      </c>
    </row>
    <row r="2277" spans="1:44" x14ac:dyDescent="0.2">
      <c r="A2277" t="s">
        <v>1378</v>
      </c>
      <c r="B2277" s="15" t="s">
        <v>1146</v>
      </c>
      <c r="C2277" s="15" t="s">
        <v>1149</v>
      </c>
      <c r="D2277" s="14" t="s">
        <v>475</v>
      </c>
      <c r="E2277" s="14" t="s">
        <v>3046</v>
      </c>
      <c r="G2277" s="15" t="s">
        <v>1165</v>
      </c>
      <c r="H2277" s="14" t="s">
        <v>1165</v>
      </c>
      <c r="I2277" s="14" t="s">
        <v>3033</v>
      </c>
      <c r="M2277" s="14" t="s">
        <v>3034</v>
      </c>
      <c r="O2277">
        <v>2004</v>
      </c>
      <c r="Q2277" t="s">
        <v>1329</v>
      </c>
      <c r="R2277">
        <v>14</v>
      </c>
      <c r="T2277" t="s">
        <v>3035</v>
      </c>
      <c r="U2277" s="14" t="s">
        <v>1246</v>
      </c>
      <c r="V2277" s="9" t="s">
        <v>3036</v>
      </c>
      <c r="W2277">
        <v>180</v>
      </c>
      <c r="X2277" s="9" t="s">
        <v>3040</v>
      </c>
      <c r="Z2277" s="5"/>
      <c r="AD2277" s="14" t="s">
        <v>1165</v>
      </c>
      <c r="AF2277" t="s">
        <v>1165</v>
      </c>
      <c r="AI2277" t="s">
        <v>1165</v>
      </c>
      <c r="AJ2277" s="15" t="s">
        <v>1148</v>
      </c>
      <c r="AK2277" s="15">
        <v>27.835000000000001</v>
      </c>
      <c r="AL2277" t="s">
        <v>1263</v>
      </c>
      <c r="AM2277">
        <f>35.67-27.835</f>
        <v>7.8350000000000009</v>
      </c>
      <c r="AP2277">
        <v>56</v>
      </c>
      <c r="AR2277" s="15" t="s">
        <v>1155</v>
      </c>
    </row>
    <row r="2278" spans="1:44" x14ac:dyDescent="0.2">
      <c r="A2278" t="s">
        <v>1378</v>
      </c>
      <c r="B2278" s="15" t="s">
        <v>1146</v>
      </c>
      <c r="C2278" s="15" t="s">
        <v>1149</v>
      </c>
      <c r="D2278" s="14" t="s">
        <v>475</v>
      </c>
      <c r="E2278" s="14" t="s">
        <v>3047</v>
      </c>
      <c r="G2278" s="15" t="s">
        <v>1165</v>
      </c>
      <c r="H2278" s="14" t="s">
        <v>1165</v>
      </c>
      <c r="I2278" s="14" t="s">
        <v>3033</v>
      </c>
      <c r="M2278" s="14" t="s">
        <v>3034</v>
      </c>
      <c r="O2278">
        <v>2004</v>
      </c>
      <c r="Q2278" t="s">
        <v>1329</v>
      </c>
      <c r="R2278">
        <v>14</v>
      </c>
      <c r="T2278" t="s">
        <v>3035</v>
      </c>
      <c r="U2278" s="14" t="s">
        <v>1246</v>
      </c>
      <c r="V2278" s="9" t="s">
        <v>3036</v>
      </c>
      <c r="W2278">
        <v>0</v>
      </c>
      <c r="X2278" s="9" t="s">
        <v>3037</v>
      </c>
      <c r="Z2278" s="5"/>
      <c r="AD2278" s="14" t="s">
        <v>1165</v>
      </c>
      <c r="AF2278" t="s">
        <v>1165</v>
      </c>
      <c r="AI2278" t="s">
        <v>1165</v>
      </c>
      <c r="AJ2278" s="15" t="s">
        <v>1148</v>
      </c>
      <c r="AK2278" s="15">
        <v>0</v>
      </c>
      <c r="AL2278" t="s">
        <v>1263</v>
      </c>
      <c r="AM2278">
        <v>0</v>
      </c>
      <c r="AP2278">
        <v>28</v>
      </c>
      <c r="AR2278" s="15" t="s">
        <v>1155</v>
      </c>
    </row>
    <row r="2279" spans="1:44" x14ac:dyDescent="0.2">
      <c r="A2279" t="s">
        <v>1378</v>
      </c>
      <c r="B2279" s="15" t="s">
        <v>1146</v>
      </c>
      <c r="C2279" s="15" t="s">
        <v>1149</v>
      </c>
      <c r="D2279" s="14" t="s">
        <v>475</v>
      </c>
      <c r="E2279" s="14" t="s">
        <v>3047</v>
      </c>
      <c r="G2279" s="15" t="s">
        <v>1165</v>
      </c>
      <c r="H2279" s="14" t="s">
        <v>1165</v>
      </c>
      <c r="I2279" s="14" t="s">
        <v>3033</v>
      </c>
      <c r="M2279" s="14" t="s">
        <v>3034</v>
      </c>
      <c r="O2279">
        <v>2004</v>
      </c>
      <c r="Q2279" t="s">
        <v>1329</v>
      </c>
      <c r="R2279">
        <v>14</v>
      </c>
      <c r="T2279" t="s">
        <v>3035</v>
      </c>
      <c r="U2279" s="14" t="s">
        <v>1246</v>
      </c>
      <c r="V2279" s="9" t="s">
        <v>3036</v>
      </c>
      <c r="W2279">
        <v>15</v>
      </c>
      <c r="X2279" s="9" t="s">
        <v>3037</v>
      </c>
      <c r="Z2279" s="5"/>
      <c r="AD2279" s="14" t="s">
        <v>1165</v>
      </c>
      <c r="AF2279" t="s">
        <v>1165</v>
      </c>
      <c r="AI2279" t="s">
        <v>1165</v>
      </c>
      <c r="AJ2279" s="15" t="s">
        <v>1148</v>
      </c>
      <c r="AK2279" s="15">
        <v>35.07</v>
      </c>
      <c r="AL2279" t="s">
        <v>1263</v>
      </c>
      <c r="AM2279">
        <f>41.197-35.07</f>
        <v>6.1270000000000024</v>
      </c>
      <c r="AP2279">
        <v>28</v>
      </c>
      <c r="AR2279" s="15" t="s">
        <v>1155</v>
      </c>
    </row>
    <row r="2280" spans="1:44" x14ac:dyDescent="0.2">
      <c r="A2280" t="s">
        <v>1378</v>
      </c>
      <c r="B2280" s="15" t="s">
        <v>1146</v>
      </c>
      <c r="C2280" s="15" t="s">
        <v>1149</v>
      </c>
      <c r="D2280" s="14" t="s">
        <v>475</v>
      </c>
      <c r="E2280" s="14" t="s">
        <v>3047</v>
      </c>
      <c r="G2280" s="15" t="s">
        <v>1165</v>
      </c>
      <c r="H2280" s="14" t="s">
        <v>1165</v>
      </c>
      <c r="I2280" s="14" t="s">
        <v>3033</v>
      </c>
      <c r="M2280" s="14" t="s">
        <v>3034</v>
      </c>
      <c r="O2280">
        <v>2004</v>
      </c>
      <c r="Q2280" t="s">
        <v>1329</v>
      </c>
      <c r="R2280">
        <v>14</v>
      </c>
      <c r="T2280" t="s">
        <v>3035</v>
      </c>
      <c r="U2280" s="14" t="s">
        <v>1246</v>
      </c>
      <c r="V2280" s="9" t="s">
        <v>3036</v>
      </c>
      <c r="W2280">
        <v>15</v>
      </c>
      <c r="X2280" s="9" t="s">
        <v>3037</v>
      </c>
      <c r="Z2280" s="5"/>
      <c r="AD2280" s="14" t="s">
        <v>1165</v>
      </c>
      <c r="AF2280" t="s">
        <v>1165</v>
      </c>
      <c r="AI2280" t="s">
        <v>1165</v>
      </c>
      <c r="AJ2280" s="15" t="s">
        <v>1148</v>
      </c>
      <c r="AK2280" s="15">
        <v>53.027999999999999</v>
      </c>
      <c r="AL2280" t="s">
        <v>1263</v>
      </c>
      <c r="AM2280">
        <f>59.366-53.028</f>
        <v>6.338000000000001</v>
      </c>
      <c r="AP2280">
        <v>56</v>
      </c>
      <c r="AR2280" s="15" t="s">
        <v>1155</v>
      </c>
    </row>
    <row r="2281" spans="1:44" x14ac:dyDescent="0.2">
      <c r="A2281" t="s">
        <v>1378</v>
      </c>
      <c r="B2281" s="15" t="s">
        <v>1146</v>
      </c>
      <c r="C2281" s="15" t="s">
        <v>1149</v>
      </c>
      <c r="D2281" s="14" t="s">
        <v>475</v>
      </c>
      <c r="E2281" s="14" t="s">
        <v>3047</v>
      </c>
      <c r="G2281" s="15" t="s">
        <v>1165</v>
      </c>
      <c r="H2281" s="14" t="s">
        <v>1165</v>
      </c>
      <c r="I2281" s="14" t="s">
        <v>3033</v>
      </c>
      <c r="M2281" s="14" t="s">
        <v>3034</v>
      </c>
      <c r="O2281">
        <v>2004</v>
      </c>
      <c r="Q2281" t="s">
        <v>1329</v>
      </c>
      <c r="R2281">
        <v>14</v>
      </c>
      <c r="T2281" t="s">
        <v>3035</v>
      </c>
      <c r="U2281" s="14" t="s">
        <v>1246</v>
      </c>
      <c r="V2281" s="9" t="s">
        <v>3036</v>
      </c>
      <c r="W2281">
        <v>30</v>
      </c>
      <c r="X2281" s="9" t="s">
        <v>3037</v>
      </c>
      <c r="Z2281" s="5"/>
      <c r="AD2281" s="14" t="s">
        <v>1165</v>
      </c>
      <c r="AF2281" t="s">
        <v>1165</v>
      </c>
      <c r="AI2281" t="s">
        <v>1165</v>
      </c>
      <c r="AJ2281" s="15" t="s">
        <v>1148</v>
      </c>
      <c r="AK2281" s="15">
        <v>34.014000000000003</v>
      </c>
      <c r="AL2281" t="s">
        <v>1263</v>
      </c>
      <c r="AM2281">
        <f>39.507-34.014</f>
        <v>5.492999999999995</v>
      </c>
      <c r="AP2281">
        <v>28</v>
      </c>
      <c r="AR2281" s="15" t="s">
        <v>1155</v>
      </c>
    </row>
    <row r="2282" spans="1:44" x14ac:dyDescent="0.2">
      <c r="A2282" t="s">
        <v>1378</v>
      </c>
      <c r="B2282" s="15" t="s">
        <v>1146</v>
      </c>
      <c r="C2282" s="15" t="s">
        <v>1149</v>
      </c>
      <c r="D2282" s="14" t="s">
        <v>475</v>
      </c>
      <c r="E2282" s="14" t="s">
        <v>3047</v>
      </c>
      <c r="G2282" s="15" t="s">
        <v>1165</v>
      </c>
      <c r="H2282" s="14" t="s">
        <v>1165</v>
      </c>
      <c r="I2282" s="14" t="s">
        <v>3033</v>
      </c>
      <c r="M2282" s="14" t="s">
        <v>3034</v>
      </c>
      <c r="O2282">
        <v>2004</v>
      </c>
      <c r="Q2282" t="s">
        <v>1329</v>
      </c>
      <c r="R2282">
        <v>14</v>
      </c>
      <c r="T2282" t="s">
        <v>3035</v>
      </c>
      <c r="U2282" s="14" t="s">
        <v>1246</v>
      </c>
      <c r="V2282" s="9" t="s">
        <v>3036</v>
      </c>
      <c r="W2282">
        <v>30</v>
      </c>
      <c r="X2282" s="9" t="s">
        <v>3037</v>
      </c>
      <c r="Z2282" s="5"/>
      <c r="AD2282" s="14" t="s">
        <v>1165</v>
      </c>
      <c r="AF2282" t="s">
        <v>1165</v>
      </c>
      <c r="AI2282" t="s">
        <v>1165</v>
      </c>
      <c r="AJ2282" s="15" t="s">
        <v>1148</v>
      </c>
      <c r="AK2282" s="15">
        <v>57.253999999999998</v>
      </c>
      <c r="AL2282" t="s">
        <v>1263</v>
      </c>
      <c r="AM2282">
        <f>67.394-57.254</f>
        <v>10.140000000000008</v>
      </c>
      <c r="AP2282">
        <v>56</v>
      </c>
      <c r="AR2282" s="15" t="s">
        <v>1155</v>
      </c>
    </row>
    <row r="2283" spans="1:44" x14ac:dyDescent="0.2">
      <c r="A2283" t="s">
        <v>1378</v>
      </c>
      <c r="B2283" s="15" t="s">
        <v>1146</v>
      </c>
      <c r="C2283" s="15" t="s">
        <v>1149</v>
      </c>
      <c r="D2283" s="14" t="s">
        <v>475</v>
      </c>
      <c r="E2283" s="14" t="s">
        <v>3047</v>
      </c>
      <c r="G2283" s="15" t="s">
        <v>1165</v>
      </c>
      <c r="H2283" s="14" t="s">
        <v>1165</v>
      </c>
      <c r="I2283" s="14" t="s">
        <v>3033</v>
      </c>
      <c r="M2283" s="14" t="s">
        <v>3034</v>
      </c>
      <c r="O2283">
        <v>2004</v>
      </c>
      <c r="Q2283" t="s">
        <v>1329</v>
      </c>
      <c r="R2283">
        <v>14</v>
      </c>
      <c r="T2283" t="s">
        <v>3035</v>
      </c>
      <c r="U2283" s="14" t="s">
        <v>1246</v>
      </c>
      <c r="V2283" s="9" t="s">
        <v>3036</v>
      </c>
      <c r="W2283">
        <v>60</v>
      </c>
      <c r="X2283" s="9" t="s">
        <v>3037</v>
      </c>
      <c r="Z2283" s="5"/>
      <c r="AD2283" s="14" t="s">
        <v>1165</v>
      </c>
      <c r="AF2283" t="s">
        <v>1165</v>
      </c>
      <c r="AI2283" t="s">
        <v>1165</v>
      </c>
      <c r="AJ2283" s="15" t="s">
        <v>1148</v>
      </c>
      <c r="AK2283" s="15">
        <v>78.591999999999999</v>
      </c>
      <c r="AL2283" t="s">
        <v>1263</v>
      </c>
      <c r="AM2283">
        <f>88.944-78.592</f>
        <v>10.352000000000004</v>
      </c>
      <c r="AP2283">
        <v>28</v>
      </c>
      <c r="AR2283" s="15" t="s">
        <v>1155</v>
      </c>
    </row>
    <row r="2284" spans="1:44" x14ac:dyDescent="0.2">
      <c r="A2284" t="s">
        <v>1378</v>
      </c>
      <c r="B2284" s="15" t="s">
        <v>1146</v>
      </c>
      <c r="C2284" s="15" t="s">
        <v>1149</v>
      </c>
      <c r="D2284" s="14" t="s">
        <v>475</v>
      </c>
      <c r="E2284" s="14" t="s">
        <v>3047</v>
      </c>
      <c r="G2284" s="15" t="s">
        <v>1165</v>
      </c>
      <c r="H2284" s="14" t="s">
        <v>1165</v>
      </c>
      <c r="I2284" s="14" t="s">
        <v>3033</v>
      </c>
      <c r="M2284" s="14" t="s">
        <v>3034</v>
      </c>
      <c r="O2284">
        <v>2004</v>
      </c>
      <c r="Q2284" t="s">
        <v>1329</v>
      </c>
      <c r="R2284">
        <v>14</v>
      </c>
      <c r="T2284" t="s">
        <v>3035</v>
      </c>
      <c r="U2284" s="14" t="s">
        <v>1246</v>
      </c>
      <c r="V2284" s="9" t="s">
        <v>3036</v>
      </c>
      <c r="W2284">
        <v>60</v>
      </c>
      <c r="X2284" s="9" t="s">
        <v>3037</v>
      </c>
      <c r="Z2284" s="5"/>
      <c r="AD2284" s="14" t="s">
        <v>1165</v>
      </c>
      <c r="AF2284" t="s">
        <v>1165</v>
      </c>
      <c r="AI2284" t="s">
        <v>1165</v>
      </c>
      <c r="AJ2284" s="15" t="s">
        <v>1148</v>
      </c>
      <c r="AK2284" s="15">
        <v>98.662000000000006</v>
      </c>
      <c r="AL2284" t="s">
        <v>1263</v>
      </c>
      <c r="AM2284">
        <f>103.31-98.662</f>
        <v>4.6479999999999961</v>
      </c>
      <c r="AP2284">
        <v>56</v>
      </c>
      <c r="AR2284" s="15" t="s">
        <v>1155</v>
      </c>
    </row>
    <row r="2285" spans="1:44" x14ac:dyDescent="0.2">
      <c r="A2285" t="s">
        <v>1378</v>
      </c>
      <c r="B2285" s="15" t="s">
        <v>1146</v>
      </c>
      <c r="C2285" s="15" t="s">
        <v>1149</v>
      </c>
      <c r="D2285" s="14" t="s">
        <v>475</v>
      </c>
      <c r="E2285" s="14" t="s">
        <v>3047</v>
      </c>
      <c r="G2285" s="15" t="s">
        <v>1165</v>
      </c>
      <c r="H2285" s="14" t="s">
        <v>1165</v>
      </c>
      <c r="I2285" s="14" t="s">
        <v>3033</v>
      </c>
      <c r="M2285" s="14" t="s">
        <v>3034</v>
      </c>
      <c r="O2285">
        <v>2004</v>
      </c>
      <c r="Q2285" t="s">
        <v>1329</v>
      </c>
      <c r="R2285">
        <v>14</v>
      </c>
      <c r="T2285" t="s">
        <v>3035</v>
      </c>
      <c r="U2285" s="14" t="s">
        <v>1246</v>
      </c>
      <c r="V2285" s="9" t="s">
        <v>3036</v>
      </c>
      <c r="W2285">
        <v>90</v>
      </c>
      <c r="X2285" s="9" t="s">
        <v>3037</v>
      </c>
      <c r="Z2285" s="5"/>
      <c r="AD2285" s="14" t="s">
        <v>1165</v>
      </c>
      <c r="AF2285" t="s">
        <v>1165</v>
      </c>
      <c r="AI2285" t="s">
        <v>1165</v>
      </c>
      <c r="AJ2285" s="15" t="s">
        <v>1148</v>
      </c>
      <c r="AK2285" s="15">
        <v>87.676000000000002</v>
      </c>
      <c r="AL2285" t="s">
        <v>1263</v>
      </c>
      <c r="AM2285">
        <f>90.634-87.676</f>
        <v>2.9579999999999984</v>
      </c>
      <c r="AP2285">
        <v>28</v>
      </c>
      <c r="AR2285" s="15" t="s">
        <v>1155</v>
      </c>
    </row>
    <row r="2286" spans="1:44" x14ac:dyDescent="0.2">
      <c r="A2286" t="s">
        <v>1378</v>
      </c>
      <c r="B2286" s="15" t="s">
        <v>1146</v>
      </c>
      <c r="C2286" s="15" t="s">
        <v>1149</v>
      </c>
      <c r="D2286" s="14" t="s">
        <v>475</v>
      </c>
      <c r="E2286" s="14" t="s">
        <v>3047</v>
      </c>
      <c r="G2286" s="15" t="s">
        <v>1165</v>
      </c>
      <c r="H2286" s="14" t="s">
        <v>1165</v>
      </c>
      <c r="I2286" s="14" t="s">
        <v>3033</v>
      </c>
      <c r="M2286" s="14" t="s">
        <v>3034</v>
      </c>
      <c r="O2286">
        <v>2004</v>
      </c>
      <c r="Q2286" t="s">
        <v>1329</v>
      </c>
      <c r="R2286">
        <v>14</v>
      </c>
      <c r="T2286" t="s">
        <v>3035</v>
      </c>
      <c r="U2286" s="14" t="s">
        <v>1246</v>
      </c>
      <c r="V2286" s="9" t="s">
        <v>3036</v>
      </c>
      <c r="W2286">
        <v>90</v>
      </c>
      <c r="X2286" s="9" t="s">
        <v>3037</v>
      </c>
      <c r="Z2286" s="5"/>
      <c r="AD2286" s="14" t="s">
        <v>1165</v>
      </c>
      <c r="AF2286" t="s">
        <v>1165</v>
      </c>
      <c r="AI2286" t="s">
        <v>1165</v>
      </c>
      <c r="AJ2286" s="15" t="s">
        <v>1148</v>
      </c>
      <c r="AK2286" s="15">
        <v>90.210999999999999</v>
      </c>
      <c r="AL2286" t="s">
        <v>1263</v>
      </c>
      <c r="AM2286">
        <f>92.324-90.211</f>
        <v>2.1129999999999995</v>
      </c>
      <c r="AP2286">
        <v>56</v>
      </c>
      <c r="AR2286" s="15" t="s">
        <v>1155</v>
      </c>
    </row>
    <row r="2287" spans="1:44" x14ac:dyDescent="0.2">
      <c r="A2287" t="s">
        <v>1378</v>
      </c>
      <c r="B2287" s="15" t="s">
        <v>1146</v>
      </c>
      <c r="C2287" s="15" t="s">
        <v>1149</v>
      </c>
      <c r="D2287" s="14" t="s">
        <v>475</v>
      </c>
      <c r="E2287" s="14" t="s">
        <v>3047</v>
      </c>
      <c r="G2287" s="15" t="s">
        <v>1165</v>
      </c>
      <c r="H2287" s="14" t="s">
        <v>1165</v>
      </c>
      <c r="I2287" s="14" t="s">
        <v>3033</v>
      </c>
      <c r="M2287" s="14" t="s">
        <v>3034</v>
      </c>
      <c r="O2287">
        <v>2004</v>
      </c>
      <c r="Q2287" t="s">
        <v>1329</v>
      </c>
      <c r="R2287">
        <v>14</v>
      </c>
      <c r="T2287" t="s">
        <v>3035</v>
      </c>
      <c r="U2287" s="14" t="s">
        <v>1246</v>
      </c>
      <c r="V2287" s="9" t="s">
        <v>3036</v>
      </c>
      <c r="W2287">
        <v>120</v>
      </c>
      <c r="X2287" s="9" t="s">
        <v>3037</v>
      </c>
      <c r="Z2287" s="5"/>
      <c r="AD2287" s="14" t="s">
        <v>1165</v>
      </c>
      <c r="AF2287" t="s">
        <v>1165</v>
      </c>
      <c r="AI2287" t="s">
        <v>1165</v>
      </c>
      <c r="AJ2287" s="15" t="s">
        <v>1148</v>
      </c>
      <c r="AK2287" s="15">
        <v>78.802999999999997</v>
      </c>
      <c r="AL2287" t="s">
        <v>1263</v>
      </c>
      <c r="AM2287">
        <f>82.606-78.803</f>
        <v>3.8029999999999973</v>
      </c>
      <c r="AP2287">
        <v>28</v>
      </c>
      <c r="AR2287" s="15" t="s">
        <v>1155</v>
      </c>
    </row>
    <row r="2288" spans="1:44" x14ac:dyDescent="0.2">
      <c r="A2288" t="s">
        <v>1378</v>
      </c>
      <c r="B2288" s="15" t="s">
        <v>1146</v>
      </c>
      <c r="C2288" s="15" t="s">
        <v>1149</v>
      </c>
      <c r="D2288" s="14" t="s">
        <v>475</v>
      </c>
      <c r="E2288" s="14" t="s">
        <v>3047</v>
      </c>
      <c r="G2288" s="15" t="s">
        <v>1165</v>
      </c>
      <c r="H2288" s="14" t="s">
        <v>1165</v>
      </c>
      <c r="I2288" s="14" t="s">
        <v>3033</v>
      </c>
      <c r="M2288" s="14" t="s">
        <v>3034</v>
      </c>
      <c r="O2288">
        <v>2004</v>
      </c>
      <c r="Q2288" t="s">
        <v>1329</v>
      </c>
      <c r="R2288">
        <v>14</v>
      </c>
      <c r="T2288" t="s">
        <v>3035</v>
      </c>
      <c r="U2288" s="14" t="s">
        <v>1246</v>
      </c>
      <c r="V2288" s="9" t="s">
        <v>3036</v>
      </c>
      <c r="W2288">
        <v>120</v>
      </c>
      <c r="X2288" s="9" t="s">
        <v>3037</v>
      </c>
      <c r="Z2288" s="5"/>
      <c r="AD2288" s="14" t="s">
        <v>1165</v>
      </c>
      <c r="AF2288" t="s">
        <v>1165</v>
      </c>
      <c r="AI2288" t="s">
        <v>1165</v>
      </c>
      <c r="AJ2288" s="15" t="s">
        <v>1148</v>
      </c>
      <c r="AK2288" s="15">
        <v>87.676000000000002</v>
      </c>
      <c r="AL2288" t="s">
        <v>1263</v>
      </c>
      <c r="AM2288">
        <f>91.056-87.676</f>
        <v>3.3799999999999955</v>
      </c>
      <c r="AP2288">
        <v>56</v>
      </c>
      <c r="AR2288" s="15" t="s">
        <v>1155</v>
      </c>
    </row>
    <row r="2289" spans="1:44" x14ac:dyDescent="0.2">
      <c r="A2289" t="s">
        <v>1378</v>
      </c>
      <c r="B2289" s="15" t="s">
        <v>1146</v>
      </c>
      <c r="C2289" s="15" t="s">
        <v>1149</v>
      </c>
      <c r="D2289" s="14" t="s">
        <v>475</v>
      </c>
      <c r="E2289" s="14" t="s">
        <v>3047</v>
      </c>
      <c r="G2289" s="15" t="s">
        <v>1165</v>
      </c>
      <c r="H2289" s="14" t="s">
        <v>1165</v>
      </c>
      <c r="I2289" s="14" t="s">
        <v>3033</v>
      </c>
      <c r="M2289" s="14" t="s">
        <v>3034</v>
      </c>
      <c r="O2289">
        <v>2004</v>
      </c>
      <c r="Q2289" t="s">
        <v>1329</v>
      </c>
      <c r="R2289">
        <v>14</v>
      </c>
      <c r="T2289" t="s">
        <v>3035</v>
      </c>
      <c r="U2289" s="14" t="s">
        <v>1246</v>
      </c>
      <c r="V2289" s="9" t="s">
        <v>3036</v>
      </c>
      <c r="W2289">
        <v>150</v>
      </c>
      <c r="X2289" s="9" t="s">
        <v>3037</v>
      </c>
      <c r="Z2289" s="5"/>
      <c r="AD2289" s="14" t="s">
        <v>1165</v>
      </c>
      <c r="AF2289" t="s">
        <v>1165</v>
      </c>
      <c r="AI2289" t="s">
        <v>1165</v>
      </c>
      <c r="AJ2289" s="15" t="s">
        <v>1148</v>
      </c>
      <c r="AK2289" s="15">
        <v>84.084999999999994</v>
      </c>
      <c r="AL2289" t="s">
        <v>1263</v>
      </c>
      <c r="AM2289">
        <f>87.254-84.085</f>
        <v>3.1690000000000111</v>
      </c>
      <c r="AP2289">
        <v>28</v>
      </c>
      <c r="AR2289" s="15" t="s">
        <v>1155</v>
      </c>
    </row>
    <row r="2290" spans="1:44" x14ac:dyDescent="0.2">
      <c r="A2290" t="s">
        <v>1378</v>
      </c>
      <c r="B2290" s="15" t="s">
        <v>1146</v>
      </c>
      <c r="C2290" s="15" t="s">
        <v>1149</v>
      </c>
      <c r="D2290" s="14" t="s">
        <v>475</v>
      </c>
      <c r="E2290" s="14" t="s">
        <v>3047</v>
      </c>
      <c r="G2290" s="15" t="s">
        <v>1165</v>
      </c>
      <c r="H2290" s="14" t="s">
        <v>1165</v>
      </c>
      <c r="I2290" s="14" t="s">
        <v>3033</v>
      </c>
      <c r="M2290" s="14" t="s">
        <v>3034</v>
      </c>
      <c r="O2290">
        <v>2004</v>
      </c>
      <c r="Q2290" t="s">
        <v>1329</v>
      </c>
      <c r="R2290">
        <v>14</v>
      </c>
      <c r="T2290" t="s">
        <v>3035</v>
      </c>
      <c r="U2290" s="14" t="s">
        <v>1246</v>
      </c>
      <c r="V2290" s="9" t="s">
        <v>3036</v>
      </c>
      <c r="W2290">
        <v>150</v>
      </c>
      <c r="X2290" s="9" t="s">
        <v>3037</v>
      </c>
      <c r="Z2290" s="5"/>
      <c r="AD2290" s="14" t="s">
        <v>1165</v>
      </c>
      <c r="AF2290" t="s">
        <v>1165</v>
      </c>
      <c r="AI2290" t="s">
        <v>1165</v>
      </c>
      <c r="AJ2290" s="15" t="s">
        <v>1148</v>
      </c>
      <c r="AK2290" s="15">
        <v>86.831000000000003</v>
      </c>
      <c r="AL2290" t="s">
        <v>1263</v>
      </c>
      <c r="AM2290">
        <f>89.789-86.831</f>
        <v>2.9579999999999984</v>
      </c>
      <c r="AP2290">
        <v>56</v>
      </c>
      <c r="AR2290" s="15" t="s">
        <v>1155</v>
      </c>
    </row>
    <row r="2291" spans="1:44" x14ac:dyDescent="0.2">
      <c r="A2291" t="s">
        <v>1378</v>
      </c>
      <c r="B2291" s="15" t="s">
        <v>1146</v>
      </c>
      <c r="C2291" s="15" t="s">
        <v>1149</v>
      </c>
      <c r="D2291" s="14" t="s">
        <v>475</v>
      </c>
      <c r="E2291" s="14" t="s">
        <v>3047</v>
      </c>
      <c r="G2291" s="15" t="s">
        <v>1165</v>
      </c>
      <c r="H2291" s="14" t="s">
        <v>1165</v>
      </c>
      <c r="I2291" s="14" t="s">
        <v>3033</v>
      </c>
      <c r="M2291" s="14" t="s">
        <v>3034</v>
      </c>
      <c r="O2291">
        <v>2004</v>
      </c>
      <c r="Q2291" t="s">
        <v>1329</v>
      </c>
      <c r="R2291">
        <v>14</v>
      </c>
      <c r="T2291" t="s">
        <v>3035</v>
      </c>
      <c r="U2291" s="14" t="s">
        <v>1246</v>
      </c>
      <c r="V2291" s="9" t="s">
        <v>3036</v>
      </c>
      <c r="W2291">
        <v>180</v>
      </c>
      <c r="X2291" s="9" t="s">
        <v>3037</v>
      </c>
      <c r="Z2291" s="5"/>
      <c r="AD2291" s="14" t="s">
        <v>1165</v>
      </c>
      <c r="AF2291" t="s">
        <v>1165</v>
      </c>
      <c r="AI2291" t="s">
        <v>1165</v>
      </c>
      <c r="AJ2291" s="15" t="s">
        <v>1148</v>
      </c>
      <c r="AK2291" s="15">
        <v>88.521000000000001</v>
      </c>
      <c r="AL2291" t="s">
        <v>1263</v>
      </c>
      <c r="AM2291">
        <f>93.169-88.521</f>
        <v>4.6479999999999961</v>
      </c>
      <c r="AP2291">
        <v>28</v>
      </c>
      <c r="AR2291" s="15" t="s">
        <v>1155</v>
      </c>
    </row>
    <row r="2292" spans="1:44" x14ac:dyDescent="0.2">
      <c r="A2292" t="s">
        <v>1378</v>
      </c>
      <c r="B2292" s="15" t="s">
        <v>1146</v>
      </c>
      <c r="C2292" s="15" t="s">
        <v>1149</v>
      </c>
      <c r="D2292" s="14" t="s">
        <v>475</v>
      </c>
      <c r="E2292" s="14" t="s">
        <v>3047</v>
      </c>
      <c r="G2292" s="15" t="s">
        <v>1165</v>
      </c>
      <c r="H2292" s="14" t="s">
        <v>1165</v>
      </c>
      <c r="I2292" s="14" t="s">
        <v>3033</v>
      </c>
      <c r="M2292" s="14" t="s">
        <v>3034</v>
      </c>
      <c r="O2292">
        <v>2004</v>
      </c>
      <c r="Q2292" t="s">
        <v>1329</v>
      </c>
      <c r="R2292">
        <v>14</v>
      </c>
      <c r="T2292" t="s">
        <v>3035</v>
      </c>
      <c r="U2292" s="14" t="s">
        <v>1246</v>
      </c>
      <c r="V2292" s="9" t="s">
        <v>3036</v>
      </c>
      <c r="W2292">
        <v>180</v>
      </c>
      <c r="X2292" s="9" t="s">
        <v>3037</v>
      </c>
      <c r="Z2292" s="5"/>
      <c r="AD2292" s="14" t="s">
        <v>1165</v>
      </c>
      <c r="AF2292" t="s">
        <v>1165</v>
      </c>
      <c r="AI2292" t="s">
        <v>1165</v>
      </c>
      <c r="AJ2292" s="15" t="s">
        <v>1148</v>
      </c>
      <c r="AK2292" s="15">
        <v>93.591999999999999</v>
      </c>
      <c r="AL2292" t="s">
        <v>1263</v>
      </c>
      <c r="AM2292">
        <f>96.549-93.592</f>
        <v>2.9570000000000078</v>
      </c>
      <c r="AP2292">
        <v>56</v>
      </c>
      <c r="AR2292" s="15" t="s">
        <v>1155</v>
      </c>
    </row>
    <row r="2293" spans="1:44" x14ac:dyDescent="0.2">
      <c r="A2293" t="s">
        <v>1378</v>
      </c>
      <c r="B2293" s="15" t="s">
        <v>1146</v>
      </c>
      <c r="C2293" s="15" t="s">
        <v>1149</v>
      </c>
      <c r="D2293" s="14" t="s">
        <v>475</v>
      </c>
      <c r="E2293" s="14" t="s">
        <v>3047</v>
      </c>
      <c r="G2293" s="15" t="s">
        <v>1165</v>
      </c>
      <c r="H2293" s="14" t="s">
        <v>1165</v>
      </c>
      <c r="I2293" s="14" t="s">
        <v>3033</v>
      </c>
      <c r="M2293" s="14" t="s">
        <v>3034</v>
      </c>
      <c r="O2293">
        <v>2004</v>
      </c>
      <c r="Q2293" t="s">
        <v>1329</v>
      </c>
      <c r="R2293">
        <v>14</v>
      </c>
      <c r="T2293" t="s">
        <v>3035</v>
      </c>
      <c r="U2293" s="14" t="s">
        <v>1246</v>
      </c>
      <c r="V2293" s="9" t="s">
        <v>3036</v>
      </c>
      <c r="W2293">
        <v>0</v>
      </c>
      <c r="X2293" s="9" t="s">
        <v>3038</v>
      </c>
      <c r="Z2293" s="5"/>
      <c r="AD2293" s="14" t="s">
        <v>1165</v>
      </c>
      <c r="AF2293" t="s">
        <v>1165</v>
      </c>
      <c r="AI2293" t="s">
        <v>1165</v>
      </c>
      <c r="AJ2293" s="15" t="s">
        <v>1148</v>
      </c>
      <c r="AK2293" s="15">
        <v>50.069000000000003</v>
      </c>
      <c r="AL2293" t="s">
        <v>1263</v>
      </c>
      <c r="AM2293">
        <f>59.793-50.069</f>
        <v>9.7239999999999966</v>
      </c>
      <c r="AP2293">
        <v>28</v>
      </c>
      <c r="AR2293" s="15" t="s">
        <v>1155</v>
      </c>
    </row>
    <row r="2294" spans="1:44" x14ac:dyDescent="0.2">
      <c r="A2294" t="s">
        <v>1378</v>
      </c>
      <c r="B2294" s="15" t="s">
        <v>1146</v>
      </c>
      <c r="C2294" s="15" t="s">
        <v>1149</v>
      </c>
      <c r="D2294" s="14" t="s">
        <v>475</v>
      </c>
      <c r="E2294" s="14" t="s">
        <v>3047</v>
      </c>
      <c r="G2294" s="15" t="s">
        <v>1165</v>
      </c>
      <c r="H2294" s="14" t="s">
        <v>1165</v>
      </c>
      <c r="I2294" s="14" t="s">
        <v>3033</v>
      </c>
      <c r="M2294" s="14" t="s">
        <v>3034</v>
      </c>
      <c r="O2294">
        <v>2004</v>
      </c>
      <c r="Q2294" t="s">
        <v>1329</v>
      </c>
      <c r="R2294">
        <v>14</v>
      </c>
      <c r="T2294" t="s">
        <v>3035</v>
      </c>
      <c r="U2294" s="14" t="s">
        <v>1246</v>
      </c>
      <c r="V2294" s="9" t="s">
        <v>3036</v>
      </c>
      <c r="W2294">
        <v>0</v>
      </c>
      <c r="X2294" s="9" t="s">
        <v>3038</v>
      </c>
      <c r="Z2294" s="5"/>
      <c r="AD2294" s="14" t="s">
        <v>1165</v>
      </c>
      <c r="AF2294" t="s">
        <v>1165</v>
      </c>
      <c r="AI2294" t="s">
        <v>1165</v>
      </c>
      <c r="AJ2294" s="15" t="s">
        <v>1148</v>
      </c>
      <c r="AK2294" s="15">
        <v>54</v>
      </c>
      <c r="AL2294" t="s">
        <v>1263</v>
      </c>
      <c r="AM2294">
        <f>62.276-54</f>
        <v>8.2760000000000034</v>
      </c>
      <c r="AP2294">
        <v>56</v>
      </c>
      <c r="AR2294" s="15" t="s">
        <v>1155</v>
      </c>
    </row>
    <row r="2295" spans="1:44" x14ac:dyDescent="0.2">
      <c r="A2295" t="s">
        <v>1378</v>
      </c>
      <c r="B2295" s="15" t="s">
        <v>1146</v>
      </c>
      <c r="C2295" s="15" t="s">
        <v>1149</v>
      </c>
      <c r="D2295" s="14" t="s">
        <v>475</v>
      </c>
      <c r="E2295" s="14" t="s">
        <v>3047</v>
      </c>
      <c r="G2295" s="15" t="s">
        <v>1165</v>
      </c>
      <c r="H2295" s="14" t="s">
        <v>1165</v>
      </c>
      <c r="I2295" s="14" t="s">
        <v>3033</v>
      </c>
      <c r="M2295" s="14" t="s">
        <v>3034</v>
      </c>
      <c r="O2295">
        <v>2004</v>
      </c>
      <c r="Q2295" t="s">
        <v>1329</v>
      </c>
      <c r="R2295">
        <v>14</v>
      </c>
      <c r="T2295" t="s">
        <v>3035</v>
      </c>
      <c r="U2295" s="14" t="s">
        <v>1246</v>
      </c>
      <c r="V2295" s="9" t="s">
        <v>3036</v>
      </c>
      <c r="W2295">
        <v>15</v>
      </c>
      <c r="X2295" s="9" t="s">
        <v>3038</v>
      </c>
      <c r="Z2295" s="5"/>
      <c r="AD2295" s="14" t="s">
        <v>1165</v>
      </c>
      <c r="AF2295" t="s">
        <v>1165</v>
      </c>
      <c r="AI2295" t="s">
        <v>1165</v>
      </c>
      <c r="AJ2295" s="15" t="s">
        <v>1148</v>
      </c>
      <c r="AK2295" s="15">
        <v>87.930999999999997</v>
      </c>
      <c r="AL2295" t="s">
        <v>1263</v>
      </c>
      <c r="AM2295">
        <f>90.414-87.931</f>
        <v>2.4830000000000041</v>
      </c>
      <c r="AP2295">
        <v>28</v>
      </c>
      <c r="AR2295" s="15" t="s">
        <v>1155</v>
      </c>
    </row>
    <row r="2296" spans="1:44" x14ac:dyDescent="0.2">
      <c r="A2296" t="s">
        <v>1378</v>
      </c>
      <c r="B2296" s="15" t="s">
        <v>1146</v>
      </c>
      <c r="C2296" s="15" t="s">
        <v>1149</v>
      </c>
      <c r="D2296" s="14" t="s">
        <v>475</v>
      </c>
      <c r="E2296" s="14" t="s">
        <v>3047</v>
      </c>
      <c r="G2296" s="15" t="s">
        <v>1165</v>
      </c>
      <c r="H2296" s="14" t="s">
        <v>1165</v>
      </c>
      <c r="I2296" s="14" t="s">
        <v>3033</v>
      </c>
      <c r="M2296" s="14" t="s">
        <v>3034</v>
      </c>
      <c r="O2296">
        <v>2004</v>
      </c>
      <c r="Q2296" t="s">
        <v>1329</v>
      </c>
      <c r="R2296">
        <v>14</v>
      </c>
      <c r="T2296" t="s">
        <v>3035</v>
      </c>
      <c r="U2296" s="14" t="s">
        <v>1246</v>
      </c>
      <c r="V2296" s="9" t="s">
        <v>3036</v>
      </c>
      <c r="W2296">
        <v>15</v>
      </c>
      <c r="X2296" s="9" t="s">
        <v>3038</v>
      </c>
      <c r="Z2296" s="5"/>
      <c r="AD2296" s="14" t="s">
        <v>1165</v>
      </c>
      <c r="AF2296" t="s">
        <v>1165</v>
      </c>
      <c r="AI2296" t="s">
        <v>1165</v>
      </c>
      <c r="AJ2296" s="15" t="s">
        <v>1148</v>
      </c>
      <c r="AK2296" s="15">
        <v>92.483000000000004</v>
      </c>
      <c r="AL2296" t="s">
        <v>1263</v>
      </c>
      <c r="AM2296">
        <f>96.621-92.483</f>
        <v>4.137999999999991</v>
      </c>
      <c r="AP2296">
        <v>56</v>
      </c>
      <c r="AR2296" s="15" t="s">
        <v>1155</v>
      </c>
    </row>
    <row r="2297" spans="1:44" x14ac:dyDescent="0.2">
      <c r="A2297" t="s">
        <v>1378</v>
      </c>
      <c r="B2297" s="15" t="s">
        <v>1146</v>
      </c>
      <c r="C2297" s="15" t="s">
        <v>1149</v>
      </c>
      <c r="D2297" s="14" t="s">
        <v>475</v>
      </c>
      <c r="E2297" s="14" t="s">
        <v>3047</v>
      </c>
      <c r="G2297" s="15" t="s">
        <v>1165</v>
      </c>
      <c r="H2297" s="14" t="s">
        <v>1165</v>
      </c>
      <c r="I2297" s="14" t="s">
        <v>3033</v>
      </c>
      <c r="M2297" s="14" t="s">
        <v>3034</v>
      </c>
      <c r="O2297">
        <v>2004</v>
      </c>
      <c r="Q2297" t="s">
        <v>1329</v>
      </c>
      <c r="R2297">
        <v>14</v>
      </c>
      <c r="T2297" t="s">
        <v>3035</v>
      </c>
      <c r="U2297" s="14" t="s">
        <v>1246</v>
      </c>
      <c r="V2297" s="9" t="s">
        <v>3036</v>
      </c>
      <c r="W2297">
        <v>30</v>
      </c>
      <c r="X2297" s="9" t="s">
        <v>3038</v>
      </c>
      <c r="Z2297" s="5"/>
      <c r="AD2297" s="14" t="s">
        <v>1165</v>
      </c>
      <c r="AF2297" t="s">
        <v>1165</v>
      </c>
      <c r="AI2297" t="s">
        <v>1165</v>
      </c>
      <c r="AJ2297" s="15" t="s">
        <v>1148</v>
      </c>
      <c r="AK2297" s="15">
        <v>86.275999999999996</v>
      </c>
      <c r="AL2297" t="s">
        <v>1263</v>
      </c>
      <c r="AM2297">
        <f>92.069-86.276</f>
        <v>5.7930000000000064</v>
      </c>
      <c r="AP2297">
        <v>28</v>
      </c>
      <c r="AR2297" s="15" t="s">
        <v>1155</v>
      </c>
    </row>
    <row r="2298" spans="1:44" x14ac:dyDescent="0.2">
      <c r="A2298" t="s">
        <v>1378</v>
      </c>
      <c r="B2298" s="15" t="s">
        <v>1146</v>
      </c>
      <c r="C2298" s="15" t="s">
        <v>1149</v>
      </c>
      <c r="D2298" s="14" t="s">
        <v>475</v>
      </c>
      <c r="E2298" s="14" t="s">
        <v>3047</v>
      </c>
      <c r="G2298" s="15" t="s">
        <v>1165</v>
      </c>
      <c r="H2298" s="14" t="s">
        <v>1165</v>
      </c>
      <c r="I2298" s="14" t="s">
        <v>3033</v>
      </c>
      <c r="M2298" s="14" t="s">
        <v>3034</v>
      </c>
      <c r="O2298">
        <v>2004</v>
      </c>
      <c r="Q2298" t="s">
        <v>1329</v>
      </c>
      <c r="R2298">
        <v>14</v>
      </c>
      <c r="T2298" t="s">
        <v>3035</v>
      </c>
      <c r="U2298" s="14" t="s">
        <v>1246</v>
      </c>
      <c r="V2298" s="9" t="s">
        <v>3036</v>
      </c>
      <c r="W2298">
        <v>30</v>
      </c>
      <c r="X2298" s="9" t="s">
        <v>3038</v>
      </c>
      <c r="Z2298" s="5"/>
      <c r="AD2298" s="14" t="s">
        <v>1165</v>
      </c>
      <c r="AF2298" t="s">
        <v>1165</v>
      </c>
      <c r="AI2298" t="s">
        <v>1165</v>
      </c>
      <c r="AJ2298" s="15" t="s">
        <v>1148</v>
      </c>
      <c r="AK2298" s="15">
        <v>88.759</v>
      </c>
      <c r="AL2298" t="s">
        <v>1263</v>
      </c>
      <c r="AM2298">
        <f>94.552-88.759</f>
        <v>5.7930000000000064</v>
      </c>
      <c r="AP2298">
        <v>56</v>
      </c>
      <c r="AR2298" s="15" t="s">
        <v>1155</v>
      </c>
    </row>
    <row r="2299" spans="1:44" x14ac:dyDescent="0.2">
      <c r="A2299" t="s">
        <v>1378</v>
      </c>
      <c r="B2299" s="15" t="s">
        <v>1146</v>
      </c>
      <c r="C2299" s="15" t="s">
        <v>1149</v>
      </c>
      <c r="D2299" s="14" t="s">
        <v>475</v>
      </c>
      <c r="E2299" s="14" t="s">
        <v>3047</v>
      </c>
      <c r="G2299" s="15" t="s">
        <v>1165</v>
      </c>
      <c r="H2299" s="14" t="s">
        <v>1165</v>
      </c>
      <c r="I2299" s="14" t="s">
        <v>3033</v>
      </c>
      <c r="M2299" s="14" t="s">
        <v>3034</v>
      </c>
      <c r="O2299">
        <v>2004</v>
      </c>
      <c r="Q2299" t="s">
        <v>1329</v>
      </c>
      <c r="R2299">
        <v>14</v>
      </c>
      <c r="T2299" t="s">
        <v>3035</v>
      </c>
      <c r="U2299" s="14" t="s">
        <v>1246</v>
      </c>
      <c r="V2299" s="9" t="s">
        <v>3036</v>
      </c>
      <c r="W2299">
        <v>60</v>
      </c>
      <c r="X2299" s="9" t="s">
        <v>3038</v>
      </c>
      <c r="Z2299" s="5"/>
      <c r="AD2299" s="14" t="s">
        <v>1165</v>
      </c>
      <c r="AF2299" t="s">
        <v>1165</v>
      </c>
      <c r="AI2299" t="s">
        <v>1165</v>
      </c>
      <c r="AJ2299" s="15" t="s">
        <v>1148</v>
      </c>
      <c r="AK2299" s="15">
        <v>100</v>
      </c>
      <c r="AL2299" t="s">
        <v>1263</v>
      </c>
      <c r="AM2299">
        <f>104.483-100.552</f>
        <v>3.9309999999999974</v>
      </c>
      <c r="AP2299">
        <v>28</v>
      </c>
      <c r="AR2299" s="15" t="s">
        <v>1155</v>
      </c>
    </row>
    <row r="2300" spans="1:44" x14ac:dyDescent="0.2">
      <c r="A2300" t="s">
        <v>1378</v>
      </c>
      <c r="B2300" s="15" t="s">
        <v>1146</v>
      </c>
      <c r="C2300" s="15" t="s">
        <v>1149</v>
      </c>
      <c r="D2300" s="14" t="s">
        <v>475</v>
      </c>
      <c r="E2300" s="14" t="s">
        <v>3047</v>
      </c>
      <c r="G2300" s="15" t="s">
        <v>1165</v>
      </c>
      <c r="H2300" s="14" t="s">
        <v>1165</v>
      </c>
      <c r="I2300" s="14" t="s">
        <v>3033</v>
      </c>
      <c r="M2300" s="14" t="s">
        <v>3034</v>
      </c>
      <c r="O2300">
        <v>2004</v>
      </c>
      <c r="Q2300" t="s">
        <v>1329</v>
      </c>
      <c r="R2300">
        <v>14</v>
      </c>
      <c r="T2300" t="s">
        <v>3035</v>
      </c>
      <c r="U2300" s="14" t="s">
        <v>1246</v>
      </c>
      <c r="V2300" s="9" t="s">
        <v>3036</v>
      </c>
      <c r="W2300">
        <v>60</v>
      </c>
      <c r="X2300" s="9" t="s">
        <v>3038</v>
      </c>
      <c r="Z2300" s="5"/>
      <c r="AD2300" s="14" t="s">
        <v>1165</v>
      </c>
      <c r="AF2300" t="s">
        <v>1165</v>
      </c>
      <c r="AI2300" t="s">
        <v>1165</v>
      </c>
      <c r="AJ2300" s="15" t="s">
        <v>1148</v>
      </c>
      <c r="AK2300" s="15">
        <v>100</v>
      </c>
      <c r="AL2300" t="s">
        <v>1263</v>
      </c>
      <c r="AM2300">
        <f>104.483-100.759</f>
        <v>3.7240000000000038</v>
      </c>
      <c r="AP2300">
        <v>56</v>
      </c>
      <c r="AR2300" s="15" t="s">
        <v>1155</v>
      </c>
    </row>
    <row r="2301" spans="1:44" x14ac:dyDescent="0.2">
      <c r="A2301" t="s">
        <v>1378</v>
      </c>
      <c r="B2301" s="15" t="s">
        <v>1146</v>
      </c>
      <c r="C2301" s="15" t="s">
        <v>1149</v>
      </c>
      <c r="D2301" s="14" t="s">
        <v>475</v>
      </c>
      <c r="E2301" s="14" t="s">
        <v>3047</v>
      </c>
      <c r="G2301" s="15" t="s">
        <v>1165</v>
      </c>
      <c r="H2301" s="14" t="s">
        <v>1165</v>
      </c>
      <c r="I2301" s="14" t="s">
        <v>3033</v>
      </c>
      <c r="M2301" s="14" t="s">
        <v>3034</v>
      </c>
      <c r="O2301">
        <v>2004</v>
      </c>
      <c r="Q2301" t="s">
        <v>1329</v>
      </c>
      <c r="R2301">
        <v>14</v>
      </c>
      <c r="T2301" t="s">
        <v>3035</v>
      </c>
      <c r="U2301" s="14" t="s">
        <v>1246</v>
      </c>
      <c r="V2301" s="9" t="s">
        <v>3036</v>
      </c>
      <c r="W2301">
        <v>90</v>
      </c>
      <c r="X2301" s="9" t="s">
        <v>3038</v>
      </c>
      <c r="Z2301" s="5"/>
      <c r="AD2301" s="14" t="s">
        <v>1165</v>
      </c>
      <c r="AF2301" t="s">
        <v>1165</v>
      </c>
      <c r="AI2301" t="s">
        <v>1165</v>
      </c>
      <c r="AJ2301" s="15" t="s">
        <v>1148</v>
      </c>
      <c r="AK2301" s="15">
        <v>92.483000000000004</v>
      </c>
      <c r="AL2301" t="s">
        <v>1263</v>
      </c>
      <c r="AM2301">
        <f>99.517-92.483</f>
        <v>7.0339999999999918</v>
      </c>
      <c r="AP2301">
        <v>28</v>
      </c>
      <c r="AR2301" s="15" t="s">
        <v>1155</v>
      </c>
    </row>
    <row r="2302" spans="1:44" x14ac:dyDescent="0.2">
      <c r="A2302" t="s">
        <v>1378</v>
      </c>
      <c r="B2302" s="15" t="s">
        <v>1146</v>
      </c>
      <c r="C2302" s="15" t="s">
        <v>1149</v>
      </c>
      <c r="D2302" s="14" t="s">
        <v>475</v>
      </c>
      <c r="E2302" s="14" t="s">
        <v>3047</v>
      </c>
      <c r="G2302" s="15" t="s">
        <v>1165</v>
      </c>
      <c r="H2302" s="14" t="s">
        <v>1165</v>
      </c>
      <c r="I2302" s="14" t="s">
        <v>3033</v>
      </c>
      <c r="M2302" s="14" t="s">
        <v>3034</v>
      </c>
      <c r="O2302">
        <v>2004</v>
      </c>
      <c r="Q2302" t="s">
        <v>1329</v>
      </c>
      <c r="R2302">
        <v>14</v>
      </c>
      <c r="T2302" t="s">
        <v>3035</v>
      </c>
      <c r="U2302" s="14" t="s">
        <v>1246</v>
      </c>
      <c r="V2302" s="9" t="s">
        <v>3036</v>
      </c>
      <c r="W2302">
        <v>90</v>
      </c>
      <c r="X2302" s="9" t="s">
        <v>3038</v>
      </c>
      <c r="Z2302" s="5"/>
      <c r="AD2302" s="14" t="s">
        <v>1165</v>
      </c>
      <c r="AF2302" t="s">
        <v>1165</v>
      </c>
      <c r="AI2302" t="s">
        <v>1165</v>
      </c>
      <c r="AJ2302" s="15" t="s">
        <v>1148</v>
      </c>
      <c r="AK2302" s="15">
        <v>92.483000000000004</v>
      </c>
      <c r="AL2302" t="s">
        <v>1263</v>
      </c>
      <c r="AM2302">
        <f>99.931-92.483</f>
        <v>7.4479999999999933</v>
      </c>
      <c r="AP2302">
        <v>56</v>
      </c>
      <c r="AR2302" s="15" t="s">
        <v>1155</v>
      </c>
    </row>
    <row r="2303" spans="1:44" x14ac:dyDescent="0.2">
      <c r="A2303" t="s">
        <v>1378</v>
      </c>
      <c r="B2303" s="15" t="s">
        <v>1146</v>
      </c>
      <c r="C2303" s="15" t="s">
        <v>1149</v>
      </c>
      <c r="D2303" s="14" t="s">
        <v>475</v>
      </c>
      <c r="E2303" s="14" t="s">
        <v>3047</v>
      </c>
      <c r="G2303" s="15" t="s">
        <v>1165</v>
      </c>
      <c r="H2303" s="14" t="s">
        <v>1165</v>
      </c>
      <c r="I2303" s="14" t="s">
        <v>3033</v>
      </c>
      <c r="M2303" s="14" t="s">
        <v>3034</v>
      </c>
      <c r="O2303">
        <v>2004</v>
      </c>
      <c r="Q2303" t="s">
        <v>1329</v>
      </c>
      <c r="R2303">
        <v>14</v>
      </c>
      <c r="T2303" t="s">
        <v>3035</v>
      </c>
      <c r="U2303" s="14" t="s">
        <v>1246</v>
      </c>
      <c r="V2303" s="9" t="s">
        <v>3036</v>
      </c>
      <c r="W2303">
        <v>120</v>
      </c>
      <c r="X2303" s="9" t="s">
        <v>3038</v>
      </c>
      <c r="Z2303" s="5"/>
      <c r="AD2303" s="14" t="s">
        <v>1165</v>
      </c>
      <c r="AF2303" t="s">
        <v>1165</v>
      </c>
      <c r="AI2303" t="s">
        <v>1165</v>
      </c>
      <c r="AJ2303" s="15" t="s">
        <v>1148</v>
      </c>
      <c r="AK2303" s="15">
        <v>88.344999999999999</v>
      </c>
      <c r="AL2303" t="s">
        <v>1263</v>
      </c>
      <c r="AM2303">
        <f>92.069-88.345</f>
        <v>3.7240000000000038</v>
      </c>
      <c r="AP2303">
        <v>28</v>
      </c>
      <c r="AR2303" s="15" t="s">
        <v>1155</v>
      </c>
    </row>
    <row r="2304" spans="1:44" x14ac:dyDescent="0.2">
      <c r="A2304" t="s">
        <v>1378</v>
      </c>
      <c r="B2304" s="15" t="s">
        <v>1146</v>
      </c>
      <c r="C2304" s="15" t="s">
        <v>1149</v>
      </c>
      <c r="D2304" s="14" t="s">
        <v>475</v>
      </c>
      <c r="E2304" s="14" t="s">
        <v>3047</v>
      </c>
      <c r="G2304" s="15" t="s">
        <v>1165</v>
      </c>
      <c r="H2304" s="14" t="s">
        <v>1165</v>
      </c>
      <c r="I2304" s="14" t="s">
        <v>3033</v>
      </c>
      <c r="M2304" s="14" t="s">
        <v>3034</v>
      </c>
      <c r="O2304">
        <v>2004</v>
      </c>
      <c r="Q2304" t="s">
        <v>1329</v>
      </c>
      <c r="R2304">
        <v>14</v>
      </c>
      <c r="T2304" t="s">
        <v>3035</v>
      </c>
      <c r="U2304" s="14" t="s">
        <v>1246</v>
      </c>
      <c r="V2304" s="9" t="s">
        <v>3036</v>
      </c>
      <c r="W2304">
        <v>120</v>
      </c>
      <c r="X2304" s="9" t="s">
        <v>3038</v>
      </c>
      <c r="Z2304" s="5"/>
      <c r="AD2304" s="14" t="s">
        <v>1165</v>
      </c>
      <c r="AF2304" t="s">
        <v>1165</v>
      </c>
      <c r="AI2304" t="s">
        <v>1165</v>
      </c>
      <c r="AJ2304" s="15" t="s">
        <v>1148</v>
      </c>
      <c r="AK2304" s="15">
        <v>90.414000000000001</v>
      </c>
      <c r="AL2304" t="s">
        <v>1263</v>
      </c>
      <c r="AM2304">
        <f>94.138-90.414</f>
        <v>3.7240000000000038</v>
      </c>
      <c r="AP2304">
        <v>56</v>
      </c>
      <c r="AR2304" s="15" t="s">
        <v>1155</v>
      </c>
    </row>
    <row r="2305" spans="1:44" x14ac:dyDescent="0.2">
      <c r="A2305" t="s">
        <v>1378</v>
      </c>
      <c r="B2305" s="15" t="s">
        <v>1146</v>
      </c>
      <c r="C2305" s="15" t="s">
        <v>1149</v>
      </c>
      <c r="D2305" s="14" t="s">
        <v>475</v>
      </c>
      <c r="E2305" s="14" t="s">
        <v>3047</v>
      </c>
      <c r="G2305" s="15" t="s">
        <v>1165</v>
      </c>
      <c r="H2305" s="14" t="s">
        <v>1165</v>
      </c>
      <c r="I2305" s="14" t="s">
        <v>3033</v>
      </c>
      <c r="M2305" s="14" t="s">
        <v>3034</v>
      </c>
      <c r="O2305">
        <v>2004</v>
      </c>
      <c r="Q2305" t="s">
        <v>1329</v>
      </c>
      <c r="R2305">
        <v>14</v>
      </c>
      <c r="T2305" t="s">
        <v>3035</v>
      </c>
      <c r="U2305" s="14" t="s">
        <v>1246</v>
      </c>
      <c r="V2305" s="9" t="s">
        <v>3036</v>
      </c>
      <c r="W2305">
        <v>150</v>
      </c>
      <c r="X2305" s="9" t="s">
        <v>3038</v>
      </c>
      <c r="Z2305" s="5"/>
      <c r="AD2305" s="14" t="s">
        <v>1165</v>
      </c>
      <c r="AF2305" t="s">
        <v>1165</v>
      </c>
      <c r="AI2305" t="s">
        <v>1165</v>
      </c>
      <c r="AJ2305" s="15" t="s">
        <v>1148</v>
      </c>
      <c r="AK2305" s="15">
        <v>97.655000000000001</v>
      </c>
      <c r="AL2305" t="s">
        <v>1263</v>
      </c>
      <c r="AM2305">
        <f>99.517-97.655</f>
        <v>1.8619999999999948</v>
      </c>
      <c r="AP2305">
        <v>28</v>
      </c>
      <c r="AR2305" s="15" t="s">
        <v>1155</v>
      </c>
    </row>
    <row r="2306" spans="1:44" x14ac:dyDescent="0.2">
      <c r="A2306" t="s">
        <v>1378</v>
      </c>
      <c r="B2306" s="15" t="s">
        <v>1146</v>
      </c>
      <c r="C2306" s="15" t="s">
        <v>1149</v>
      </c>
      <c r="D2306" s="14" t="s">
        <v>475</v>
      </c>
      <c r="E2306" s="14" t="s">
        <v>3047</v>
      </c>
      <c r="G2306" s="15" t="s">
        <v>1165</v>
      </c>
      <c r="H2306" s="14" t="s">
        <v>1165</v>
      </c>
      <c r="I2306" s="14" t="s">
        <v>3033</v>
      </c>
      <c r="M2306" s="14" t="s">
        <v>3034</v>
      </c>
      <c r="O2306">
        <v>2004</v>
      </c>
      <c r="Q2306" t="s">
        <v>1329</v>
      </c>
      <c r="R2306">
        <v>14</v>
      </c>
      <c r="T2306" t="s">
        <v>3035</v>
      </c>
      <c r="U2306" s="14" t="s">
        <v>1246</v>
      </c>
      <c r="V2306" s="9" t="s">
        <v>3036</v>
      </c>
      <c r="W2306">
        <v>150</v>
      </c>
      <c r="X2306" s="9" t="s">
        <v>3038</v>
      </c>
      <c r="Z2306" s="5"/>
      <c r="AD2306" s="14" t="s">
        <v>1165</v>
      </c>
      <c r="AF2306" t="s">
        <v>1165</v>
      </c>
      <c r="AI2306" t="s">
        <v>1165</v>
      </c>
      <c r="AJ2306" s="15" t="s">
        <v>1148</v>
      </c>
      <c r="AK2306" s="15">
        <v>97.447999999999993</v>
      </c>
      <c r="AL2306" t="s">
        <v>1263</v>
      </c>
      <c r="AM2306">
        <f>99.517-97.448</f>
        <v>2.0690000000000026</v>
      </c>
      <c r="AP2306">
        <v>56</v>
      </c>
      <c r="AR2306" s="15" t="s">
        <v>1155</v>
      </c>
    </row>
    <row r="2307" spans="1:44" x14ac:dyDescent="0.2">
      <c r="A2307" t="s">
        <v>1378</v>
      </c>
      <c r="B2307" s="15" t="s">
        <v>1146</v>
      </c>
      <c r="C2307" s="15" t="s">
        <v>1149</v>
      </c>
      <c r="D2307" s="14" t="s">
        <v>475</v>
      </c>
      <c r="E2307" s="14" t="s">
        <v>3047</v>
      </c>
      <c r="G2307" s="15" t="s">
        <v>1165</v>
      </c>
      <c r="H2307" s="14" t="s">
        <v>1165</v>
      </c>
      <c r="I2307" s="14" t="s">
        <v>3033</v>
      </c>
      <c r="M2307" s="14" t="s">
        <v>3034</v>
      </c>
      <c r="O2307">
        <v>2004</v>
      </c>
      <c r="Q2307" t="s">
        <v>1329</v>
      </c>
      <c r="R2307">
        <v>14</v>
      </c>
      <c r="T2307" t="s">
        <v>3035</v>
      </c>
      <c r="U2307" s="14" t="s">
        <v>1246</v>
      </c>
      <c r="V2307" s="9" t="s">
        <v>3036</v>
      </c>
      <c r="W2307">
        <v>180</v>
      </c>
      <c r="X2307" s="9" t="s">
        <v>3038</v>
      </c>
      <c r="Z2307" s="5"/>
      <c r="AD2307" s="14" t="s">
        <v>1165</v>
      </c>
      <c r="AF2307" t="s">
        <v>1165</v>
      </c>
      <c r="AI2307" t="s">
        <v>1165</v>
      </c>
      <c r="AJ2307" s="15" t="s">
        <v>1148</v>
      </c>
      <c r="AK2307" s="15">
        <v>94.552000000000007</v>
      </c>
      <c r="AL2307" t="s">
        <v>1263</v>
      </c>
      <c r="AM2307">
        <f>96.621-94.552</f>
        <v>2.0689999999999884</v>
      </c>
      <c r="AP2307">
        <v>28</v>
      </c>
      <c r="AR2307" s="15" t="s">
        <v>1155</v>
      </c>
    </row>
    <row r="2308" spans="1:44" x14ac:dyDescent="0.2">
      <c r="A2308" t="s">
        <v>1378</v>
      </c>
      <c r="B2308" s="15" t="s">
        <v>1146</v>
      </c>
      <c r="C2308" s="15" t="s">
        <v>1149</v>
      </c>
      <c r="D2308" s="14" t="s">
        <v>475</v>
      </c>
      <c r="E2308" s="14" t="s">
        <v>3047</v>
      </c>
      <c r="G2308" s="15" t="s">
        <v>1165</v>
      </c>
      <c r="H2308" s="14" t="s">
        <v>1165</v>
      </c>
      <c r="I2308" s="14" t="s">
        <v>3033</v>
      </c>
      <c r="M2308" s="14" t="s">
        <v>3034</v>
      </c>
      <c r="O2308">
        <v>2004</v>
      </c>
      <c r="Q2308" t="s">
        <v>1329</v>
      </c>
      <c r="R2308">
        <v>14</v>
      </c>
      <c r="T2308" t="s">
        <v>3035</v>
      </c>
      <c r="U2308" s="14" t="s">
        <v>1246</v>
      </c>
      <c r="V2308" s="9" t="s">
        <v>3036</v>
      </c>
      <c r="W2308">
        <v>180</v>
      </c>
      <c r="X2308" s="9" t="s">
        <v>3038</v>
      </c>
      <c r="Z2308" s="5"/>
      <c r="AD2308" s="14" t="s">
        <v>1165</v>
      </c>
      <c r="AF2308" t="s">
        <v>1165</v>
      </c>
      <c r="AI2308" t="s">
        <v>1165</v>
      </c>
      <c r="AJ2308" s="15" t="s">
        <v>1148</v>
      </c>
      <c r="AK2308" s="15">
        <v>94.552000000000007</v>
      </c>
      <c r="AL2308" t="s">
        <v>1263</v>
      </c>
      <c r="AM2308">
        <f>96.621-94.552</f>
        <v>2.0689999999999884</v>
      </c>
      <c r="AP2308">
        <v>56</v>
      </c>
      <c r="AR2308" s="15" t="s">
        <v>1155</v>
      </c>
    </row>
    <row r="2309" spans="1:44" x14ac:dyDescent="0.2">
      <c r="A2309" t="s">
        <v>1378</v>
      </c>
      <c r="B2309" s="15" t="s">
        <v>1146</v>
      </c>
      <c r="C2309" s="15" t="s">
        <v>1149</v>
      </c>
      <c r="D2309" s="14" t="s">
        <v>475</v>
      </c>
      <c r="E2309" s="14" t="s">
        <v>3047</v>
      </c>
      <c r="G2309" s="15" t="s">
        <v>1165</v>
      </c>
      <c r="H2309" s="14" t="s">
        <v>1165</v>
      </c>
      <c r="I2309" s="14" t="s">
        <v>3033</v>
      </c>
      <c r="M2309" s="14" t="s">
        <v>3034</v>
      </c>
      <c r="O2309">
        <v>2004</v>
      </c>
      <c r="Q2309" t="s">
        <v>1329</v>
      </c>
      <c r="R2309">
        <v>14</v>
      </c>
      <c r="T2309" t="s">
        <v>3035</v>
      </c>
      <c r="U2309" s="14" t="s">
        <v>1246</v>
      </c>
      <c r="V2309" s="9" t="s">
        <v>3036</v>
      </c>
      <c r="W2309">
        <v>0</v>
      </c>
      <c r="X2309" s="9" t="s">
        <v>3039</v>
      </c>
      <c r="Z2309" s="5"/>
      <c r="AD2309" s="14" t="s">
        <v>1165</v>
      </c>
      <c r="AF2309" t="s">
        <v>1165</v>
      </c>
      <c r="AI2309" t="s">
        <v>1165</v>
      </c>
      <c r="AJ2309" s="15" t="s">
        <v>1148</v>
      </c>
      <c r="AK2309" s="15">
        <v>79.224999999999994</v>
      </c>
      <c r="AL2309" t="s">
        <v>1263</v>
      </c>
      <c r="AM2309">
        <f>83.451-79.225</f>
        <v>4.2259999999999991</v>
      </c>
      <c r="AP2309">
        <v>28</v>
      </c>
      <c r="AR2309" s="15" t="s">
        <v>1155</v>
      </c>
    </row>
    <row r="2310" spans="1:44" x14ac:dyDescent="0.2">
      <c r="A2310" t="s">
        <v>1378</v>
      </c>
      <c r="B2310" s="15" t="s">
        <v>1146</v>
      </c>
      <c r="C2310" s="15" t="s">
        <v>1149</v>
      </c>
      <c r="D2310" s="14" t="s">
        <v>475</v>
      </c>
      <c r="E2310" s="14" t="s">
        <v>3047</v>
      </c>
      <c r="G2310" s="15" t="s">
        <v>1165</v>
      </c>
      <c r="H2310" s="14" t="s">
        <v>1165</v>
      </c>
      <c r="I2310" s="14" t="s">
        <v>3033</v>
      </c>
      <c r="M2310" s="14" t="s">
        <v>3034</v>
      </c>
      <c r="O2310">
        <v>2004</v>
      </c>
      <c r="Q2310" t="s">
        <v>1329</v>
      </c>
      <c r="R2310">
        <v>14</v>
      </c>
      <c r="T2310" t="s">
        <v>3035</v>
      </c>
      <c r="U2310" s="14" t="s">
        <v>1246</v>
      </c>
      <c r="V2310" s="9" t="s">
        <v>3036</v>
      </c>
      <c r="W2310">
        <v>0</v>
      </c>
      <c r="X2310" s="9" t="s">
        <v>3039</v>
      </c>
      <c r="Z2310" s="5"/>
      <c r="AD2310" s="14" t="s">
        <v>1165</v>
      </c>
      <c r="AF2310" t="s">
        <v>1165</v>
      </c>
      <c r="AI2310" t="s">
        <v>1165</v>
      </c>
      <c r="AJ2310" s="15" t="s">
        <v>1148</v>
      </c>
      <c r="AK2310" s="15">
        <v>88.099000000000004</v>
      </c>
      <c r="AL2310" t="s">
        <v>1263</v>
      </c>
      <c r="AM2310">
        <f>90.634-88.099</f>
        <v>2.5349999999999966</v>
      </c>
      <c r="AP2310">
        <v>56</v>
      </c>
      <c r="AR2310" s="15" t="s">
        <v>1155</v>
      </c>
    </row>
    <row r="2311" spans="1:44" x14ac:dyDescent="0.2">
      <c r="A2311" t="s">
        <v>1378</v>
      </c>
      <c r="B2311" s="15" t="s">
        <v>1146</v>
      </c>
      <c r="C2311" s="15" t="s">
        <v>1149</v>
      </c>
      <c r="D2311" s="14" t="s">
        <v>475</v>
      </c>
      <c r="E2311" s="14" t="s">
        <v>3047</v>
      </c>
      <c r="G2311" s="15" t="s">
        <v>1165</v>
      </c>
      <c r="H2311" s="14" t="s">
        <v>1165</v>
      </c>
      <c r="I2311" s="14" t="s">
        <v>3033</v>
      </c>
      <c r="M2311" s="14" t="s">
        <v>3034</v>
      </c>
      <c r="O2311">
        <v>2004</v>
      </c>
      <c r="Q2311" t="s">
        <v>1329</v>
      </c>
      <c r="R2311">
        <v>14</v>
      </c>
      <c r="T2311" t="s">
        <v>3035</v>
      </c>
      <c r="U2311" s="14" t="s">
        <v>1246</v>
      </c>
      <c r="V2311" s="9" t="s">
        <v>3036</v>
      </c>
      <c r="W2311">
        <v>15</v>
      </c>
      <c r="X2311" s="9" t="s">
        <v>3039</v>
      </c>
      <c r="Z2311" s="5"/>
      <c r="AD2311" s="14" t="s">
        <v>1165</v>
      </c>
      <c r="AF2311" t="s">
        <v>1165</v>
      </c>
      <c r="AI2311" t="s">
        <v>1165</v>
      </c>
      <c r="AJ2311" s="15" t="s">
        <v>1148</v>
      </c>
      <c r="AK2311" s="15">
        <v>95.703999999999994</v>
      </c>
      <c r="AL2311" t="s">
        <v>1263</v>
      </c>
      <c r="AM2311">
        <f>102.465-95.704</f>
        <v>6.7610000000000099</v>
      </c>
      <c r="AP2311">
        <v>28</v>
      </c>
      <c r="AR2311" s="15" t="s">
        <v>1155</v>
      </c>
    </row>
    <row r="2312" spans="1:44" x14ac:dyDescent="0.2">
      <c r="A2312" t="s">
        <v>1378</v>
      </c>
      <c r="B2312" s="15" t="s">
        <v>1146</v>
      </c>
      <c r="C2312" s="15" t="s">
        <v>1149</v>
      </c>
      <c r="D2312" s="14" t="s">
        <v>475</v>
      </c>
      <c r="E2312" s="14" t="s">
        <v>3047</v>
      </c>
      <c r="G2312" s="15" t="s">
        <v>1165</v>
      </c>
      <c r="H2312" s="14" t="s">
        <v>1165</v>
      </c>
      <c r="I2312" s="14" t="s">
        <v>3033</v>
      </c>
      <c r="M2312" s="14" t="s">
        <v>3034</v>
      </c>
      <c r="O2312">
        <v>2004</v>
      </c>
      <c r="Q2312" t="s">
        <v>1329</v>
      </c>
      <c r="R2312">
        <v>14</v>
      </c>
      <c r="T2312" t="s">
        <v>3035</v>
      </c>
      <c r="U2312" s="14" t="s">
        <v>1246</v>
      </c>
      <c r="V2312" s="9" t="s">
        <v>3036</v>
      </c>
      <c r="W2312">
        <v>15</v>
      </c>
      <c r="X2312" s="9" t="s">
        <v>3039</v>
      </c>
      <c r="Z2312" s="5"/>
      <c r="AD2312" s="14" t="s">
        <v>1165</v>
      </c>
      <c r="AF2312" t="s">
        <v>1165</v>
      </c>
      <c r="AI2312" t="s">
        <v>1165</v>
      </c>
      <c r="AJ2312" s="15" t="s">
        <v>1148</v>
      </c>
      <c r="AK2312" s="15">
        <v>96.126999999999995</v>
      </c>
      <c r="AL2312" t="s">
        <v>1263</v>
      </c>
      <c r="AM2312">
        <f>102.465-96.127</f>
        <v>6.3380000000000081</v>
      </c>
      <c r="AP2312">
        <v>56</v>
      </c>
      <c r="AR2312" s="15" t="s">
        <v>1155</v>
      </c>
    </row>
    <row r="2313" spans="1:44" x14ac:dyDescent="0.2">
      <c r="A2313" t="s">
        <v>1378</v>
      </c>
      <c r="B2313" s="15" t="s">
        <v>1146</v>
      </c>
      <c r="C2313" s="15" t="s">
        <v>1149</v>
      </c>
      <c r="D2313" s="14" t="s">
        <v>475</v>
      </c>
      <c r="E2313" s="14" t="s">
        <v>3047</v>
      </c>
      <c r="G2313" s="15" t="s">
        <v>1165</v>
      </c>
      <c r="H2313" s="14" t="s">
        <v>1165</v>
      </c>
      <c r="I2313" s="14" t="s">
        <v>3033</v>
      </c>
      <c r="M2313" s="14" t="s">
        <v>3034</v>
      </c>
      <c r="O2313">
        <v>2004</v>
      </c>
      <c r="Q2313" t="s">
        <v>1329</v>
      </c>
      <c r="R2313">
        <v>14</v>
      </c>
      <c r="T2313" t="s">
        <v>3035</v>
      </c>
      <c r="U2313" s="14" t="s">
        <v>1246</v>
      </c>
      <c r="V2313" s="9" t="s">
        <v>3036</v>
      </c>
      <c r="W2313">
        <v>30</v>
      </c>
      <c r="X2313" s="9" t="s">
        <v>3039</v>
      </c>
      <c r="Z2313" s="5"/>
      <c r="AD2313" s="14" t="s">
        <v>1165</v>
      </c>
      <c r="AF2313" t="s">
        <v>1165</v>
      </c>
      <c r="AI2313" t="s">
        <v>1165</v>
      </c>
      <c r="AJ2313" s="15" t="s">
        <v>1148</v>
      </c>
      <c r="AK2313" s="15">
        <v>86.408000000000001</v>
      </c>
      <c r="AL2313" t="s">
        <v>1263</v>
      </c>
      <c r="AM2313">
        <f>94.014-86.408</f>
        <v>7.6059999999999945</v>
      </c>
      <c r="AP2313">
        <v>28</v>
      </c>
      <c r="AR2313" s="15" t="s">
        <v>1155</v>
      </c>
    </row>
    <row r="2314" spans="1:44" x14ac:dyDescent="0.2">
      <c r="A2314" t="s">
        <v>1378</v>
      </c>
      <c r="B2314" s="15" t="s">
        <v>1146</v>
      </c>
      <c r="C2314" s="15" t="s">
        <v>1149</v>
      </c>
      <c r="D2314" s="14" t="s">
        <v>475</v>
      </c>
      <c r="E2314" s="14" t="s">
        <v>3047</v>
      </c>
      <c r="G2314" s="15" t="s">
        <v>1165</v>
      </c>
      <c r="H2314" s="14" t="s">
        <v>1165</v>
      </c>
      <c r="I2314" s="14" t="s">
        <v>3033</v>
      </c>
      <c r="M2314" s="14" t="s">
        <v>3034</v>
      </c>
      <c r="O2314">
        <v>2004</v>
      </c>
      <c r="Q2314" t="s">
        <v>1329</v>
      </c>
      <c r="R2314">
        <v>14</v>
      </c>
      <c r="T2314" t="s">
        <v>3035</v>
      </c>
      <c r="U2314" s="14" t="s">
        <v>1246</v>
      </c>
      <c r="V2314" s="9" t="s">
        <v>3036</v>
      </c>
      <c r="W2314">
        <v>30</v>
      </c>
      <c r="X2314" s="9" t="s">
        <v>3039</v>
      </c>
      <c r="Z2314" s="5"/>
      <c r="AD2314" s="14" t="s">
        <v>1165</v>
      </c>
      <c r="AF2314" t="s">
        <v>1165</v>
      </c>
      <c r="AI2314" t="s">
        <v>1165</v>
      </c>
      <c r="AJ2314" s="15" t="s">
        <v>1148</v>
      </c>
      <c r="AK2314" s="15">
        <v>88.099000000000004</v>
      </c>
      <c r="AL2314" t="s">
        <v>1263</v>
      </c>
      <c r="AM2314">
        <f>95.282-88.099</f>
        <v>7.1829999999999927</v>
      </c>
      <c r="AP2314">
        <v>56</v>
      </c>
      <c r="AR2314" s="15" t="s">
        <v>1155</v>
      </c>
    </row>
    <row r="2315" spans="1:44" x14ac:dyDescent="0.2">
      <c r="A2315" t="s">
        <v>1378</v>
      </c>
      <c r="B2315" s="15" t="s">
        <v>1146</v>
      </c>
      <c r="C2315" s="15" t="s">
        <v>1149</v>
      </c>
      <c r="D2315" s="14" t="s">
        <v>475</v>
      </c>
      <c r="E2315" s="14" t="s">
        <v>3047</v>
      </c>
      <c r="G2315" s="15" t="s">
        <v>1165</v>
      </c>
      <c r="H2315" s="14" t="s">
        <v>1165</v>
      </c>
      <c r="I2315" s="14" t="s">
        <v>3033</v>
      </c>
      <c r="M2315" s="14" t="s">
        <v>3034</v>
      </c>
      <c r="O2315">
        <v>2004</v>
      </c>
      <c r="Q2315" t="s">
        <v>1329</v>
      </c>
      <c r="R2315">
        <v>14</v>
      </c>
      <c r="T2315" t="s">
        <v>3035</v>
      </c>
      <c r="U2315" s="14" t="s">
        <v>1246</v>
      </c>
      <c r="V2315" s="9" t="s">
        <v>3036</v>
      </c>
      <c r="W2315">
        <v>60</v>
      </c>
      <c r="X2315" s="9" t="s">
        <v>3039</v>
      </c>
      <c r="Z2315" s="5"/>
      <c r="AD2315" s="14" t="s">
        <v>1165</v>
      </c>
      <c r="AF2315" t="s">
        <v>1165</v>
      </c>
      <c r="AI2315" t="s">
        <v>1165</v>
      </c>
      <c r="AJ2315" s="15" t="s">
        <v>1148</v>
      </c>
      <c r="AK2315" s="15">
        <v>97.816999999999993</v>
      </c>
      <c r="AL2315" t="s">
        <v>1263</v>
      </c>
      <c r="AM2315">
        <f>100.775-97.817</f>
        <v>2.9580000000000126</v>
      </c>
      <c r="AP2315">
        <v>28</v>
      </c>
      <c r="AR2315" s="15" t="s">
        <v>1155</v>
      </c>
    </row>
    <row r="2316" spans="1:44" x14ac:dyDescent="0.2">
      <c r="A2316" t="s">
        <v>1378</v>
      </c>
      <c r="B2316" s="15" t="s">
        <v>1146</v>
      </c>
      <c r="C2316" s="15" t="s">
        <v>1149</v>
      </c>
      <c r="D2316" s="14" t="s">
        <v>475</v>
      </c>
      <c r="E2316" s="14" t="s">
        <v>3047</v>
      </c>
      <c r="G2316" s="15" t="s">
        <v>1165</v>
      </c>
      <c r="H2316" s="14" t="s">
        <v>1165</v>
      </c>
      <c r="I2316" s="14" t="s">
        <v>3033</v>
      </c>
      <c r="M2316" s="14" t="s">
        <v>3034</v>
      </c>
      <c r="O2316">
        <v>2004</v>
      </c>
      <c r="Q2316" t="s">
        <v>1329</v>
      </c>
      <c r="R2316">
        <v>14</v>
      </c>
      <c r="T2316" t="s">
        <v>3035</v>
      </c>
      <c r="U2316" s="14" t="s">
        <v>1246</v>
      </c>
      <c r="V2316" s="9" t="s">
        <v>3036</v>
      </c>
      <c r="W2316">
        <v>60</v>
      </c>
      <c r="X2316" s="9" t="s">
        <v>3039</v>
      </c>
      <c r="Z2316" s="5"/>
      <c r="AD2316" s="14" t="s">
        <v>1165</v>
      </c>
      <c r="AF2316" t="s">
        <v>1165</v>
      </c>
      <c r="AI2316" t="s">
        <v>1165</v>
      </c>
      <c r="AJ2316" s="15" t="s">
        <v>1148</v>
      </c>
      <c r="AK2316" s="15">
        <v>96.971999999999994</v>
      </c>
      <c r="AL2316" t="s">
        <v>1263</v>
      </c>
      <c r="AM2316">
        <f>100.775-96.972</f>
        <v>3.8030000000000115</v>
      </c>
      <c r="AP2316">
        <v>56</v>
      </c>
      <c r="AR2316" s="15" t="s">
        <v>1155</v>
      </c>
    </row>
    <row r="2317" spans="1:44" x14ac:dyDescent="0.2">
      <c r="A2317" t="s">
        <v>1378</v>
      </c>
      <c r="B2317" s="15" t="s">
        <v>1146</v>
      </c>
      <c r="C2317" s="15" t="s">
        <v>1149</v>
      </c>
      <c r="D2317" s="14" t="s">
        <v>475</v>
      </c>
      <c r="E2317" s="14" t="s">
        <v>3047</v>
      </c>
      <c r="G2317" s="15" t="s">
        <v>1165</v>
      </c>
      <c r="H2317" s="14" t="s">
        <v>1165</v>
      </c>
      <c r="I2317" s="14" t="s">
        <v>3033</v>
      </c>
      <c r="M2317" s="14" t="s">
        <v>3034</v>
      </c>
      <c r="O2317">
        <v>2004</v>
      </c>
      <c r="Q2317" t="s">
        <v>1329</v>
      </c>
      <c r="R2317">
        <v>14</v>
      </c>
      <c r="T2317" t="s">
        <v>3035</v>
      </c>
      <c r="U2317" s="14" t="s">
        <v>1246</v>
      </c>
      <c r="V2317" s="9" t="s">
        <v>3036</v>
      </c>
      <c r="W2317">
        <v>90</v>
      </c>
      <c r="X2317" s="9" t="s">
        <v>3039</v>
      </c>
      <c r="Z2317" s="5"/>
      <c r="AD2317" s="14" t="s">
        <v>1165</v>
      </c>
      <c r="AF2317" t="s">
        <v>1165</v>
      </c>
      <c r="AI2317" t="s">
        <v>1165</v>
      </c>
      <c r="AJ2317" s="15" t="s">
        <v>1148</v>
      </c>
      <c r="AK2317" s="15">
        <v>100</v>
      </c>
      <c r="AL2317" t="s">
        <v>1263</v>
      </c>
      <c r="AM2317">
        <f>105.423-100.775</f>
        <v>4.6479999999999961</v>
      </c>
      <c r="AP2317">
        <v>28</v>
      </c>
      <c r="AR2317" s="15" t="s">
        <v>1155</v>
      </c>
    </row>
    <row r="2318" spans="1:44" x14ac:dyDescent="0.2">
      <c r="A2318" t="s">
        <v>1378</v>
      </c>
      <c r="B2318" s="15" t="s">
        <v>1146</v>
      </c>
      <c r="C2318" s="15" t="s">
        <v>1149</v>
      </c>
      <c r="D2318" s="14" t="s">
        <v>475</v>
      </c>
      <c r="E2318" s="14" t="s">
        <v>3047</v>
      </c>
      <c r="G2318" s="15" t="s">
        <v>1165</v>
      </c>
      <c r="H2318" s="14" t="s">
        <v>1165</v>
      </c>
      <c r="I2318" s="14" t="s">
        <v>3033</v>
      </c>
      <c r="M2318" s="14" t="s">
        <v>3034</v>
      </c>
      <c r="O2318">
        <v>2004</v>
      </c>
      <c r="Q2318" t="s">
        <v>1329</v>
      </c>
      <c r="R2318">
        <v>14</v>
      </c>
      <c r="T2318" t="s">
        <v>3035</v>
      </c>
      <c r="U2318" s="14" t="s">
        <v>1246</v>
      </c>
      <c r="V2318" s="9" t="s">
        <v>3036</v>
      </c>
      <c r="W2318">
        <v>90</v>
      </c>
      <c r="X2318" s="9" t="s">
        <v>3039</v>
      </c>
      <c r="Z2318" s="5"/>
      <c r="AD2318" s="14" t="s">
        <v>1165</v>
      </c>
      <c r="AF2318" t="s">
        <v>1165</v>
      </c>
      <c r="AI2318" t="s">
        <v>1165</v>
      </c>
      <c r="AJ2318" s="15" t="s">
        <v>1148</v>
      </c>
      <c r="AK2318" s="15">
        <v>100</v>
      </c>
      <c r="AL2318" t="s">
        <v>1263</v>
      </c>
      <c r="AM2318">
        <f>105.423-100.352</f>
        <v>5.070999999999998</v>
      </c>
      <c r="AP2318">
        <v>56</v>
      </c>
      <c r="AR2318" s="15" t="s">
        <v>1155</v>
      </c>
    </row>
    <row r="2319" spans="1:44" x14ac:dyDescent="0.2">
      <c r="A2319" t="s">
        <v>1378</v>
      </c>
      <c r="B2319" s="15" t="s">
        <v>1146</v>
      </c>
      <c r="C2319" s="15" t="s">
        <v>1149</v>
      </c>
      <c r="D2319" s="14" t="s">
        <v>475</v>
      </c>
      <c r="E2319" s="14" t="s">
        <v>3047</v>
      </c>
      <c r="G2319" s="15" t="s">
        <v>1165</v>
      </c>
      <c r="H2319" s="14" t="s">
        <v>1165</v>
      </c>
      <c r="I2319" s="14" t="s">
        <v>3033</v>
      </c>
      <c r="M2319" s="14" t="s">
        <v>3034</v>
      </c>
      <c r="O2319">
        <v>2004</v>
      </c>
      <c r="Q2319" t="s">
        <v>1329</v>
      </c>
      <c r="R2319">
        <v>14</v>
      </c>
      <c r="T2319" t="s">
        <v>3035</v>
      </c>
      <c r="U2319" s="14" t="s">
        <v>1246</v>
      </c>
      <c r="V2319" s="9" t="s">
        <v>3036</v>
      </c>
      <c r="W2319">
        <v>120</v>
      </c>
      <c r="X2319" s="9" t="s">
        <v>3039</v>
      </c>
      <c r="Z2319" s="5"/>
      <c r="AD2319" s="14" t="s">
        <v>1165</v>
      </c>
      <c r="AF2319" t="s">
        <v>1165</v>
      </c>
      <c r="AI2319" t="s">
        <v>1165</v>
      </c>
      <c r="AJ2319" s="15" t="s">
        <v>1148</v>
      </c>
      <c r="AK2319" s="15">
        <v>99.084999999999994</v>
      </c>
      <c r="AL2319" t="s">
        <v>1263</v>
      </c>
      <c r="AM2319">
        <f>100.775-99.085</f>
        <v>1.6900000000000119</v>
      </c>
      <c r="AP2319">
        <v>28</v>
      </c>
      <c r="AR2319" s="15" t="s">
        <v>1155</v>
      </c>
    </row>
    <row r="2320" spans="1:44" x14ac:dyDescent="0.2">
      <c r="A2320" t="s">
        <v>1378</v>
      </c>
      <c r="B2320" s="15" t="s">
        <v>1146</v>
      </c>
      <c r="C2320" s="15" t="s">
        <v>1149</v>
      </c>
      <c r="D2320" s="14" t="s">
        <v>475</v>
      </c>
      <c r="E2320" s="14" t="s">
        <v>3047</v>
      </c>
      <c r="G2320" s="15" t="s">
        <v>1165</v>
      </c>
      <c r="H2320" s="14" t="s">
        <v>1165</v>
      </c>
      <c r="I2320" s="14" t="s">
        <v>3033</v>
      </c>
      <c r="M2320" s="14" t="s">
        <v>3034</v>
      </c>
      <c r="O2320">
        <v>2004</v>
      </c>
      <c r="Q2320" t="s">
        <v>1329</v>
      </c>
      <c r="R2320">
        <v>14</v>
      </c>
      <c r="T2320" t="s">
        <v>3035</v>
      </c>
      <c r="U2320" s="14" t="s">
        <v>1246</v>
      </c>
      <c r="V2320" s="9" t="s">
        <v>3036</v>
      </c>
      <c r="W2320">
        <v>120</v>
      </c>
      <c r="X2320" s="9" t="s">
        <v>3039</v>
      </c>
      <c r="Z2320" s="5"/>
      <c r="AD2320" s="14" t="s">
        <v>1165</v>
      </c>
      <c r="AF2320" t="s">
        <v>1165</v>
      </c>
      <c r="AI2320" t="s">
        <v>1165</v>
      </c>
      <c r="AJ2320" s="15" t="s">
        <v>1148</v>
      </c>
      <c r="AK2320" s="15">
        <v>99.084999999999994</v>
      </c>
      <c r="AL2320" t="s">
        <v>1263</v>
      </c>
      <c r="AM2320">
        <f>100.775-99.085</f>
        <v>1.6900000000000119</v>
      </c>
      <c r="AP2320">
        <v>56</v>
      </c>
      <c r="AR2320" s="15" t="s">
        <v>1155</v>
      </c>
    </row>
    <row r="2321" spans="1:44" x14ac:dyDescent="0.2">
      <c r="A2321" t="s">
        <v>1378</v>
      </c>
      <c r="B2321" s="15" t="s">
        <v>1146</v>
      </c>
      <c r="C2321" s="15" t="s">
        <v>1149</v>
      </c>
      <c r="D2321" s="14" t="s">
        <v>475</v>
      </c>
      <c r="E2321" s="14" t="s">
        <v>3047</v>
      </c>
      <c r="G2321" s="15" t="s">
        <v>1165</v>
      </c>
      <c r="H2321" s="14" t="s">
        <v>1165</v>
      </c>
      <c r="I2321" s="14" t="s">
        <v>3033</v>
      </c>
      <c r="M2321" s="14" t="s">
        <v>3034</v>
      </c>
      <c r="O2321">
        <v>2004</v>
      </c>
      <c r="Q2321" t="s">
        <v>1329</v>
      </c>
      <c r="R2321">
        <v>14</v>
      </c>
      <c r="T2321" t="s">
        <v>3035</v>
      </c>
      <c r="U2321" s="14" t="s">
        <v>1246</v>
      </c>
      <c r="V2321" s="9" t="s">
        <v>3036</v>
      </c>
      <c r="W2321">
        <v>150</v>
      </c>
      <c r="X2321" s="9" t="s">
        <v>3039</v>
      </c>
      <c r="Z2321" s="5"/>
      <c r="AD2321" s="14" t="s">
        <v>1165</v>
      </c>
      <c r="AF2321" t="s">
        <v>1165</v>
      </c>
      <c r="AI2321" t="s">
        <v>1165</v>
      </c>
      <c r="AJ2321" s="15" t="s">
        <v>1148</v>
      </c>
      <c r="AK2321" s="15">
        <v>99.93</v>
      </c>
      <c r="AL2321" t="s">
        <v>1263</v>
      </c>
      <c r="AM2321">
        <f>101.62-99.93</f>
        <v>1.6899999999999977</v>
      </c>
      <c r="AP2321">
        <v>28</v>
      </c>
      <c r="AR2321" s="15" t="s">
        <v>1155</v>
      </c>
    </row>
    <row r="2322" spans="1:44" x14ac:dyDescent="0.2">
      <c r="A2322" t="s">
        <v>1378</v>
      </c>
      <c r="B2322" s="15" t="s">
        <v>1146</v>
      </c>
      <c r="C2322" s="15" t="s">
        <v>1149</v>
      </c>
      <c r="D2322" s="14" t="s">
        <v>475</v>
      </c>
      <c r="E2322" s="14" t="s">
        <v>3047</v>
      </c>
      <c r="G2322" s="15" t="s">
        <v>1165</v>
      </c>
      <c r="H2322" s="14" t="s">
        <v>1165</v>
      </c>
      <c r="I2322" s="14" t="s">
        <v>3033</v>
      </c>
      <c r="M2322" s="14" t="s">
        <v>3034</v>
      </c>
      <c r="O2322">
        <v>2004</v>
      </c>
      <c r="Q2322" t="s">
        <v>1329</v>
      </c>
      <c r="R2322">
        <v>14</v>
      </c>
      <c r="T2322" t="s">
        <v>3035</v>
      </c>
      <c r="U2322" s="14" t="s">
        <v>1246</v>
      </c>
      <c r="V2322" s="9" t="s">
        <v>3036</v>
      </c>
      <c r="W2322">
        <v>150</v>
      </c>
      <c r="X2322" s="9" t="s">
        <v>3039</v>
      </c>
      <c r="Z2322" s="5"/>
      <c r="AD2322" s="14" t="s">
        <v>1165</v>
      </c>
      <c r="AF2322" t="s">
        <v>1165</v>
      </c>
      <c r="AI2322" t="s">
        <v>1165</v>
      </c>
      <c r="AJ2322" s="15" t="s">
        <v>1148</v>
      </c>
      <c r="AK2322" s="15">
        <v>100</v>
      </c>
      <c r="AL2322" t="s">
        <v>1263</v>
      </c>
      <c r="AM2322">
        <f>102.887-100.775</f>
        <v>2.1119999999999948</v>
      </c>
      <c r="AP2322">
        <v>56</v>
      </c>
      <c r="AR2322" s="15" t="s">
        <v>1155</v>
      </c>
    </row>
    <row r="2323" spans="1:44" x14ac:dyDescent="0.2">
      <c r="A2323" t="s">
        <v>1378</v>
      </c>
      <c r="B2323" s="15" t="s">
        <v>1146</v>
      </c>
      <c r="C2323" s="15" t="s">
        <v>1149</v>
      </c>
      <c r="D2323" s="14" t="s">
        <v>475</v>
      </c>
      <c r="E2323" s="14" t="s">
        <v>3047</v>
      </c>
      <c r="G2323" s="15" t="s">
        <v>1165</v>
      </c>
      <c r="H2323" s="14" t="s">
        <v>1165</v>
      </c>
      <c r="I2323" s="14" t="s">
        <v>3033</v>
      </c>
      <c r="M2323" s="14" t="s">
        <v>3034</v>
      </c>
      <c r="O2323">
        <v>2004</v>
      </c>
      <c r="Q2323" t="s">
        <v>1329</v>
      </c>
      <c r="R2323">
        <v>14</v>
      </c>
      <c r="T2323" t="s">
        <v>3035</v>
      </c>
      <c r="U2323" s="14" t="s">
        <v>1246</v>
      </c>
      <c r="V2323" s="9" t="s">
        <v>3036</v>
      </c>
      <c r="W2323">
        <v>180</v>
      </c>
      <c r="X2323" s="9" t="s">
        <v>3039</v>
      </c>
      <c r="Z2323" s="5"/>
      <c r="AD2323" s="14" t="s">
        <v>1165</v>
      </c>
      <c r="AF2323" t="s">
        <v>1165</v>
      </c>
      <c r="AI2323" t="s">
        <v>1165</v>
      </c>
      <c r="AJ2323" s="15" t="s">
        <v>1148</v>
      </c>
      <c r="AK2323" s="15">
        <v>94.858999999999995</v>
      </c>
      <c r="AL2323" t="s">
        <v>1263</v>
      </c>
      <c r="AM2323">
        <f>99.507-94.859</f>
        <v>4.6480000000000103</v>
      </c>
      <c r="AP2323">
        <v>28</v>
      </c>
      <c r="AR2323" s="15" t="s">
        <v>1155</v>
      </c>
    </row>
    <row r="2324" spans="1:44" x14ac:dyDescent="0.2">
      <c r="A2324" t="s">
        <v>1378</v>
      </c>
      <c r="B2324" s="15" t="s">
        <v>1146</v>
      </c>
      <c r="C2324" s="15" t="s">
        <v>1149</v>
      </c>
      <c r="D2324" s="14" t="s">
        <v>475</v>
      </c>
      <c r="E2324" s="14" t="s">
        <v>3047</v>
      </c>
      <c r="G2324" s="15" t="s">
        <v>1165</v>
      </c>
      <c r="H2324" s="14" t="s">
        <v>1165</v>
      </c>
      <c r="I2324" s="14" t="s">
        <v>3033</v>
      </c>
      <c r="M2324" s="14" t="s">
        <v>3034</v>
      </c>
      <c r="O2324">
        <v>2004</v>
      </c>
      <c r="Q2324" t="s">
        <v>1329</v>
      </c>
      <c r="R2324">
        <v>14</v>
      </c>
      <c r="T2324" t="s">
        <v>3035</v>
      </c>
      <c r="U2324" s="14" t="s">
        <v>1246</v>
      </c>
      <c r="V2324" s="9" t="s">
        <v>3036</v>
      </c>
      <c r="W2324">
        <v>180</v>
      </c>
      <c r="X2324" s="9" t="s">
        <v>3039</v>
      </c>
      <c r="Z2324" s="5"/>
      <c r="AD2324" s="14" t="s">
        <v>1165</v>
      </c>
      <c r="AF2324" t="s">
        <v>1165</v>
      </c>
      <c r="AI2324" t="s">
        <v>1165</v>
      </c>
      <c r="AJ2324" s="15" t="s">
        <v>1148</v>
      </c>
      <c r="AK2324" s="15">
        <v>94.436999999999998</v>
      </c>
      <c r="AL2324" t="s">
        <v>1263</v>
      </c>
      <c r="AM2324">
        <f>99.507-94.437</f>
        <v>5.0700000000000074</v>
      </c>
      <c r="AP2324">
        <v>56</v>
      </c>
      <c r="AR2324" s="15" t="s">
        <v>1155</v>
      </c>
    </row>
    <row r="2325" spans="1:44" x14ac:dyDescent="0.2">
      <c r="A2325" t="s">
        <v>1378</v>
      </c>
      <c r="B2325" s="15" t="s">
        <v>1146</v>
      </c>
      <c r="C2325" s="15" t="s">
        <v>1149</v>
      </c>
      <c r="D2325" s="14" t="s">
        <v>475</v>
      </c>
      <c r="E2325" s="14" t="s">
        <v>3047</v>
      </c>
      <c r="G2325" s="15" t="s">
        <v>1165</v>
      </c>
      <c r="H2325" s="14" t="s">
        <v>1165</v>
      </c>
      <c r="I2325" s="14" t="s">
        <v>3033</v>
      </c>
      <c r="M2325" s="14" t="s">
        <v>3034</v>
      </c>
      <c r="O2325">
        <v>2004</v>
      </c>
      <c r="Q2325" t="s">
        <v>1329</v>
      </c>
      <c r="R2325">
        <v>14</v>
      </c>
      <c r="T2325" t="s">
        <v>3035</v>
      </c>
      <c r="U2325" s="14" t="s">
        <v>1246</v>
      </c>
      <c r="V2325" s="9" t="s">
        <v>3036</v>
      </c>
      <c r="W2325">
        <v>0</v>
      </c>
      <c r="X2325" s="9" t="s">
        <v>3040</v>
      </c>
      <c r="Z2325" s="5"/>
      <c r="AD2325" s="14" t="s">
        <v>1165</v>
      </c>
      <c r="AF2325" t="s">
        <v>1165</v>
      </c>
      <c r="AI2325" t="s">
        <v>1165</v>
      </c>
      <c r="AJ2325" s="15" t="s">
        <v>1148</v>
      </c>
      <c r="AK2325" s="15">
        <v>1.4379999999999999</v>
      </c>
      <c r="AL2325" t="s">
        <v>1263</v>
      </c>
      <c r="AM2325">
        <f>3.082-1.438</f>
        <v>1.6439999999999999</v>
      </c>
      <c r="AP2325">
        <v>28</v>
      </c>
      <c r="AR2325" s="15" t="s">
        <v>1155</v>
      </c>
    </row>
    <row r="2326" spans="1:44" x14ac:dyDescent="0.2">
      <c r="A2326" t="s">
        <v>1378</v>
      </c>
      <c r="B2326" s="15" t="s">
        <v>1146</v>
      </c>
      <c r="C2326" s="15" t="s">
        <v>1149</v>
      </c>
      <c r="D2326" s="14" t="s">
        <v>475</v>
      </c>
      <c r="E2326" s="14" t="s">
        <v>3047</v>
      </c>
      <c r="G2326" s="15" t="s">
        <v>1165</v>
      </c>
      <c r="H2326" s="14" t="s">
        <v>1165</v>
      </c>
      <c r="I2326" s="14" t="s">
        <v>3033</v>
      </c>
      <c r="M2326" s="14" t="s">
        <v>3034</v>
      </c>
      <c r="O2326">
        <v>2004</v>
      </c>
      <c r="Q2326" t="s">
        <v>1329</v>
      </c>
      <c r="R2326">
        <v>14</v>
      </c>
      <c r="T2326" t="s">
        <v>3035</v>
      </c>
      <c r="U2326" s="14" t="s">
        <v>1246</v>
      </c>
      <c r="V2326" s="9" t="s">
        <v>3036</v>
      </c>
      <c r="W2326">
        <v>0</v>
      </c>
      <c r="X2326" s="9" t="s">
        <v>3040</v>
      </c>
      <c r="Z2326" s="5"/>
      <c r="AD2326" s="14" t="s">
        <v>1165</v>
      </c>
      <c r="AF2326" t="s">
        <v>1165</v>
      </c>
      <c r="AI2326" t="s">
        <v>1165</v>
      </c>
      <c r="AJ2326" s="15" t="s">
        <v>1148</v>
      </c>
      <c r="AK2326" s="15">
        <v>12.534000000000001</v>
      </c>
      <c r="AL2326" t="s">
        <v>1263</v>
      </c>
      <c r="AM2326">
        <f>16.233-12.534</f>
        <v>3.6989999999999998</v>
      </c>
      <c r="AP2326">
        <v>56</v>
      </c>
      <c r="AR2326" s="15" t="s">
        <v>1155</v>
      </c>
    </row>
    <row r="2327" spans="1:44" x14ac:dyDescent="0.2">
      <c r="A2327" t="s">
        <v>1378</v>
      </c>
      <c r="B2327" s="15" t="s">
        <v>1146</v>
      </c>
      <c r="C2327" s="15" t="s">
        <v>1149</v>
      </c>
      <c r="D2327" s="14" t="s">
        <v>475</v>
      </c>
      <c r="E2327" s="14" t="s">
        <v>3047</v>
      </c>
      <c r="G2327" s="15" t="s">
        <v>1165</v>
      </c>
      <c r="H2327" s="14" t="s">
        <v>1165</v>
      </c>
      <c r="I2327" s="14" t="s">
        <v>3033</v>
      </c>
      <c r="M2327" s="14" t="s">
        <v>3034</v>
      </c>
      <c r="O2327">
        <v>2004</v>
      </c>
      <c r="Q2327" t="s">
        <v>1329</v>
      </c>
      <c r="R2327">
        <v>14</v>
      </c>
      <c r="T2327" t="s">
        <v>3035</v>
      </c>
      <c r="U2327" s="14" t="s">
        <v>1246</v>
      </c>
      <c r="V2327" s="9" t="s">
        <v>3036</v>
      </c>
      <c r="W2327">
        <v>15</v>
      </c>
      <c r="X2327" s="9" t="s">
        <v>3040</v>
      </c>
      <c r="Z2327" s="5"/>
      <c r="AD2327" s="14" t="s">
        <v>1165</v>
      </c>
      <c r="AF2327" t="s">
        <v>1165</v>
      </c>
      <c r="AI2327" t="s">
        <v>1165</v>
      </c>
      <c r="AJ2327" s="15" t="s">
        <v>1148</v>
      </c>
      <c r="AK2327" s="15">
        <v>17.055</v>
      </c>
      <c r="AL2327" t="s">
        <v>1263</v>
      </c>
      <c r="AM2327">
        <f>19.521-17.055</f>
        <v>2.4660000000000011</v>
      </c>
      <c r="AP2327">
        <v>28</v>
      </c>
      <c r="AR2327" s="15" t="s">
        <v>1155</v>
      </c>
    </row>
    <row r="2328" spans="1:44" x14ac:dyDescent="0.2">
      <c r="A2328" t="s">
        <v>1378</v>
      </c>
      <c r="B2328" s="15" t="s">
        <v>1146</v>
      </c>
      <c r="C2328" s="15" t="s">
        <v>1149</v>
      </c>
      <c r="D2328" s="14" t="s">
        <v>475</v>
      </c>
      <c r="E2328" s="14" t="s">
        <v>3047</v>
      </c>
      <c r="G2328" s="15" t="s">
        <v>1165</v>
      </c>
      <c r="H2328" s="14" t="s">
        <v>1165</v>
      </c>
      <c r="I2328" s="14" t="s">
        <v>3033</v>
      </c>
      <c r="M2328" s="14" t="s">
        <v>3034</v>
      </c>
      <c r="O2328">
        <v>2004</v>
      </c>
      <c r="Q2328" t="s">
        <v>1329</v>
      </c>
      <c r="R2328">
        <v>14</v>
      </c>
      <c r="T2328" t="s">
        <v>3035</v>
      </c>
      <c r="U2328" s="14" t="s">
        <v>1246</v>
      </c>
      <c r="V2328" s="9" t="s">
        <v>3036</v>
      </c>
      <c r="W2328">
        <v>15</v>
      </c>
      <c r="X2328" s="9" t="s">
        <v>3040</v>
      </c>
      <c r="Z2328" s="5"/>
      <c r="AD2328" s="14" t="s">
        <v>1165</v>
      </c>
      <c r="AF2328" t="s">
        <v>1165</v>
      </c>
      <c r="AI2328" t="s">
        <v>1165</v>
      </c>
      <c r="AJ2328" s="15" t="s">
        <v>1148</v>
      </c>
      <c r="AK2328" s="15">
        <v>43.767000000000003</v>
      </c>
      <c r="AL2328" t="s">
        <v>1263</v>
      </c>
      <c r="AM2328">
        <f>47.466-43.767</f>
        <v>3.6989999999999981</v>
      </c>
      <c r="AP2328">
        <v>56</v>
      </c>
      <c r="AR2328" s="15" t="s">
        <v>1155</v>
      </c>
    </row>
    <row r="2329" spans="1:44" x14ac:dyDescent="0.2">
      <c r="A2329" t="s">
        <v>1378</v>
      </c>
      <c r="B2329" s="15" t="s">
        <v>1146</v>
      </c>
      <c r="C2329" s="15" t="s">
        <v>1149</v>
      </c>
      <c r="D2329" s="14" t="s">
        <v>475</v>
      </c>
      <c r="E2329" s="14" t="s">
        <v>3047</v>
      </c>
      <c r="G2329" s="15" t="s">
        <v>1165</v>
      </c>
      <c r="H2329" s="14" t="s">
        <v>1165</v>
      </c>
      <c r="I2329" s="14" t="s">
        <v>3033</v>
      </c>
      <c r="M2329" s="14" t="s">
        <v>3034</v>
      </c>
      <c r="O2329">
        <v>2004</v>
      </c>
      <c r="Q2329" t="s">
        <v>1329</v>
      </c>
      <c r="R2329">
        <v>14</v>
      </c>
      <c r="T2329" t="s">
        <v>3035</v>
      </c>
      <c r="U2329" s="14" t="s">
        <v>1246</v>
      </c>
      <c r="V2329" s="9" t="s">
        <v>3036</v>
      </c>
      <c r="W2329">
        <v>30</v>
      </c>
      <c r="X2329" s="9" t="s">
        <v>3040</v>
      </c>
      <c r="Z2329" s="5"/>
      <c r="AD2329" s="14" t="s">
        <v>1165</v>
      </c>
      <c r="AF2329" t="s">
        <v>1165</v>
      </c>
      <c r="AI2329" t="s">
        <v>1165</v>
      </c>
      <c r="AJ2329" s="15" t="s">
        <v>1148</v>
      </c>
      <c r="AK2329" s="15">
        <v>28.562000000000001</v>
      </c>
      <c r="AL2329" t="s">
        <v>1263</v>
      </c>
      <c r="AM2329">
        <f>33.493-28.562</f>
        <v>4.9310000000000009</v>
      </c>
      <c r="AP2329">
        <v>28</v>
      </c>
      <c r="AR2329" s="15" t="s">
        <v>1155</v>
      </c>
    </row>
    <row r="2330" spans="1:44" x14ac:dyDescent="0.2">
      <c r="A2330" t="s">
        <v>1378</v>
      </c>
      <c r="B2330" s="15" t="s">
        <v>1146</v>
      </c>
      <c r="C2330" s="15" t="s">
        <v>1149</v>
      </c>
      <c r="D2330" s="14" t="s">
        <v>475</v>
      </c>
      <c r="E2330" s="14" t="s">
        <v>3047</v>
      </c>
      <c r="G2330" s="15" t="s">
        <v>1165</v>
      </c>
      <c r="H2330" s="14" t="s">
        <v>1165</v>
      </c>
      <c r="I2330" s="14" t="s">
        <v>3033</v>
      </c>
      <c r="M2330" s="14" t="s">
        <v>3034</v>
      </c>
      <c r="O2330">
        <v>2004</v>
      </c>
      <c r="Q2330" t="s">
        <v>1329</v>
      </c>
      <c r="R2330">
        <v>14</v>
      </c>
      <c r="T2330" t="s">
        <v>3035</v>
      </c>
      <c r="U2330" s="14" t="s">
        <v>1246</v>
      </c>
      <c r="V2330" s="9" t="s">
        <v>3036</v>
      </c>
      <c r="W2330">
        <v>30</v>
      </c>
      <c r="X2330" s="9" t="s">
        <v>3040</v>
      </c>
      <c r="Z2330" s="5"/>
      <c r="AD2330" s="14" t="s">
        <v>1165</v>
      </c>
      <c r="AF2330" t="s">
        <v>1165</v>
      </c>
      <c r="AI2330" t="s">
        <v>1165</v>
      </c>
      <c r="AJ2330" s="15" t="s">
        <v>1148</v>
      </c>
      <c r="AK2330" s="15">
        <v>87.328999999999994</v>
      </c>
      <c r="AL2330" t="s">
        <v>1263</v>
      </c>
      <c r="AM2330">
        <f>96.37-87.329</f>
        <v>9.041000000000011</v>
      </c>
      <c r="AP2330">
        <v>56</v>
      </c>
      <c r="AR2330" s="15" t="s">
        <v>1155</v>
      </c>
    </row>
    <row r="2331" spans="1:44" x14ac:dyDescent="0.2">
      <c r="A2331" t="s">
        <v>1378</v>
      </c>
      <c r="B2331" s="15" t="s">
        <v>1146</v>
      </c>
      <c r="C2331" s="15" t="s">
        <v>1149</v>
      </c>
      <c r="D2331" s="14" t="s">
        <v>475</v>
      </c>
      <c r="E2331" s="14" t="s">
        <v>3047</v>
      </c>
      <c r="G2331" s="15" t="s">
        <v>1165</v>
      </c>
      <c r="H2331" s="14" t="s">
        <v>1165</v>
      </c>
      <c r="I2331" s="14" t="s">
        <v>3033</v>
      </c>
      <c r="M2331" s="14" t="s">
        <v>3034</v>
      </c>
      <c r="O2331">
        <v>2004</v>
      </c>
      <c r="Q2331" t="s">
        <v>1329</v>
      </c>
      <c r="R2331">
        <v>14</v>
      </c>
      <c r="T2331" t="s">
        <v>3035</v>
      </c>
      <c r="U2331" s="14" t="s">
        <v>1246</v>
      </c>
      <c r="V2331" s="9" t="s">
        <v>3036</v>
      </c>
      <c r="W2331">
        <v>60</v>
      </c>
      <c r="X2331" s="9" t="s">
        <v>3040</v>
      </c>
      <c r="Z2331" s="5"/>
      <c r="AD2331" s="14" t="s">
        <v>1165</v>
      </c>
      <c r="AF2331" t="s">
        <v>1165</v>
      </c>
      <c r="AI2331" t="s">
        <v>1165</v>
      </c>
      <c r="AJ2331" s="15" t="s">
        <v>1148</v>
      </c>
      <c r="AK2331" s="15">
        <v>43.767000000000003</v>
      </c>
      <c r="AL2331" t="s">
        <v>1263</v>
      </c>
      <c r="AM2331">
        <f>46.644-43.767</f>
        <v>2.8769999999999953</v>
      </c>
      <c r="AP2331">
        <v>28</v>
      </c>
      <c r="AR2331" s="15" t="s">
        <v>1155</v>
      </c>
    </row>
    <row r="2332" spans="1:44" x14ac:dyDescent="0.2">
      <c r="A2332" t="s">
        <v>1378</v>
      </c>
      <c r="B2332" s="15" t="s">
        <v>1146</v>
      </c>
      <c r="C2332" s="15" t="s">
        <v>1149</v>
      </c>
      <c r="D2332" s="14" t="s">
        <v>475</v>
      </c>
      <c r="E2332" s="14" t="s">
        <v>3047</v>
      </c>
      <c r="G2332" s="15" t="s">
        <v>1165</v>
      </c>
      <c r="H2332" s="14" t="s">
        <v>1165</v>
      </c>
      <c r="I2332" s="14" t="s">
        <v>3033</v>
      </c>
      <c r="M2332" s="14" t="s">
        <v>3034</v>
      </c>
      <c r="O2332">
        <v>2004</v>
      </c>
      <c r="Q2332" t="s">
        <v>1329</v>
      </c>
      <c r="R2332">
        <v>14</v>
      </c>
      <c r="T2332" t="s">
        <v>3035</v>
      </c>
      <c r="U2332" s="14" t="s">
        <v>1246</v>
      </c>
      <c r="V2332" s="9" t="s">
        <v>3036</v>
      </c>
      <c r="W2332">
        <v>60</v>
      </c>
      <c r="X2332" s="9" t="s">
        <v>3040</v>
      </c>
      <c r="Z2332" s="5"/>
      <c r="AD2332" s="14" t="s">
        <v>1165</v>
      </c>
      <c r="AF2332" t="s">
        <v>1165</v>
      </c>
      <c r="AI2332" t="s">
        <v>1165</v>
      </c>
      <c r="AJ2332" s="15" t="s">
        <v>1148</v>
      </c>
      <c r="AK2332" s="15">
        <v>86.096000000000004</v>
      </c>
      <c r="AL2332" t="s">
        <v>1263</v>
      </c>
      <c r="AM2332">
        <f>89.795-86.096</f>
        <v>3.6989999999999981</v>
      </c>
      <c r="AP2332">
        <v>56</v>
      </c>
      <c r="AR2332" s="15" t="s">
        <v>1155</v>
      </c>
    </row>
    <row r="2333" spans="1:44" x14ac:dyDescent="0.2">
      <c r="A2333" t="s">
        <v>1378</v>
      </c>
      <c r="B2333" s="15" t="s">
        <v>1146</v>
      </c>
      <c r="C2333" s="15" t="s">
        <v>1149</v>
      </c>
      <c r="D2333" s="14" t="s">
        <v>475</v>
      </c>
      <c r="E2333" s="14" t="s">
        <v>3047</v>
      </c>
      <c r="G2333" s="15" t="s">
        <v>1165</v>
      </c>
      <c r="H2333" s="14" t="s">
        <v>1165</v>
      </c>
      <c r="I2333" s="14" t="s">
        <v>3033</v>
      </c>
      <c r="M2333" s="14" t="s">
        <v>3034</v>
      </c>
      <c r="O2333">
        <v>2004</v>
      </c>
      <c r="Q2333" t="s">
        <v>1329</v>
      </c>
      <c r="R2333">
        <v>14</v>
      </c>
      <c r="T2333" t="s">
        <v>3035</v>
      </c>
      <c r="U2333" s="14" t="s">
        <v>1246</v>
      </c>
      <c r="V2333" s="9" t="s">
        <v>3036</v>
      </c>
      <c r="W2333">
        <v>90</v>
      </c>
      <c r="X2333" s="9" t="s">
        <v>3040</v>
      </c>
      <c r="Z2333" s="5"/>
      <c r="AD2333" s="14" t="s">
        <v>1165</v>
      </c>
      <c r="AF2333" t="s">
        <v>1165</v>
      </c>
      <c r="AI2333" t="s">
        <v>1165</v>
      </c>
      <c r="AJ2333" s="15" t="s">
        <v>1148</v>
      </c>
      <c r="AK2333" s="15">
        <v>58.561999999999998</v>
      </c>
      <c r="AL2333" t="s">
        <v>1263</v>
      </c>
      <c r="AM2333">
        <f>64.726-58.562</f>
        <v>6.1640000000000015</v>
      </c>
      <c r="AP2333">
        <v>28</v>
      </c>
      <c r="AR2333" s="15" t="s">
        <v>1155</v>
      </c>
    </row>
    <row r="2334" spans="1:44" x14ac:dyDescent="0.2">
      <c r="A2334" t="s">
        <v>1378</v>
      </c>
      <c r="B2334" s="15" t="s">
        <v>1146</v>
      </c>
      <c r="C2334" s="15" t="s">
        <v>1149</v>
      </c>
      <c r="D2334" s="14" t="s">
        <v>475</v>
      </c>
      <c r="E2334" s="14" t="s">
        <v>3047</v>
      </c>
      <c r="G2334" s="15" t="s">
        <v>1165</v>
      </c>
      <c r="H2334" s="14" t="s">
        <v>1165</v>
      </c>
      <c r="I2334" s="14" t="s">
        <v>3033</v>
      </c>
      <c r="M2334" s="14" t="s">
        <v>3034</v>
      </c>
      <c r="O2334">
        <v>2004</v>
      </c>
      <c r="Q2334" t="s">
        <v>1329</v>
      </c>
      <c r="R2334">
        <v>14</v>
      </c>
      <c r="T2334" t="s">
        <v>3035</v>
      </c>
      <c r="U2334" s="14" t="s">
        <v>1246</v>
      </c>
      <c r="V2334" s="9" t="s">
        <v>3036</v>
      </c>
      <c r="W2334">
        <v>90</v>
      </c>
      <c r="X2334" s="9" t="s">
        <v>3040</v>
      </c>
      <c r="Z2334" s="5"/>
      <c r="AD2334" s="14" t="s">
        <v>1165</v>
      </c>
      <c r="AF2334" t="s">
        <v>1165</v>
      </c>
      <c r="AI2334" t="s">
        <v>1165</v>
      </c>
      <c r="AJ2334" s="15" t="s">
        <v>1148</v>
      </c>
      <c r="AK2334" s="15">
        <v>89.795000000000002</v>
      </c>
      <c r="AL2334" t="s">
        <v>1263</v>
      </c>
      <c r="AM2334">
        <f>92.26-89.795</f>
        <v>2.4650000000000034</v>
      </c>
      <c r="AP2334">
        <v>56</v>
      </c>
      <c r="AR2334" s="15" t="s">
        <v>1155</v>
      </c>
    </row>
    <row r="2335" spans="1:44" x14ac:dyDescent="0.2">
      <c r="A2335" t="s">
        <v>1378</v>
      </c>
      <c r="B2335" s="15" t="s">
        <v>1146</v>
      </c>
      <c r="C2335" s="15" t="s">
        <v>1149</v>
      </c>
      <c r="D2335" s="14" t="s">
        <v>475</v>
      </c>
      <c r="E2335" s="14" t="s">
        <v>3047</v>
      </c>
      <c r="G2335" s="15" t="s">
        <v>1165</v>
      </c>
      <c r="H2335" s="14" t="s">
        <v>1165</v>
      </c>
      <c r="I2335" s="14" t="s">
        <v>3033</v>
      </c>
      <c r="M2335" s="14" t="s">
        <v>3034</v>
      </c>
      <c r="O2335">
        <v>2004</v>
      </c>
      <c r="Q2335" t="s">
        <v>1329</v>
      </c>
      <c r="R2335">
        <v>14</v>
      </c>
      <c r="T2335" t="s">
        <v>3035</v>
      </c>
      <c r="U2335" s="14" t="s">
        <v>1246</v>
      </c>
      <c r="V2335" s="9" t="s">
        <v>3036</v>
      </c>
      <c r="W2335">
        <v>120</v>
      </c>
      <c r="X2335" s="9" t="s">
        <v>3040</v>
      </c>
      <c r="Z2335" s="5"/>
      <c r="AD2335" s="14" t="s">
        <v>1165</v>
      </c>
      <c r="AF2335" t="s">
        <v>1165</v>
      </c>
      <c r="AI2335" t="s">
        <v>1165</v>
      </c>
      <c r="AJ2335" s="15" t="s">
        <v>1148</v>
      </c>
      <c r="AK2335" s="15">
        <v>72.534000000000006</v>
      </c>
      <c r="AL2335" t="s">
        <v>1263</v>
      </c>
      <c r="AM2335">
        <f>79.932-72.534</f>
        <v>7.3979999999999961</v>
      </c>
      <c r="AP2335">
        <v>28</v>
      </c>
      <c r="AR2335" s="15" t="s">
        <v>1155</v>
      </c>
    </row>
    <row r="2336" spans="1:44" x14ac:dyDescent="0.2">
      <c r="A2336" t="s">
        <v>1378</v>
      </c>
      <c r="B2336" s="15" t="s">
        <v>1146</v>
      </c>
      <c r="C2336" s="15" t="s">
        <v>1149</v>
      </c>
      <c r="D2336" s="14" t="s">
        <v>475</v>
      </c>
      <c r="E2336" s="14" t="s">
        <v>3047</v>
      </c>
      <c r="G2336" s="15" t="s">
        <v>1165</v>
      </c>
      <c r="H2336" s="14" t="s">
        <v>1165</v>
      </c>
      <c r="I2336" s="14" t="s">
        <v>3033</v>
      </c>
      <c r="M2336" s="14" t="s">
        <v>3034</v>
      </c>
      <c r="O2336">
        <v>2004</v>
      </c>
      <c r="Q2336" t="s">
        <v>1329</v>
      </c>
      <c r="R2336">
        <v>14</v>
      </c>
      <c r="T2336" t="s">
        <v>3035</v>
      </c>
      <c r="U2336" s="14" t="s">
        <v>1246</v>
      </c>
      <c r="V2336" s="9" t="s">
        <v>3036</v>
      </c>
      <c r="W2336">
        <v>120</v>
      </c>
      <c r="X2336" s="9" t="s">
        <v>3040</v>
      </c>
      <c r="Z2336" s="5"/>
      <c r="AD2336" s="14" t="s">
        <v>1165</v>
      </c>
      <c r="AF2336" t="s">
        <v>1165</v>
      </c>
      <c r="AI2336" t="s">
        <v>1165</v>
      </c>
      <c r="AJ2336" s="15" t="s">
        <v>1148</v>
      </c>
      <c r="AK2336" s="15">
        <v>96.37</v>
      </c>
      <c r="AL2336" t="s">
        <v>1263</v>
      </c>
      <c r="AM2336">
        <f>100.068-96.37</f>
        <v>3.6979999999999933</v>
      </c>
      <c r="AP2336">
        <v>56</v>
      </c>
      <c r="AR2336" s="15" t="s">
        <v>1155</v>
      </c>
    </row>
    <row r="2337" spans="1:44" x14ac:dyDescent="0.2">
      <c r="A2337" t="s">
        <v>1378</v>
      </c>
      <c r="B2337" s="15" t="s">
        <v>1146</v>
      </c>
      <c r="C2337" s="15" t="s">
        <v>1149</v>
      </c>
      <c r="D2337" s="14" t="s">
        <v>475</v>
      </c>
      <c r="E2337" s="14" t="s">
        <v>3047</v>
      </c>
      <c r="G2337" s="15" t="s">
        <v>1165</v>
      </c>
      <c r="H2337" s="14" t="s">
        <v>1165</v>
      </c>
      <c r="I2337" s="14" t="s">
        <v>3033</v>
      </c>
      <c r="M2337" s="14" t="s">
        <v>3034</v>
      </c>
      <c r="O2337">
        <v>2004</v>
      </c>
      <c r="Q2337" t="s">
        <v>1329</v>
      </c>
      <c r="R2337">
        <v>14</v>
      </c>
      <c r="T2337" t="s">
        <v>3035</v>
      </c>
      <c r="U2337" s="14" t="s">
        <v>1246</v>
      </c>
      <c r="V2337" s="9" t="s">
        <v>3036</v>
      </c>
      <c r="W2337">
        <v>150</v>
      </c>
      <c r="X2337" s="9" t="s">
        <v>3040</v>
      </c>
      <c r="Z2337" s="5"/>
      <c r="AD2337" s="14" t="s">
        <v>1165</v>
      </c>
      <c r="AF2337" t="s">
        <v>1165</v>
      </c>
      <c r="AI2337" t="s">
        <v>1165</v>
      </c>
      <c r="AJ2337" s="15" t="s">
        <v>1148</v>
      </c>
      <c r="AK2337" s="15">
        <v>70.478999999999999</v>
      </c>
      <c r="AL2337" t="s">
        <v>1263</v>
      </c>
      <c r="AM2337">
        <f>73.767-70.479</f>
        <v>3.2879999999999967</v>
      </c>
      <c r="AP2337">
        <v>28</v>
      </c>
      <c r="AR2337" s="15" t="s">
        <v>1155</v>
      </c>
    </row>
    <row r="2338" spans="1:44" x14ac:dyDescent="0.2">
      <c r="A2338" t="s">
        <v>1378</v>
      </c>
      <c r="B2338" s="15" t="s">
        <v>1146</v>
      </c>
      <c r="C2338" s="15" t="s">
        <v>1149</v>
      </c>
      <c r="D2338" s="14" t="s">
        <v>475</v>
      </c>
      <c r="E2338" s="14" t="s">
        <v>3047</v>
      </c>
      <c r="G2338" s="15" t="s">
        <v>1165</v>
      </c>
      <c r="H2338" s="14" t="s">
        <v>1165</v>
      </c>
      <c r="I2338" s="14" t="s">
        <v>3033</v>
      </c>
      <c r="M2338" s="14" t="s">
        <v>3034</v>
      </c>
      <c r="O2338">
        <v>2004</v>
      </c>
      <c r="Q2338" t="s">
        <v>1329</v>
      </c>
      <c r="R2338">
        <v>14</v>
      </c>
      <c r="T2338" t="s">
        <v>3035</v>
      </c>
      <c r="U2338" s="14" t="s">
        <v>1246</v>
      </c>
      <c r="V2338" s="9" t="s">
        <v>3036</v>
      </c>
      <c r="W2338">
        <v>150</v>
      </c>
      <c r="X2338" s="9" t="s">
        <v>3040</v>
      </c>
      <c r="Z2338" s="5"/>
      <c r="AD2338" s="14" t="s">
        <v>1165</v>
      </c>
      <c r="AF2338" t="s">
        <v>1165</v>
      </c>
      <c r="AI2338" t="s">
        <v>1165</v>
      </c>
      <c r="AJ2338" s="15" t="s">
        <v>1148</v>
      </c>
      <c r="AK2338" s="15">
        <v>89.795000000000002</v>
      </c>
      <c r="AL2338" t="s">
        <v>1263</v>
      </c>
      <c r="AM2338">
        <f>93.904-89.795</f>
        <v>4.1089999999999947</v>
      </c>
      <c r="AP2338">
        <v>56</v>
      </c>
      <c r="AR2338" s="15" t="s">
        <v>1155</v>
      </c>
    </row>
    <row r="2339" spans="1:44" x14ac:dyDescent="0.2">
      <c r="A2339" t="s">
        <v>1378</v>
      </c>
      <c r="B2339" s="15" t="s">
        <v>1146</v>
      </c>
      <c r="C2339" s="15" t="s">
        <v>1149</v>
      </c>
      <c r="D2339" s="14" t="s">
        <v>475</v>
      </c>
      <c r="E2339" s="14" t="s">
        <v>3047</v>
      </c>
      <c r="G2339" s="15" t="s">
        <v>1165</v>
      </c>
      <c r="H2339" s="14" t="s">
        <v>1165</v>
      </c>
      <c r="I2339" s="14" t="s">
        <v>3033</v>
      </c>
      <c r="M2339" s="14" t="s">
        <v>3034</v>
      </c>
      <c r="O2339">
        <v>2004</v>
      </c>
      <c r="Q2339" t="s">
        <v>1329</v>
      </c>
      <c r="R2339">
        <v>14</v>
      </c>
      <c r="T2339" t="s">
        <v>3035</v>
      </c>
      <c r="U2339" s="14" t="s">
        <v>1246</v>
      </c>
      <c r="V2339" s="9" t="s">
        <v>3036</v>
      </c>
      <c r="W2339">
        <v>180</v>
      </c>
      <c r="X2339" s="9" t="s">
        <v>3040</v>
      </c>
      <c r="Z2339" s="5"/>
      <c r="AD2339" s="14" t="s">
        <v>1165</v>
      </c>
      <c r="AF2339" t="s">
        <v>1165</v>
      </c>
      <c r="AI2339" t="s">
        <v>1165</v>
      </c>
      <c r="AJ2339" s="15" t="s">
        <v>1148</v>
      </c>
      <c r="AK2339" s="15">
        <v>71.301000000000002</v>
      </c>
      <c r="AL2339" t="s">
        <v>1263</v>
      </c>
      <c r="AM2339">
        <f>80.753-71.301</f>
        <v>9.4519999999999982</v>
      </c>
      <c r="AP2339">
        <v>28</v>
      </c>
      <c r="AR2339" s="15" t="s">
        <v>1155</v>
      </c>
    </row>
    <row r="2340" spans="1:44" x14ac:dyDescent="0.2">
      <c r="A2340" t="s">
        <v>1378</v>
      </c>
      <c r="B2340" s="15" t="s">
        <v>1146</v>
      </c>
      <c r="C2340" s="15" t="s">
        <v>1149</v>
      </c>
      <c r="D2340" s="14" t="s">
        <v>475</v>
      </c>
      <c r="E2340" s="14" t="s">
        <v>3047</v>
      </c>
      <c r="G2340" s="15" t="s">
        <v>1165</v>
      </c>
      <c r="H2340" s="14" t="s">
        <v>1165</v>
      </c>
      <c r="I2340" s="14" t="s">
        <v>3033</v>
      </c>
      <c r="M2340" s="14" t="s">
        <v>3034</v>
      </c>
      <c r="O2340">
        <v>2004</v>
      </c>
      <c r="Q2340" t="s">
        <v>1329</v>
      </c>
      <c r="R2340">
        <v>14</v>
      </c>
      <c r="T2340" t="s">
        <v>3035</v>
      </c>
      <c r="U2340" s="14" t="s">
        <v>1246</v>
      </c>
      <c r="V2340" s="9" t="s">
        <v>3036</v>
      </c>
      <c r="W2340">
        <v>180</v>
      </c>
      <c r="X2340" s="9" t="s">
        <v>3040</v>
      </c>
      <c r="Z2340" s="5"/>
      <c r="AD2340" s="14" t="s">
        <v>1165</v>
      </c>
      <c r="AF2340" t="s">
        <v>1165</v>
      </c>
      <c r="AI2340" t="s">
        <v>1165</v>
      </c>
      <c r="AJ2340" s="15" t="s">
        <v>1148</v>
      </c>
      <c r="AK2340" s="15">
        <v>90.616</v>
      </c>
      <c r="AL2340" t="s">
        <v>1263</v>
      </c>
      <c r="AM2340">
        <f>99.658-90.616</f>
        <v>9.0420000000000016</v>
      </c>
      <c r="AP2340">
        <v>56</v>
      </c>
      <c r="AR2340" s="15" t="s">
        <v>1155</v>
      </c>
    </row>
    <row r="2341" spans="1:44" x14ac:dyDescent="0.2">
      <c r="A2341" t="s">
        <v>1378</v>
      </c>
      <c r="B2341" s="15" t="s">
        <v>1146</v>
      </c>
      <c r="C2341" s="15" t="s">
        <v>1149</v>
      </c>
      <c r="D2341" s="14" t="s">
        <v>475</v>
      </c>
      <c r="E2341" s="14" t="s">
        <v>3048</v>
      </c>
      <c r="G2341" s="15" t="s">
        <v>1165</v>
      </c>
      <c r="H2341" s="14" t="s">
        <v>1165</v>
      </c>
      <c r="I2341" s="14" t="s">
        <v>3033</v>
      </c>
      <c r="M2341" s="14" t="s">
        <v>3034</v>
      </c>
      <c r="O2341">
        <v>2004</v>
      </c>
      <c r="Q2341" t="s">
        <v>1329</v>
      </c>
      <c r="R2341">
        <v>14</v>
      </c>
      <c r="T2341" t="s">
        <v>3035</v>
      </c>
      <c r="U2341" s="14" t="s">
        <v>1246</v>
      </c>
      <c r="V2341" s="9" t="s">
        <v>3036</v>
      </c>
      <c r="W2341">
        <v>0</v>
      </c>
      <c r="X2341" s="9" t="s">
        <v>3037</v>
      </c>
      <c r="Z2341" s="5"/>
      <c r="AD2341" s="14" t="s">
        <v>1165</v>
      </c>
      <c r="AF2341" t="s">
        <v>1165</v>
      </c>
      <c r="AI2341" t="s">
        <v>1165</v>
      </c>
      <c r="AJ2341" s="15" t="s">
        <v>1148</v>
      </c>
      <c r="AK2341" s="15">
        <v>0</v>
      </c>
      <c r="AL2341" t="s">
        <v>1263</v>
      </c>
      <c r="AM2341">
        <v>0</v>
      </c>
      <c r="AP2341">
        <v>28</v>
      </c>
      <c r="AR2341" s="15" t="s">
        <v>1155</v>
      </c>
    </row>
    <row r="2342" spans="1:44" x14ac:dyDescent="0.2">
      <c r="A2342" t="s">
        <v>1378</v>
      </c>
      <c r="B2342" s="15" t="s">
        <v>1146</v>
      </c>
      <c r="C2342" s="15" t="s">
        <v>1149</v>
      </c>
      <c r="D2342" s="14" t="s">
        <v>475</v>
      </c>
      <c r="E2342" s="14" t="s">
        <v>3048</v>
      </c>
      <c r="G2342" s="15" t="s">
        <v>1165</v>
      </c>
      <c r="H2342" s="14" t="s">
        <v>1165</v>
      </c>
      <c r="I2342" s="14" t="s">
        <v>3033</v>
      </c>
      <c r="M2342" s="14" t="s">
        <v>3034</v>
      </c>
      <c r="O2342">
        <v>2004</v>
      </c>
      <c r="Q2342" t="s">
        <v>1329</v>
      </c>
      <c r="R2342">
        <v>14</v>
      </c>
      <c r="T2342" t="s">
        <v>3035</v>
      </c>
      <c r="U2342" s="14" t="s">
        <v>1246</v>
      </c>
      <c r="V2342" s="9" t="s">
        <v>3036</v>
      </c>
      <c r="W2342">
        <v>0</v>
      </c>
      <c r="X2342" s="9" t="s">
        <v>3037</v>
      </c>
      <c r="Z2342" s="5"/>
      <c r="AD2342" s="14" t="s">
        <v>1165</v>
      </c>
      <c r="AF2342" t="s">
        <v>1165</v>
      </c>
      <c r="AI2342" t="s">
        <v>1165</v>
      </c>
      <c r="AJ2342" s="15" t="s">
        <v>1148</v>
      </c>
      <c r="AK2342" s="15">
        <v>0</v>
      </c>
      <c r="AL2342" t="s">
        <v>1263</v>
      </c>
      <c r="AM2342">
        <v>0</v>
      </c>
      <c r="AP2342">
        <v>56</v>
      </c>
      <c r="AR2342" s="15" t="s">
        <v>1155</v>
      </c>
    </row>
    <row r="2343" spans="1:44" x14ac:dyDescent="0.2">
      <c r="A2343" t="s">
        <v>1378</v>
      </c>
      <c r="B2343" s="15" t="s">
        <v>1146</v>
      </c>
      <c r="C2343" s="15" t="s">
        <v>1149</v>
      </c>
      <c r="D2343" s="14" t="s">
        <v>475</v>
      </c>
      <c r="E2343" s="14" t="s">
        <v>3048</v>
      </c>
      <c r="G2343" s="15" t="s">
        <v>1165</v>
      </c>
      <c r="H2343" s="14" t="s">
        <v>1165</v>
      </c>
      <c r="I2343" s="14" t="s">
        <v>3033</v>
      </c>
      <c r="M2343" s="14" t="s">
        <v>3034</v>
      </c>
      <c r="O2343">
        <v>2004</v>
      </c>
      <c r="Q2343" t="s">
        <v>1329</v>
      </c>
      <c r="R2343">
        <v>14</v>
      </c>
      <c r="T2343" t="s">
        <v>3035</v>
      </c>
      <c r="U2343" s="14" t="s">
        <v>1246</v>
      </c>
      <c r="V2343" s="9" t="s">
        <v>3036</v>
      </c>
      <c r="W2343">
        <v>15</v>
      </c>
      <c r="X2343" s="9" t="s">
        <v>3037</v>
      </c>
      <c r="Z2343" s="5"/>
      <c r="AD2343" s="14" t="s">
        <v>1165</v>
      </c>
      <c r="AF2343" t="s">
        <v>1165</v>
      </c>
      <c r="AI2343" t="s">
        <v>1165</v>
      </c>
      <c r="AJ2343" s="15" t="s">
        <v>1148</v>
      </c>
      <c r="AK2343" s="15">
        <v>6.2939999999999996</v>
      </c>
      <c r="AL2343" t="s">
        <v>1263</v>
      </c>
      <c r="AM2343">
        <f>11.119-6.294</f>
        <v>4.8250000000000002</v>
      </c>
      <c r="AP2343">
        <v>28</v>
      </c>
      <c r="AR2343" s="15" t="s">
        <v>1155</v>
      </c>
    </row>
    <row r="2344" spans="1:44" x14ac:dyDescent="0.2">
      <c r="A2344" t="s">
        <v>1378</v>
      </c>
      <c r="B2344" s="15" t="s">
        <v>1146</v>
      </c>
      <c r="C2344" s="15" t="s">
        <v>1149</v>
      </c>
      <c r="D2344" s="14" t="s">
        <v>475</v>
      </c>
      <c r="E2344" s="14" t="s">
        <v>3048</v>
      </c>
      <c r="G2344" s="15" t="s">
        <v>1165</v>
      </c>
      <c r="H2344" s="14" t="s">
        <v>1165</v>
      </c>
      <c r="I2344" s="14" t="s">
        <v>3033</v>
      </c>
      <c r="M2344" s="14" t="s">
        <v>3034</v>
      </c>
      <c r="O2344">
        <v>2004</v>
      </c>
      <c r="Q2344" t="s">
        <v>1329</v>
      </c>
      <c r="R2344">
        <v>14</v>
      </c>
      <c r="T2344" t="s">
        <v>3035</v>
      </c>
      <c r="U2344" s="14" t="s">
        <v>1246</v>
      </c>
      <c r="V2344" s="9" t="s">
        <v>3036</v>
      </c>
      <c r="W2344">
        <v>15</v>
      </c>
      <c r="X2344" s="9" t="s">
        <v>3037</v>
      </c>
      <c r="Z2344" s="5"/>
      <c r="AD2344" s="14" t="s">
        <v>1165</v>
      </c>
      <c r="AF2344" t="s">
        <v>1165</v>
      </c>
      <c r="AI2344" t="s">
        <v>1165</v>
      </c>
      <c r="AJ2344" s="15" t="s">
        <v>1148</v>
      </c>
      <c r="AK2344" s="15">
        <v>23.146999999999998</v>
      </c>
      <c r="AL2344" t="s">
        <v>1263</v>
      </c>
      <c r="AM2344">
        <f>26.224-23.147</f>
        <v>3.0770000000000017</v>
      </c>
      <c r="AP2344">
        <v>56</v>
      </c>
      <c r="AR2344" s="15" t="s">
        <v>1155</v>
      </c>
    </row>
    <row r="2345" spans="1:44" x14ac:dyDescent="0.2">
      <c r="A2345" t="s">
        <v>1378</v>
      </c>
      <c r="B2345" s="15" t="s">
        <v>1146</v>
      </c>
      <c r="C2345" s="15" t="s">
        <v>1149</v>
      </c>
      <c r="D2345" s="14" t="s">
        <v>475</v>
      </c>
      <c r="E2345" s="14" t="s">
        <v>3048</v>
      </c>
      <c r="G2345" s="15" t="s">
        <v>1165</v>
      </c>
      <c r="H2345" s="14" t="s">
        <v>1165</v>
      </c>
      <c r="I2345" s="14" t="s">
        <v>3033</v>
      </c>
      <c r="M2345" s="14" t="s">
        <v>3034</v>
      </c>
      <c r="O2345">
        <v>2004</v>
      </c>
      <c r="Q2345" t="s">
        <v>1329</v>
      </c>
      <c r="R2345">
        <v>14</v>
      </c>
      <c r="T2345" t="s">
        <v>3035</v>
      </c>
      <c r="U2345" s="14" t="s">
        <v>1246</v>
      </c>
      <c r="V2345" s="9" t="s">
        <v>3036</v>
      </c>
      <c r="W2345">
        <v>30</v>
      </c>
      <c r="X2345" s="9" t="s">
        <v>3037</v>
      </c>
      <c r="Z2345" s="5"/>
      <c r="AD2345" s="14" t="s">
        <v>1165</v>
      </c>
      <c r="AF2345" t="s">
        <v>1165</v>
      </c>
      <c r="AI2345" t="s">
        <v>1165</v>
      </c>
      <c r="AJ2345" s="15" t="s">
        <v>1148</v>
      </c>
      <c r="AK2345" s="15">
        <v>29.86</v>
      </c>
      <c r="AL2345" t="s">
        <v>1263</v>
      </c>
      <c r="AM2345">
        <f>36.853-29.86</f>
        <v>6.9930000000000021</v>
      </c>
      <c r="AP2345">
        <v>28</v>
      </c>
      <c r="AR2345" s="15" t="s">
        <v>1155</v>
      </c>
    </row>
    <row r="2346" spans="1:44" x14ac:dyDescent="0.2">
      <c r="A2346" t="s">
        <v>1378</v>
      </c>
      <c r="B2346" s="15" t="s">
        <v>1146</v>
      </c>
      <c r="C2346" s="15" t="s">
        <v>1149</v>
      </c>
      <c r="D2346" s="14" t="s">
        <v>475</v>
      </c>
      <c r="E2346" s="14" t="s">
        <v>3048</v>
      </c>
      <c r="G2346" s="15" t="s">
        <v>1165</v>
      </c>
      <c r="H2346" s="14" t="s">
        <v>1165</v>
      </c>
      <c r="I2346" s="14" t="s">
        <v>3033</v>
      </c>
      <c r="M2346" s="14" t="s">
        <v>3034</v>
      </c>
      <c r="O2346">
        <v>2004</v>
      </c>
      <c r="Q2346" t="s">
        <v>1329</v>
      </c>
      <c r="R2346">
        <v>14</v>
      </c>
      <c r="T2346" t="s">
        <v>3035</v>
      </c>
      <c r="U2346" s="14" t="s">
        <v>1246</v>
      </c>
      <c r="V2346" s="9" t="s">
        <v>3036</v>
      </c>
      <c r="W2346">
        <v>30</v>
      </c>
      <c r="X2346" s="9" t="s">
        <v>3037</v>
      </c>
      <c r="Z2346" s="5"/>
      <c r="AD2346" s="14" t="s">
        <v>1165</v>
      </c>
      <c r="AF2346" t="s">
        <v>1165</v>
      </c>
      <c r="AI2346" t="s">
        <v>1165</v>
      </c>
      <c r="AJ2346" s="15" t="s">
        <v>1148</v>
      </c>
      <c r="AK2346" s="15">
        <v>52.238</v>
      </c>
      <c r="AL2346" t="s">
        <v>1263</v>
      </c>
      <c r="AM2346">
        <f>55.594-52.238</f>
        <v>3.3560000000000016</v>
      </c>
      <c r="AP2346">
        <v>56</v>
      </c>
      <c r="AR2346" s="15" t="s">
        <v>1155</v>
      </c>
    </row>
    <row r="2347" spans="1:44" x14ac:dyDescent="0.2">
      <c r="A2347" t="s">
        <v>1378</v>
      </c>
      <c r="B2347" s="15" t="s">
        <v>1146</v>
      </c>
      <c r="C2347" s="15" t="s">
        <v>1149</v>
      </c>
      <c r="D2347" s="14" t="s">
        <v>475</v>
      </c>
      <c r="E2347" s="14" t="s">
        <v>3048</v>
      </c>
      <c r="G2347" s="15" t="s">
        <v>1165</v>
      </c>
      <c r="H2347" s="14" t="s">
        <v>1165</v>
      </c>
      <c r="I2347" s="14" t="s">
        <v>3033</v>
      </c>
      <c r="M2347" s="14" t="s">
        <v>3034</v>
      </c>
      <c r="O2347">
        <v>2004</v>
      </c>
      <c r="Q2347" t="s">
        <v>1329</v>
      </c>
      <c r="R2347">
        <v>14</v>
      </c>
      <c r="T2347" t="s">
        <v>3035</v>
      </c>
      <c r="U2347" s="14" t="s">
        <v>1246</v>
      </c>
      <c r="V2347" s="9" t="s">
        <v>3036</v>
      </c>
      <c r="W2347">
        <v>60</v>
      </c>
      <c r="X2347" s="9" t="s">
        <v>3037</v>
      </c>
      <c r="Z2347" s="5"/>
      <c r="AD2347" s="14" t="s">
        <v>1165</v>
      </c>
      <c r="AF2347" t="s">
        <v>1165</v>
      </c>
      <c r="AI2347" t="s">
        <v>1165</v>
      </c>
      <c r="AJ2347" s="15" t="s">
        <v>1148</v>
      </c>
      <c r="AK2347" s="15">
        <v>46.643000000000001</v>
      </c>
      <c r="AL2347" t="s">
        <v>1263</v>
      </c>
      <c r="AM2347">
        <f>50.839-46.643</f>
        <v>4.195999999999998</v>
      </c>
      <c r="AP2347">
        <v>28</v>
      </c>
      <c r="AR2347" s="15" t="s">
        <v>1155</v>
      </c>
    </row>
    <row r="2348" spans="1:44" x14ac:dyDescent="0.2">
      <c r="A2348" t="s">
        <v>1378</v>
      </c>
      <c r="B2348" s="15" t="s">
        <v>1146</v>
      </c>
      <c r="C2348" s="15" t="s">
        <v>1149</v>
      </c>
      <c r="D2348" s="14" t="s">
        <v>475</v>
      </c>
      <c r="E2348" s="14" t="s">
        <v>3048</v>
      </c>
      <c r="G2348" s="15" t="s">
        <v>1165</v>
      </c>
      <c r="H2348" s="14" t="s">
        <v>1165</v>
      </c>
      <c r="I2348" s="14" t="s">
        <v>3033</v>
      </c>
      <c r="M2348" s="14" t="s">
        <v>3034</v>
      </c>
      <c r="O2348">
        <v>2004</v>
      </c>
      <c r="Q2348" t="s">
        <v>1329</v>
      </c>
      <c r="R2348">
        <v>14</v>
      </c>
      <c r="T2348" t="s">
        <v>3035</v>
      </c>
      <c r="U2348" s="14" t="s">
        <v>1246</v>
      </c>
      <c r="V2348" s="9" t="s">
        <v>3036</v>
      </c>
      <c r="W2348">
        <v>60</v>
      </c>
      <c r="X2348" s="9" t="s">
        <v>3037</v>
      </c>
      <c r="Z2348" s="5"/>
      <c r="AD2348" s="14" t="s">
        <v>1165</v>
      </c>
      <c r="AF2348" t="s">
        <v>1165</v>
      </c>
      <c r="AI2348" t="s">
        <v>1165</v>
      </c>
      <c r="AJ2348" s="15" t="s">
        <v>1148</v>
      </c>
      <c r="AK2348" s="15">
        <v>47.762</v>
      </c>
      <c r="AL2348" t="s">
        <v>1263</v>
      </c>
      <c r="AM2348">
        <f>51.958-47.762</f>
        <v>4.195999999999998</v>
      </c>
      <c r="AP2348">
        <v>56</v>
      </c>
      <c r="AR2348" s="15" t="s">
        <v>1155</v>
      </c>
    </row>
    <row r="2349" spans="1:44" x14ac:dyDescent="0.2">
      <c r="A2349" t="s">
        <v>1378</v>
      </c>
      <c r="B2349" s="15" t="s">
        <v>1146</v>
      </c>
      <c r="C2349" s="15" t="s">
        <v>1149</v>
      </c>
      <c r="D2349" s="14" t="s">
        <v>475</v>
      </c>
      <c r="E2349" s="14" t="s">
        <v>3048</v>
      </c>
      <c r="G2349" s="15" t="s">
        <v>1165</v>
      </c>
      <c r="H2349" s="14" t="s">
        <v>1165</v>
      </c>
      <c r="I2349" s="14" t="s">
        <v>3033</v>
      </c>
      <c r="M2349" s="14" t="s">
        <v>3034</v>
      </c>
      <c r="O2349">
        <v>2004</v>
      </c>
      <c r="Q2349" t="s">
        <v>1329</v>
      </c>
      <c r="R2349">
        <v>14</v>
      </c>
      <c r="T2349" t="s">
        <v>3035</v>
      </c>
      <c r="U2349" s="14" t="s">
        <v>1246</v>
      </c>
      <c r="V2349" s="9" t="s">
        <v>3036</v>
      </c>
      <c r="W2349">
        <v>90</v>
      </c>
      <c r="X2349" s="9" t="s">
        <v>3037</v>
      </c>
      <c r="Z2349" s="5"/>
      <c r="AD2349" s="14" t="s">
        <v>1165</v>
      </c>
      <c r="AF2349" t="s">
        <v>1165</v>
      </c>
      <c r="AI2349" t="s">
        <v>1165</v>
      </c>
      <c r="AJ2349" s="15" t="s">
        <v>1148</v>
      </c>
      <c r="AK2349" s="15">
        <v>36.293999999999997</v>
      </c>
      <c r="AL2349" t="s">
        <v>1263</v>
      </c>
      <c r="AM2349">
        <f>43.287-36.294</f>
        <v>6.9930000000000021</v>
      </c>
      <c r="AP2349">
        <v>28</v>
      </c>
      <c r="AR2349" s="15" t="s">
        <v>1155</v>
      </c>
    </row>
    <row r="2350" spans="1:44" x14ac:dyDescent="0.2">
      <c r="A2350" t="s">
        <v>1378</v>
      </c>
      <c r="B2350" s="15" t="s">
        <v>1146</v>
      </c>
      <c r="C2350" s="15" t="s">
        <v>1149</v>
      </c>
      <c r="D2350" s="14" t="s">
        <v>475</v>
      </c>
      <c r="E2350" s="14" t="s">
        <v>3048</v>
      </c>
      <c r="G2350" s="15" t="s">
        <v>1165</v>
      </c>
      <c r="H2350" s="14" t="s">
        <v>1165</v>
      </c>
      <c r="I2350" s="14" t="s">
        <v>3033</v>
      </c>
      <c r="M2350" s="14" t="s">
        <v>3034</v>
      </c>
      <c r="O2350">
        <v>2004</v>
      </c>
      <c r="Q2350" t="s">
        <v>1329</v>
      </c>
      <c r="R2350">
        <v>14</v>
      </c>
      <c r="T2350" t="s">
        <v>3035</v>
      </c>
      <c r="U2350" s="14" t="s">
        <v>1246</v>
      </c>
      <c r="V2350" s="9" t="s">
        <v>3036</v>
      </c>
      <c r="W2350">
        <v>90</v>
      </c>
      <c r="X2350" s="9" t="s">
        <v>3037</v>
      </c>
      <c r="Z2350" s="5"/>
      <c r="AD2350" s="14" t="s">
        <v>1165</v>
      </c>
      <c r="AF2350" t="s">
        <v>1165</v>
      </c>
      <c r="AI2350" t="s">
        <v>1165</v>
      </c>
      <c r="AJ2350" s="15" t="s">
        <v>1148</v>
      </c>
      <c r="AK2350" s="15">
        <v>69.86</v>
      </c>
      <c r="AL2350" t="s">
        <v>1263</v>
      </c>
      <c r="AM2350">
        <f>76.294-69.86</f>
        <v>6.4339999999999975</v>
      </c>
      <c r="AP2350">
        <v>56</v>
      </c>
      <c r="AR2350" s="15" t="s">
        <v>1155</v>
      </c>
    </row>
    <row r="2351" spans="1:44" x14ac:dyDescent="0.2">
      <c r="A2351" t="s">
        <v>1378</v>
      </c>
      <c r="B2351" s="15" t="s">
        <v>1146</v>
      </c>
      <c r="C2351" s="15" t="s">
        <v>1149</v>
      </c>
      <c r="D2351" s="14" t="s">
        <v>475</v>
      </c>
      <c r="E2351" s="14" t="s">
        <v>3048</v>
      </c>
      <c r="G2351" s="15" t="s">
        <v>1165</v>
      </c>
      <c r="H2351" s="14" t="s">
        <v>1165</v>
      </c>
      <c r="I2351" s="14" t="s">
        <v>3033</v>
      </c>
      <c r="M2351" s="14" t="s">
        <v>3034</v>
      </c>
      <c r="O2351">
        <v>2004</v>
      </c>
      <c r="Q2351" t="s">
        <v>1329</v>
      </c>
      <c r="R2351">
        <v>14</v>
      </c>
      <c r="T2351" t="s">
        <v>3035</v>
      </c>
      <c r="U2351" s="14" t="s">
        <v>1246</v>
      </c>
      <c r="V2351" s="9" t="s">
        <v>3036</v>
      </c>
      <c r="W2351">
        <v>120</v>
      </c>
      <c r="X2351" s="9" t="s">
        <v>3037</v>
      </c>
      <c r="Z2351" s="5"/>
      <c r="AD2351" s="14" t="s">
        <v>1165</v>
      </c>
      <c r="AF2351" t="s">
        <v>1165</v>
      </c>
      <c r="AI2351" t="s">
        <v>1165</v>
      </c>
      <c r="AJ2351" s="15" t="s">
        <v>1148</v>
      </c>
      <c r="AK2351" s="15">
        <v>44.965000000000003</v>
      </c>
      <c r="AL2351" t="s">
        <v>1263</v>
      </c>
      <c r="AM2351">
        <f>55.035-44.965</f>
        <v>10.069999999999993</v>
      </c>
      <c r="AP2351">
        <v>28</v>
      </c>
      <c r="AR2351" s="15" t="s">
        <v>1155</v>
      </c>
    </row>
    <row r="2352" spans="1:44" x14ac:dyDescent="0.2">
      <c r="A2352" t="s">
        <v>1378</v>
      </c>
      <c r="B2352" s="15" t="s">
        <v>1146</v>
      </c>
      <c r="C2352" s="15" t="s">
        <v>1149</v>
      </c>
      <c r="D2352" s="14" t="s">
        <v>475</v>
      </c>
      <c r="E2352" s="14" t="s">
        <v>3048</v>
      </c>
      <c r="G2352" s="15" t="s">
        <v>1165</v>
      </c>
      <c r="H2352" s="14" t="s">
        <v>1165</v>
      </c>
      <c r="I2352" s="14" t="s">
        <v>3033</v>
      </c>
      <c r="M2352" s="14" t="s">
        <v>3034</v>
      </c>
      <c r="O2352">
        <v>2004</v>
      </c>
      <c r="Q2352" t="s">
        <v>1329</v>
      </c>
      <c r="R2352">
        <v>14</v>
      </c>
      <c r="T2352" t="s">
        <v>3035</v>
      </c>
      <c r="U2352" s="14" t="s">
        <v>1246</v>
      </c>
      <c r="V2352" s="9" t="s">
        <v>3036</v>
      </c>
      <c r="W2352">
        <v>120</v>
      </c>
      <c r="X2352" s="9" t="s">
        <v>3037</v>
      </c>
      <c r="Z2352" s="5"/>
      <c r="AD2352" s="14" t="s">
        <v>1165</v>
      </c>
      <c r="AF2352" t="s">
        <v>1165</v>
      </c>
      <c r="AI2352" t="s">
        <v>1165</v>
      </c>
      <c r="AJ2352" s="15" t="s">
        <v>1148</v>
      </c>
      <c r="AK2352" s="15">
        <v>73.216999999999999</v>
      </c>
      <c r="AL2352" t="s">
        <v>1263</v>
      </c>
      <c r="AM2352">
        <f>79.371-73.217</f>
        <v>6.1539999999999964</v>
      </c>
      <c r="AP2352">
        <v>56</v>
      </c>
      <c r="AR2352" s="15" t="s">
        <v>1155</v>
      </c>
    </row>
    <row r="2353" spans="1:44" x14ac:dyDescent="0.2">
      <c r="A2353" t="s">
        <v>1378</v>
      </c>
      <c r="B2353" s="15" t="s">
        <v>1146</v>
      </c>
      <c r="C2353" s="15" t="s">
        <v>1149</v>
      </c>
      <c r="D2353" s="14" t="s">
        <v>475</v>
      </c>
      <c r="E2353" s="14" t="s">
        <v>3048</v>
      </c>
      <c r="G2353" s="15" t="s">
        <v>1165</v>
      </c>
      <c r="H2353" s="14" t="s">
        <v>1165</v>
      </c>
      <c r="I2353" s="14" t="s">
        <v>3033</v>
      </c>
      <c r="M2353" s="14" t="s">
        <v>3034</v>
      </c>
      <c r="O2353">
        <v>2004</v>
      </c>
      <c r="Q2353" t="s">
        <v>1329</v>
      </c>
      <c r="R2353">
        <v>14</v>
      </c>
      <c r="T2353" t="s">
        <v>3035</v>
      </c>
      <c r="U2353" s="14" t="s">
        <v>1246</v>
      </c>
      <c r="V2353" s="9" t="s">
        <v>3036</v>
      </c>
      <c r="W2353">
        <v>150</v>
      </c>
      <c r="X2353" s="9" t="s">
        <v>3037</v>
      </c>
      <c r="Z2353" s="5"/>
      <c r="AD2353" s="14" t="s">
        <v>1165</v>
      </c>
      <c r="AF2353" t="s">
        <v>1165</v>
      </c>
      <c r="AI2353" t="s">
        <v>1165</v>
      </c>
      <c r="AJ2353" s="15" t="s">
        <v>1148</v>
      </c>
      <c r="AK2353" s="15">
        <v>77.691999999999993</v>
      </c>
      <c r="AL2353" t="s">
        <v>1263</v>
      </c>
      <c r="AM2353">
        <f>86.364-77.692</f>
        <v>8.6720000000000113</v>
      </c>
      <c r="AP2353">
        <v>28</v>
      </c>
      <c r="AR2353" s="15" t="s">
        <v>1155</v>
      </c>
    </row>
    <row r="2354" spans="1:44" x14ac:dyDescent="0.2">
      <c r="A2354" t="s">
        <v>1378</v>
      </c>
      <c r="B2354" s="15" t="s">
        <v>1146</v>
      </c>
      <c r="C2354" s="15" t="s">
        <v>1149</v>
      </c>
      <c r="D2354" s="14" t="s">
        <v>475</v>
      </c>
      <c r="E2354" s="14" t="s">
        <v>3048</v>
      </c>
      <c r="G2354" s="15" t="s">
        <v>1165</v>
      </c>
      <c r="H2354" s="14" t="s">
        <v>1165</v>
      </c>
      <c r="I2354" s="14" t="s">
        <v>3033</v>
      </c>
      <c r="M2354" s="14" t="s">
        <v>3034</v>
      </c>
      <c r="O2354">
        <v>2004</v>
      </c>
      <c r="Q2354" t="s">
        <v>1329</v>
      </c>
      <c r="R2354">
        <v>14</v>
      </c>
      <c r="T2354" t="s">
        <v>3035</v>
      </c>
      <c r="U2354" s="14" t="s">
        <v>1246</v>
      </c>
      <c r="V2354" s="9" t="s">
        <v>3036</v>
      </c>
      <c r="W2354">
        <v>150</v>
      </c>
      <c r="X2354" s="9" t="s">
        <v>3037</v>
      </c>
      <c r="Z2354" s="5"/>
      <c r="AD2354" s="14" t="s">
        <v>1165</v>
      </c>
      <c r="AF2354" t="s">
        <v>1165</v>
      </c>
      <c r="AI2354" t="s">
        <v>1165</v>
      </c>
      <c r="AJ2354" s="15" t="s">
        <v>1148</v>
      </c>
      <c r="AK2354" s="15">
        <v>82.447999999999993</v>
      </c>
      <c r="AL2354" t="s">
        <v>1263</v>
      </c>
      <c r="AM2354">
        <f>91.399-82.448</f>
        <v>8.9510000000000076</v>
      </c>
      <c r="AP2354">
        <v>56</v>
      </c>
      <c r="AR2354" s="15" t="s">
        <v>1155</v>
      </c>
    </row>
    <row r="2355" spans="1:44" x14ac:dyDescent="0.2">
      <c r="A2355" t="s">
        <v>1378</v>
      </c>
      <c r="B2355" s="15" t="s">
        <v>1146</v>
      </c>
      <c r="C2355" s="15" t="s">
        <v>1149</v>
      </c>
      <c r="D2355" s="14" t="s">
        <v>475</v>
      </c>
      <c r="E2355" s="14" t="s">
        <v>3048</v>
      </c>
      <c r="G2355" s="15" t="s">
        <v>1165</v>
      </c>
      <c r="H2355" s="14" t="s">
        <v>1165</v>
      </c>
      <c r="I2355" s="14" t="s">
        <v>3033</v>
      </c>
      <c r="M2355" s="14" t="s">
        <v>3034</v>
      </c>
      <c r="O2355">
        <v>2004</v>
      </c>
      <c r="Q2355" t="s">
        <v>1329</v>
      </c>
      <c r="R2355">
        <v>14</v>
      </c>
      <c r="T2355" t="s">
        <v>3035</v>
      </c>
      <c r="U2355" s="14" t="s">
        <v>1246</v>
      </c>
      <c r="V2355" s="9" t="s">
        <v>3036</v>
      </c>
      <c r="W2355">
        <v>180</v>
      </c>
      <c r="X2355" s="9" t="s">
        <v>3037</v>
      </c>
      <c r="Z2355" s="5"/>
      <c r="AD2355" s="14" t="s">
        <v>1165</v>
      </c>
      <c r="AF2355" t="s">
        <v>1165</v>
      </c>
      <c r="AI2355" t="s">
        <v>1165</v>
      </c>
      <c r="AJ2355" s="15" t="s">
        <v>1148</v>
      </c>
      <c r="AK2355" s="15">
        <v>73.216999999999999</v>
      </c>
      <c r="AL2355" t="s">
        <v>1263</v>
      </c>
      <c r="AM2355">
        <f>76.573-73.217</f>
        <v>3.3559999999999945</v>
      </c>
      <c r="AP2355">
        <v>28</v>
      </c>
      <c r="AR2355" s="15" t="s">
        <v>1155</v>
      </c>
    </row>
    <row r="2356" spans="1:44" x14ac:dyDescent="0.2">
      <c r="A2356" t="s">
        <v>1378</v>
      </c>
      <c r="B2356" s="15" t="s">
        <v>1146</v>
      </c>
      <c r="C2356" s="15" t="s">
        <v>1149</v>
      </c>
      <c r="D2356" s="14" t="s">
        <v>475</v>
      </c>
      <c r="E2356" s="14" t="s">
        <v>3048</v>
      </c>
      <c r="G2356" s="15" t="s">
        <v>1165</v>
      </c>
      <c r="H2356" s="14" t="s">
        <v>1165</v>
      </c>
      <c r="I2356" s="14" t="s">
        <v>3033</v>
      </c>
      <c r="M2356" s="14" t="s">
        <v>3034</v>
      </c>
      <c r="O2356">
        <v>2004</v>
      </c>
      <c r="Q2356" t="s">
        <v>1329</v>
      </c>
      <c r="R2356">
        <v>14</v>
      </c>
      <c r="T2356" t="s">
        <v>3035</v>
      </c>
      <c r="U2356" s="14" t="s">
        <v>1246</v>
      </c>
      <c r="V2356" s="9" t="s">
        <v>3036</v>
      </c>
      <c r="W2356">
        <v>180</v>
      </c>
      <c r="X2356" s="9" t="s">
        <v>3037</v>
      </c>
      <c r="Z2356" s="5"/>
      <c r="AD2356" s="14" t="s">
        <v>1165</v>
      </c>
      <c r="AF2356" t="s">
        <v>1165</v>
      </c>
      <c r="AI2356" t="s">
        <v>1165</v>
      </c>
      <c r="AJ2356" s="15" t="s">
        <v>1148</v>
      </c>
      <c r="AK2356" s="15">
        <v>76.013999999999996</v>
      </c>
      <c r="AL2356" t="s">
        <v>1263</v>
      </c>
      <c r="AM2356">
        <f>79.93-76.014</f>
        <v>3.916000000000011</v>
      </c>
      <c r="AP2356">
        <v>56</v>
      </c>
      <c r="AR2356" s="15" t="s">
        <v>1155</v>
      </c>
    </row>
    <row r="2357" spans="1:44" x14ac:dyDescent="0.2">
      <c r="A2357" t="s">
        <v>1378</v>
      </c>
      <c r="B2357" s="15" t="s">
        <v>1146</v>
      </c>
      <c r="C2357" s="15" t="s">
        <v>1149</v>
      </c>
      <c r="D2357" s="14" t="s">
        <v>475</v>
      </c>
      <c r="E2357" s="14" t="s">
        <v>3048</v>
      </c>
      <c r="G2357" s="15" t="s">
        <v>1165</v>
      </c>
      <c r="H2357" s="14" t="s">
        <v>1165</v>
      </c>
      <c r="I2357" s="14" t="s">
        <v>3033</v>
      </c>
      <c r="M2357" s="14" t="s">
        <v>3034</v>
      </c>
      <c r="O2357">
        <v>2004</v>
      </c>
      <c r="Q2357" t="s">
        <v>1329</v>
      </c>
      <c r="R2357">
        <v>14</v>
      </c>
      <c r="T2357" t="s">
        <v>3035</v>
      </c>
      <c r="U2357" s="14" t="s">
        <v>1246</v>
      </c>
      <c r="V2357" s="9" t="s">
        <v>3036</v>
      </c>
      <c r="W2357">
        <v>0</v>
      </c>
      <c r="X2357" s="9" t="s">
        <v>3038</v>
      </c>
      <c r="Z2357" s="5"/>
      <c r="AD2357" s="14" t="s">
        <v>1165</v>
      </c>
      <c r="AF2357" t="s">
        <v>1165</v>
      </c>
      <c r="AI2357" t="s">
        <v>1165</v>
      </c>
      <c r="AJ2357" s="15" t="s">
        <v>1148</v>
      </c>
      <c r="AK2357" s="15">
        <v>72.344999999999999</v>
      </c>
      <c r="AL2357" t="s">
        <v>1263</v>
      </c>
      <c r="AM2357">
        <f>75.103-72.345</f>
        <v>2.7579999999999956</v>
      </c>
      <c r="AP2357">
        <v>28</v>
      </c>
      <c r="AR2357" s="15" t="s">
        <v>1155</v>
      </c>
    </row>
    <row r="2358" spans="1:44" x14ac:dyDescent="0.2">
      <c r="A2358" t="s">
        <v>1378</v>
      </c>
      <c r="B2358" s="15" t="s">
        <v>1146</v>
      </c>
      <c r="C2358" s="15" t="s">
        <v>1149</v>
      </c>
      <c r="D2358" s="14" t="s">
        <v>475</v>
      </c>
      <c r="E2358" s="14" t="s">
        <v>3048</v>
      </c>
      <c r="G2358" s="15" t="s">
        <v>1165</v>
      </c>
      <c r="H2358" s="14" t="s">
        <v>1165</v>
      </c>
      <c r="I2358" s="14" t="s">
        <v>3033</v>
      </c>
      <c r="M2358" s="14" t="s">
        <v>3034</v>
      </c>
      <c r="O2358">
        <v>2004</v>
      </c>
      <c r="Q2358" t="s">
        <v>1329</v>
      </c>
      <c r="R2358">
        <v>14</v>
      </c>
      <c r="T2358" t="s">
        <v>3035</v>
      </c>
      <c r="U2358" s="14" t="s">
        <v>1246</v>
      </c>
      <c r="V2358" s="9" t="s">
        <v>3036</v>
      </c>
      <c r="W2358">
        <v>0</v>
      </c>
      <c r="X2358" s="9" t="s">
        <v>3038</v>
      </c>
      <c r="Z2358" s="5"/>
      <c r="AD2358" s="14" t="s">
        <v>1165</v>
      </c>
      <c r="AF2358" t="s">
        <v>1165</v>
      </c>
      <c r="AI2358" t="s">
        <v>1165</v>
      </c>
      <c r="AJ2358" s="15" t="s">
        <v>1148</v>
      </c>
      <c r="AK2358" s="15">
        <v>76.759</v>
      </c>
      <c r="AL2358" t="s">
        <v>1263</v>
      </c>
      <c r="AM2358">
        <f>81.172-76.759</f>
        <v>4.4129999999999967</v>
      </c>
      <c r="AP2358">
        <v>56</v>
      </c>
      <c r="AR2358" s="15" t="s">
        <v>1155</v>
      </c>
    </row>
    <row r="2359" spans="1:44" x14ac:dyDescent="0.2">
      <c r="A2359" t="s">
        <v>1378</v>
      </c>
      <c r="B2359" s="15" t="s">
        <v>1146</v>
      </c>
      <c r="C2359" s="15" t="s">
        <v>1149</v>
      </c>
      <c r="D2359" s="14" t="s">
        <v>475</v>
      </c>
      <c r="E2359" s="14" t="s">
        <v>3048</v>
      </c>
      <c r="G2359" s="15" t="s">
        <v>1165</v>
      </c>
      <c r="H2359" s="14" t="s">
        <v>1165</v>
      </c>
      <c r="I2359" s="14" t="s">
        <v>3033</v>
      </c>
      <c r="M2359" s="14" t="s">
        <v>3034</v>
      </c>
      <c r="O2359">
        <v>2004</v>
      </c>
      <c r="Q2359" t="s">
        <v>1329</v>
      </c>
      <c r="R2359">
        <v>14</v>
      </c>
      <c r="T2359" t="s">
        <v>3035</v>
      </c>
      <c r="U2359" s="14" t="s">
        <v>1246</v>
      </c>
      <c r="V2359" s="9" t="s">
        <v>3036</v>
      </c>
      <c r="W2359">
        <v>15</v>
      </c>
      <c r="X2359" s="9" t="s">
        <v>3038</v>
      </c>
      <c r="Z2359" s="5"/>
      <c r="AD2359" s="14" t="s">
        <v>1165</v>
      </c>
      <c r="AF2359" t="s">
        <v>1165</v>
      </c>
      <c r="AI2359" t="s">
        <v>1165</v>
      </c>
      <c r="AJ2359" s="15" t="s">
        <v>1148</v>
      </c>
      <c r="AK2359" s="15">
        <v>77.585999999999999</v>
      </c>
      <c r="AL2359" t="s">
        <v>1263</v>
      </c>
      <c r="AM2359">
        <f>82.828-77.586</f>
        <v>5.2420000000000044</v>
      </c>
      <c r="AP2359">
        <v>28</v>
      </c>
      <c r="AR2359" s="15" t="s">
        <v>1155</v>
      </c>
    </row>
    <row r="2360" spans="1:44" x14ac:dyDescent="0.2">
      <c r="A2360" t="s">
        <v>1378</v>
      </c>
      <c r="B2360" s="15" t="s">
        <v>1146</v>
      </c>
      <c r="C2360" s="15" t="s">
        <v>1149</v>
      </c>
      <c r="D2360" s="14" t="s">
        <v>475</v>
      </c>
      <c r="E2360" s="14" t="s">
        <v>3048</v>
      </c>
      <c r="G2360" s="15" t="s">
        <v>1165</v>
      </c>
      <c r="H2360" s="14" t="s">
        <v>1165</v>
      </c>
      <c r="I2360" s="14" t="s">
        <v>3033</v>
      </c>
      <c r="M2360" s="14" t="s">
        <v>3034</v>
      </c>
      <c r="O2360">
        <v>2004</v>
      </c>
      <c r="Q2360" t="s">
        <v>1329</v>
      </c>
      <c r="R2360">
        <v>14</v>
      </c>
      <c r="T2360" t="s">
        <v>3035</v>
      </c>
      <c r="U2360" s="14" t="s">
        <v>1246</v>
      </c>
      <c r="V2360" s="9" t="s">
        <v>3036</v>
      </c>
      <c r="W2360">
        <v>15</v>
      </c>
      <c r="X2360" s="9" t="s">
        <v>3038</v>
      </c>
      <c r="Z2360" s="5"/>
      <c r="AD2360" s="14" t="s">
        <v>1165</v>
      </c>
      <c r="AF2360" t="s">
        <v>1165</v>
      </c>
      <c r="AI2360" t="s">
        <v>1165</v>
      </c>
      <c r="AJ2360" s="15" t="s">
        <v>1148</v>
      </c>
      <c r="AK2360" s="15">
        <v>83.655000000000001</v>
      </c>
      <c r="AL2360" t="s">
        <v>1263</v>
      </c>
      <c r="AM2360">
        <f>90-83.655</f>
        <v>6.3449999999999989</v>
      </c>
      <c r="AP2360">
        <v>56</v>
      </c>
      <c r="AR2360" s="15" t="s">
        <v>1155</v>
      </c>
    </row>
    <row r="2361" spans="1:44" x14ac:dyDescent="0.2">
      <c r="A2361" t="s">
        <v>1378</v>
      </c>
      <c r="B2361" s="15" t="s">
        <v>1146</v>
      </c>
      <c r="C2361" s="15" t="s">
        <v>1149</v>
      </c>
      <c r="D2361" s="14" t="s">
        <v>475</v>
      </c>
      <c r="E2361" s="14" t="s">
        <v>3048</v>
      </c>
      <c r="G2361" s="15" t="s">
        <v>1165</v>
      </c>
      <c r="H2361" s="14" t="s">
        <v>1165</v>
      </c>
      <c r="I2361" s="14" t="s">
        <v>3033</v>
      </c>
      <c r="M2361" s="14" t="s">
        <v>3034</v>
      </c>
      <c r="O2361">
        <v>2004</v>
      </c>
      <c r="Q2361" t="s">
        <v>1329</v>
      </c>
      <c r="R2361">
        <v>14</v>
      </c>
      <c r="T2361" t="s">
        <v>3035</v>
      </c>
      <c r="U2361" s="14" t="s">
        <v>1246</v>
      </c>
      <c r="V2361" s="9" t="s">
        <v>3036</v>
      </c>
      <c r="W2361">
        <v>30</v>
      </c>
      <c r="X2361" s="9" t="s">
        <v>3038</v>
      </c>
      <c r="Z2361" s="5"/>
      <c r="AD2361" s="14" t="s">
        <v>1165</v>
      </c>
      <c r="AF2361" t="s">
        <v>1165</v>
      </c>
      <c r="AI2361" t="s">
        <v>1165</v>
      </c>
      <c r="AJ2361" s="15" t="s">
        <v>1148</v>
      </c>
      <c r="AK2361" s="15">
        <v>88.344999999999999</v>
      </c>
      <c r="AL2361" t="s">
        <v>1263</v>
      </c>
      <c r="AM2361">
        <f>93.586-88.345</f>
        <v>5.2409999999999997</v>
      </c>
      <c r="AP2361">
        <v>28</v>
      </c>
      <c r="AR2361" s="15" t="s">
        <v>1155</v>
      </c>
    </row>
    <row r="2362" spans="1:44" x14ac:dyDescent="0.2">
      <c r="A2362" t="s">
        <v>1378</v>
      </c>
      <c r="B2362" s="15" t="s">
        <v>1146</v>
      </c>
      <c r="C2362" s="15" t="s">
        <v>1149</v>
      </c>
      <c r="D2362" s="14" t="s">
        <v>475</v>
      </c>
      <c r="E2362" s="14" t="s">
        <v>3048</v>
      </c>
      <c r="G2362" s="15" t="s">
        <v>1165</v>
      </c>
      <c r="H2362" s="14" t="s">
        <v>1165</v>
      </c>
      <c r="I2362" s="14" t="s">
        <v>3033</v>
      </c>
      <c r="M2362" s="14" t="s">
        <v>3034</v>
      </c>
      <c r="O2362">
        <v>2004</v>
      </c>
      <c r="Q2362" t="s">
        <v>1329</v>
      </c>
      <c r="R2362">
        <v>14</v>
      </c>
      <c r="T2362" t="s">
        <v>3035</v>
      </c>
      <c r="U2362" s="14" t="s">
        <v>1246</v>
      </c>
      <c r="V2362" s="9" t="s">
        <v>3036</v>
      </c>
      <c r="W2362">
        <v>30</v>
      </c>
      <c r="X2362" s="9" t="s">
        <v>3038</v>
      </c>
      <c r="Z2362" s="5"/>
      <c r="AD2362" s="14" t="s">
        <v>1165</v>
      </c>
      <c r="AF2362" t="s">
        <v>1165</v>
      </c>
      <c r="AI2362" t="s">
        <v>1165</v>
      </c>
      <c r="AJ2362" s="15" t="s">
        <v>1148</v>
      </c>
      <c r="AK2362" s="15">
        <v>93.31</v>
      </c>
      <c r="AL2362" t="s">
        <v>1263</v>
      </c>
      <c r="AM2362">
        <f>99.655-93.31</f>
        <v>6.3449999999999989</v>
      </c>
      <c r="AP2362">
        <v>56</v>
      </c>
      <c r="AR2362" s="15" t="s">
        <v>1155</v>
      </c>
    </row>
    <row r="2363" spans="1:44" x14ac:dyDescent="0.2">
      <c r="A2363" t="s">
        <v>1378</v>
      </c>
      <c r="B2363" s="15" t="s">
        <v>1146</v>
      </c>
      <c r="C2363" s="15" t="s">
        <v>1149</v>
      </c>
      <c r="D2363" s="14" t="s">
        <v>475</v>
      </c>
      <c r="E2363" s="14" t="s">
        <v>3048</v>
      </c>
      <c r="G2363" s="15" t="s">
        <v>1165</v>
      </c>
      <c r="H2363" s="14" t="s">
        <v>1165</v>
      </c>
      <c r="I2363" s="14" t="s">
        <v>3033</v>
      </c>
      <c r="M2363" s="14" t="s">
        <v>3034</v>
      </c>
      <c r="O2363">
        <v>2004</v>
      </c>
      <c r="Q2363" t="s">
        <v>1329</v>
      </c>
      <c r="R2363">
        <v>14</v>
      </c>
      <c r="T2363" t="s">
        <v>3035</v>
      </c>
      <c r="U2363" s="14" t="s">
        <v>1246</v>
      </c>
      <c r="V2363" s="9" t="s">
        <v>3036</v>
      </c>
      <c r="W2363">
        <v>60</v>
      </c>
      <c r="X2363" s="9" t="s">
        <v>3038</v>
      </c>
      <c r="Z2363" s="5"/>
      <c r="AD2363" s="14" t="s">
        <v>1165</v>
      </c>
      <c r="AF2363" t="s">
        <v>1165</v>
      </c>
      <c r="AI2363" t="s">
        <v>1165</v>
      </c>
      <c r="AJ2363" s="15" t="s">
        <v>1148</v>
      </c>
      <c r="AK2363" s="15">
        <v>88.344999999999999</v>
      </c>
      <c r="AL2363" t="s">
        <v>1263</v>
      </c>
      <c r="AM2363">
        <f>93.862-88.345</f>
        <v>5.5169999999999959</v>
      </c>
      <c r="AP2363">
        <v>28</v>
      </c>
      <c r="AR2363" s="15" t="s">
        <v>1155</v>
      </c>
    </row>
    <row r="2364" spans="1:44" x14ac:dyDescent="0.2">
      <c r="A2364" t="s">
        <v>1378</v>
      </c>
      <c r="B2364" s="15" t="s">
        <v>1146</v>
      </c>
      <c r="C2364" s="15" t="s">
        <v>1149</v>
      </c>
      <c r="D2364" s="14" t="s">
        <v>475</v>
      </c>
      <c r="E2364" s="14" t="s">
        <v>3048</v>
      </c>
      <c r="G2364" s="15" t="s">
        <v>1165</v>
      </c>
      <c r="H2364" s="14" t="s">
        <v>1165</v>
      </c>
      <c r="I2364" s="14" t="s">
        <v>3033</v>
      </c>
      <c r="M2364" s="14" t="s">
        <v>3034</v>
      </c>
      <c r="O2364">
        <v>2004</v>
      </c>
      <c r="Q2364" t="s">
        <v>1329</v>
      </c>
      <c r="R2364">
        <v>14</v>
      </c>
      <c r="T2364" t="s">
        <v>3035</v>
      </c>
      <c r="U2364" s="14" t="s">
        <v>1246</v>
      </c>
      <c r="V2364" s="9" t="s">
        <v>3036</v>
      </c>
      <c r="W2364">
        <v>60</v>
      </c>
      <c r="X2364" s="9" t="s">
        <v>3038</v>
      </c>
      <c r="Z2364" s="5"/>
      <c r="AD2364" s="14" t="s">
        <v>1165</v>
      </c>
      <c r="AF2364" t="s">
        <v>1165</v>
      </c>
      <c r="AI2364" t="s">
        <v>1165</v>
      </c>
      <c r="AJ2364" s="15" t="s">
        <v>1148</v>
      </c>
      <c r="AK2364" s="15">
        <v>89.171999999999997</v>
      </c>
      <c r="AL2364" t="s">
        <v>1263</v>
      </c>
      <c r="AM2364">
        <f>94.966-89.172</f>
        <v>5.7939999999999969</v>
      </c>
      <c r="AP2364">
        <v>56</v>
      </c>
      <c r="AR2364" s="15" t="s">
        <v>1155</v>
      </c>
    </row>
    <row r="2365" spans="1:44" x14ac:dyDescent="0.2">
      <c r="A2365" t="s">
        <v>1378</v>
      </c>
      <c r="B2365" s="15" t="s">
        <v>1146</v>
      </c>
      <c r="C2365" s="15" t="s">
        <v>1149</v>
      </c>
      <c r="D2365" s="14" t="s">
        <v>475</v>
      </c>
      <c r="E2365" s="14" t="s">
        <v>3048</v>
      </c>
      <c r="G2365" s="15" t="s">
        <v>1165</v>
      </c>
      <c r="H2365" s="14" t="s">
        <v>1165</v>
      </c>
      <c r="I2365" s="14" t="s">
        <v>3033</v>
      </c>
      <c r="M2365" s="14" t="s">
        <v>3034</v>
      </c>
      <c r="O2365">
        <v>2004</v>
      </c>
      <c r="Q2365" t="s">
        <v>1329</v>
      </c>
      <c r="R2365">
        <v>14</v>
      </c>
      <c r="T2365" t="s">
        <v>3035</v>
      </c>
      <c r="U2365" s="14" t="s">
        <v>1246</v>
      </c>
      <c r="V2365" s="9" t="s">
        <v>3036</v>
      </c>
      <c r="W2365">
        <v>90</v>
      </c>
      <c r="X2365" s="9" t="s">
        <v>3038</v>
      </c>
      <c r="Z2365" s="5"/>
      <c r="AD2365" s="14" t="s">
        <v>1165</v>
      </c>
      <c r="AF2365" t="s">
        <v>1165</v>
      </c>
      <c r="AI2365" t="s">
        <v>1165</v>
      </c>
      <c r="AJ2365" s="15" t="s">
        <v>1148</v>
      </c>
      <c r="AK2365" s="15">
        <v>82.552000000000007</v>
      </c>
      <c r="AL2365" t="s">
        <v>1263</v>
      </c>
      <c r="AM2365">
        <f>88.345-82.552</f>
        <v>5.7929999999999922</v>
      </c>
      <c r="AP2365">
        <v>28</v>
      </c>
      <c r="AR2365" s="15" t="s">
        <v>1155</v>
      </c>
    </row>
    <row r="2366" spans="1:44" x14ac:dyDescent="0.2">
      <c r="A2366" t="s">
        <v>1378</v>
      </c>
      <c r="B2366" s="15" t="s">
        <v>1146</v>
      </c>
      <c r="C2366" s="15" t="s">
        <v>1149</v>
      </c>
      <c r="D2366" s="14" t="s">
        <v>475</v>
      </c>
      <c r="E2366" s="14" t="s">
        <v>3048</v>
      </c>
      <c r="G2366" s="15" t="s">
        <v>1165</v>
      </c>
      <c r="H2366" s="14" t="s">
        <v>1165</v>
      </c>
      <c r="I2366" s="14" t="s">
        <v>3033</v>
      </c>
      <c r="M2366" s="14" t="s">
        <v>3034</v>
      </c>
      <c r="O2366">
        <v>2004</v>
      </c>
      <c r="Q2366" t="s">
        <v>1329</v>
      </c>
      <c r="R2366">
        <v>14</v>
      </c>
      <c r="T2366" t="s">
        <v>3035</v>
      </c>
      <c r="U2366" s="14" t="s">
        <v>1246</v>
      </c>
      <c r="V2366" s="9" t="s">
        <v>3036</v>
      </c>
      <c r="W2366">
        <v>90</v>
      </c>
      <c r="X2366" s="9" t="s">
        <v>3038</v>
      </c>
      <c r="Z2366" s="5"/>
      <c r="AD2366" s="14" t="s">
        <v>1165</v>
      </c>
      <c r="AF2366" t="s">
        <v>1165</v>
      </c>
      <c r="AI2366" t="s">
        <v>1165</v>
      </c>
      <c r="AJ2366" s="15" t="s">
        <v>1148</v>
      </c>
      <c r="AK2366" s="15">
        <v>83.102999999999994</v>
      </c>
      <c r="AL2366" t="s">
        <v>1263</v>
      </c>
      <c r="AM2366">
        <f>89.448-83.103</f>
        <v>6.3449999999999989</v>
      </c>
      <c r="AP2366">
        <v>56</v>
      </c>
      <c r="AR2366" s="15" t="s">
        <v>1155</v>
      </c>
    </row>
    <row r="2367" spans="1:44" x14ac:dyDescent="0.2">
      <c r="A2367" t="s">
        <v>1378</v>
      </c>
      <c r="B2367" s="15" t="s">
        <v>1146</v>
      </c>
      <c r="C2367" s="15" t="s">
        <v>1149</v>
      </c>
      <c r="D2367" s="14" t="s">
        <v>475</v>
      </c>
      <c r="E2367" s="14" t="s">
        <v>3048</v>
      </c>
      <c r="G2367" s="15" t="s">
        <v>1165</v>
      </c>
      <c r="H2367" s="14" t="s">
        <v>1165</v>
      </c>
      <c r="I2367" s="14" t="s">
        <v>3033</v>
      </c>
      <c r="M2367" s="14" t="s">
        <v>3034</v>
      </c>
      <c r="O2367">
        <v>2004</v>
      </c>
      <c r="Q2367" t="s">
        <v>1329</v>
      </c>
      <c r="R2367">
        <v>14</v>
      </c>
      <c r="T2367" t="s">
        <v>3035</v>
      </c>
      <c r="U2367" s="14" t="s">
        <v>1246</v>
      </c>
      <c r="V2367" s="9" t="s">
        <v>3036</v>
      </c>
      <c r="W2367">
        <v>120</v>
      </c>
      <c r="X2367" s="9" t="s">
        <v>3038</v>
      </c>
      <c r="Z2367" s="5"/>
      <c r="AD2367" s="14" t="s">
        <v>1165</v>
      </c>
      <c r="AF2367" t="s">
        <v>1165</v>
      </c>
      <c r="AI2367" t="s">
        <v>1165</v>
      </c>
      <c r="AJ2367" s="15" t="s">
        <v>1148</v>
      </c>
      <c r="AK2367" s="15">
        <v>75.102999999999994</v>
      </c>
      <c r="AL2367" t="s">
        <v>1263</v>
      </c>
      <c r="AM2367">
        <f>77.034-75.103</f>
        <v>1.9310000000000116</v>
      </c>
      <c r="AP2367">
        <v>28</v>
      </c>
      <c r="AR2367" s="15" t="s">
        <v>1155</v>
      </c>
    </row>
    <row r="2368" spans="1:44" x14ac:dyDescent="0.2">
      <c r="A2368" t="s">
        <v>1378</v>
      </c>
      <c r="B2368" s="15" t="s">
        <v>1146</v>
      </c>
      <c r="C2368" s="15" t="s">
        <v>1149</v>
      </c>
      <c r="D2368" s="14" t="s">
        <v>475</v>
      </c>
      <c r="E2368" s="14" t="s">
        <v>3048</v>
      </c>
      <c r="G2368" s="15" t="s">
        <v>1165</v>
      </c>
      <c r="H2368" s="14" t="s">
        <v>1165</v>
      </c>
      <c r="I2368" s="14" t="s">
        <v>3033</v>
      </c>
      <c r="M2368" s="14" t="s">
        <v>3034</v>
      </c>
      <c r="O2368">
        <v>2004</v>
      </c>
      <c r="Q2368" t="s">
        <v>1329</v>
      </c>
      <c r="R2368">
        <v>14</v>
      </c>
      <c r="T2368" t="s">
        <v>3035</v>
      </c>
      <c r="U2368" s="14" t="s">
        <v>1246</v>
      </c>
      <c r="V2368" s="9" t="s">
        <v>3036</v>
      </c>
      <c r="W2368">
        <v>120</v>
      </c>
      <c r="X2368" s="9" t="s">
        <v>3038</v>
      </c>
      <c r="Z2368" s="5"/>
      <c r="AD2368" s="14" t="s">
        <v>1165</v>
      </c>
      <c r="AF2368" t="s">
        <v>1165</v>
      </c>
      <c r="AI2368" t="s">
        <v>1165</v>
      </c>
      <c r="AJ2368" s="15" t="s">
        <v>1148</v>
      </c>
      <c r="AK2368" s="15">
        <v>76.759</v>
      </c>
      <c r="AL2368" t="s">
        <v>1263</v>
      </c>
      <c r="AM2368">
        <f>78.414-76.759</f>
        <v>1.6550000000000011</v>
      </c>
      <c r="AP2368">
        <v>56</v>
      </c>
      <c r="AR2368" s="15" t="s">
        <v>1155</v>
      </c>
    </row>
    <row r="2369" spans="1:44" x14ac:dyDescent="0.2">
      <c r="A2369" t="s">
        <v>1378</v>
      </c>
      <c r="B2369" s="15" t="s">
        <v>1146</v>
      </c>
      <c r="C2369" s="15" t="s">
        <v>1149</v>
      </c>
      <c r="D2369" s="14" t="s">
        <v>475</v>
      </c>
      <c r="E2369" s="14" t="s">
        <v>3048</v>
      </c>
      <c r="G2369" s="15" t="s">
        <v>1165</v>
      </c>
      <c r="H2369" s="14" t="s">
        <v>1165</v>
      </c>
      <c r="I2369" s="14" t="s">
        <v>3033</v>
      </c>
      <c r="M2369" s="14" t="s">
        <v>3034</v>
      </c>
      <c r="O2369">
        <v>2004</v>
      </c>
      <c r="Q2369" t="s">
        <v>1329</v>
      </c>
      <c r="R2369">
        <v>14</v>
      </c>
      <c r="T2369" t="s">
        <v>3035</v>
      </c>
      <c r="U2369" s="14" t="s">
        <v>1246</v>
      </c>
      <c r="V2369" s="9" t="s">
        <v>3036</v>
      </c>
      <c r="W2369">
        <v>150</v>
      </c>
      <c r="X2369" s="9" t="s">
        <v>3038</v>
      </c>
      <c r="Z2369" s="5"/>
      <c r="AD2369" s="14" t="s">
        <v>1165</v>
      </c>
      <c r="AF2369" t="s">
        <v>1165</v>
      </c>
      <c r="AI2369" t="s">
        <v>1165</v>
      </c>
      <c r="AJ2369" s="15" t="s">
        <v>1148</v>
      </c>
      <c r="AK2369" s="15">
        <v>79.516999999999996</v>
      </c>
      <c r="AL2369" t="s">
        <v>1263</v>
      </c>
      <c r="AM2369">
        <f>87.517-79.517</f>
        <v>8</v>
      </c>
      <c r="AP2369">
        <v>28</v>
      </c>
      <c r="AR2369" s="15" t="s">
        <v>1155</v>
      </c>
    </row>
    <row r="2370" spans="1:44" x14ac:dyDescent="0.2">
      <c r="A2370" t="s">
        <v>1378</v>
      </c>
      <c r="B2370" s="15" t="s">
        <v>1146</v>
      </c>
      <c r="C2370" s="15" t="s">
        <v>1149</v>
      </c>
      <c r="D2370" s="14" t="s">
        <v>475</v>
      </c>
      <c r="E2370" s="14" t="s">
        <v>3048</v>
      </c>
      <c r="G2370" s="15" t="s">
        <v>1165</v>
      </c>
      <c r="H2370" s="14" t="s">
        <v>1165</v>
      </c>
      <c r="I2370" s="14" t="s">
        <v>3033</v>
      </c>
      <c r="M2370" s="14" t="s">
        <v>3034</v>
      </c>
      <c r="O2370">
        <v>2004</v>
      </c>
      <c r="Q2370" t="s">
        <v>1329</v>
      </c>
      <c r="R2370">
        <v>14</v>
      </c>
      <c r="T2370" t="s">
        <v>3035</v>
      </c>
      <c r="U2370" s="14" t="s">
        <v>1246</v>
      </c>
      <c r="V2370" s="9" t="s">
        <v>3036</v>
      </c>
      <c r="W2370">
        <v>150</v>
      </c>
      <c r="X2370" s="9" t="s">
        <v>3038</v>
      </c>
      <c r="Z2370" s="5"/>
      <c r="AD2370" s="14" t="s">
        <v>1165</v>
      </c>
      <c r="AF2370" t="s">
        <v>1165</v>
      </c>
      <c r="AI2370" t="s">
        <v>1165</v>
      </c>
      <c r="AJ2370" s="15" t="s">
        <v>1148</v>
      </c>
      <c r="AK2370" s="15">
        <v>79.793000000000006</v>
      </c>
      <c r="AL2370" t="s">
        <v>1263</v>
      </c>
      <c r="AM2370">
        <f>87.517-79.793</f>
        <v>7.7239999999999895</v>
      </c>
      <c r="AP2370">
        <v>56</v>
      </c>
      <c r="AR2370" s="15" t="s">
        <v>1155</v>
      </c>
    </row>
    <row r="2371" spans="1:44" x14ac:dyDescent="0.2">
      <c r="A2371" t="s">
        <v>1378</v>
      </c>
      <c r="B2371" s="15" t="s">
        <v>1146</v>
      </c>
      <c r="C2371" s="15" t="s">
        <v>1149</v>
      </c>
      <c r="D2371" s="14" t="s">
        <v>475</v>
      </c>
      <c r="E2371" s="14" t="s">
        <v>3048</v>
      </c>
      <c r="G2371" s="15" t="s">
        <v>1165</v>
      </c>
      <c r="H2371" s="14" t="s">
        <v>1165</v>
      </c>
      <c r="I2371" s="14" t="s">
        <v>3033</v>
      </c>
      <c r="M2371" s="14" t="s">
        <v>3034</v>
      </c>
      <c r="O2371">
        <v>2004</v>
      </c>
      <c r="Q2371" t="s">
        <v>1329</v>
      </c>
      <c r="R2371">
        <v>14</v>
      </c>
      <c r="T2371" t="s">
        <v>3035</v>
      </c>
      <c r="U2371" s="14" t="s">
        <v>1246</v>
      </c>
      <c r="V2371" s="9" t="s">
        <v>3036</v>
      </c>
      <c r="W2371">
        <v>180</v>
      </c>
      <c r="X2371" s="9" t="s">
        <v>3038</v>
      </c>
      <c r="Z2371" s="5"/>
      <c r="AD2371" s="14" t="s">
        <v>1165</v>
      </c>
      <c r="AF2371" t="s">
        <v>1165</v>
      </c>
      <c r="AI2371" t="s">
        <v>1165</v>
      </c>
      <c r="AJ2371" s="15" t="s">
        <v>1148</v>
      </c>
      <c r="AK2371" s="15">
        <v>94.69</v>
      </c>
      <c r="AL2371" t="s">
        <v>1263</v>
      </c>
      <c r="AM2371">
        <f>100.759-94.69</f>
        <v>6.0690000000000026</v>
      </c>
      <c r="AP2371">
        <v>28</v>
      </c>
      <c r="AR2371" s="15" t="s">
        <v>1155</v>
      </c>
    </row>
    <row r="2372" spans="1:44" x14ac:dyDescent="0.2">
      <c r="A2372" t="s">
        <v>1378</v>
      </c>
      <c r="B2372" s="15" t="s">
        <v>1146</v>
      </c>
      <c r="C2372" s="15" t="s">
        <v>1149</v>
      </c>
      <c r="D2372" s="14" t="s">
        <v>475</v>
      </c>
      <c r="E2372" s="14" t="s">
        <v>3048</v>
      </c>
      <c r="G2372" s="15" t="s">
        <v>1165</v>
      </c>
      <c r="H2372" s="14" t="s">
        <v>1165</v>
      </c>
      <c r="I2372" s="14" t="s">
        <v>3033</v>
      </c>
      <c r="M2372" s="14" t="s">
        <v>3034</v>
      </c>
      <c r="O2372">
        <v>2004</v>
      </c>
      <c r="Q2372" t="s">
        <v>1329</v>
      </c>
      <c r="R2372">
        <v>14</v>
      </c>
      <c r="T2372" t="s">
        <v>3035</v>
      </c>
      <c r="U2372" s="14" t="s">
        <v>1246</v>
      </c>
      <c r="V2372" s="9" t="s">
        <v>3036</v>
      </c>
      <c r="W2372">
        <v>180</v>
      </c>
      <c r="X2372" s="9" t="s">
        <v>3038</v>
      </c>
      <c r="Z2372" s="5"/>
      <c r="AD2372" s="14" t="s">
        <v>1165</v>
      </c>
      <c r="AF2372" t="s">
        <v>1165</v>
      </c>
      <c r="AI2372" t="s">
        <v>1165</v>
      </c>
      <c r="AJ2372" s="15" t="s">
        <v>1148</v>
      </c>
      <c r="AK2372" s="15">
        <v>94.965999999999994</v>
      </c>
      <c r="AL2372" t="s">
        <v>1263</v>
      </c>
      <c r="AM2372">
        <f>101.586-94.966</f>
        <v>6.6200000000000045</v>
      </c>
      <c r="AP2372">
        <v>56</v>
      </c>
      <c r="AR2372" s="15" t="s">
        <v>1155</v>
      </c>
    </row>
    <row r="2373" spans="1:44" x14ac:dyDescent="0.2">
      <c r="A2373" t="s">
        <v>1378</v>
      </c>
      <c r="B2373" s="15" t="s">
        <v>1146</v>
      </c>
      <c r="C2373" s="15" t="s">
        <v>1149</v>
      </c>
      <c r="D2373" s="14" t="s">
        <v>475</v>
      </c>
      <c r="E2373" s="14" t="s">
        <v>3048</v>
      </c>
      <c r="G2373" s="15" t="s">
        <v>1165</v>
      </c>
      <c r="H2373" s="14" t="s">
        <v>1165</v>
      </c>
      <c r="I2373" s="14" t="s">
        <v>3033</v>
      </c>
      <c r="M2373" s="14" t="s">
        <v>3034</v>
      </c>
      <c r="O2373">
        <v>2004</v>
      </c>
      <c r="Q2373" t="s">
        <v>1329</v>
      </c>
      <c r="R2373">
        <v>14</v>
      </c>
      <c r="T2373" t="s">
        <v>3035</v>
      </c>
      <c r="U2373" s="14" t="s">
        <v>1246</v>
      </c>
      <c r="V2373" s="9" t="s">
        <v>3036</v>
      </c>
      <c r="W2373">
        <v>0</v>
      </c>
      <c r="X2373" s="9" t="s">
        <v>3039</v>
      </c>
      <c r="Z2373" s="5"/>
      <c r="AD2373" s="14" t="s">
        <v>1165</v>
      </c>
      <c r="AF2373" t="s">
        <v>1165</v>
      </c>
      <c r="AI2373" t="s">
        <v>1165</v>
      </c>
      <c r="AJ2373" s="15" t="s">
        <v>1148</v>
      </c>
      <c r="AK2373" s="15">
        <v>86.268000000000001</v>
      </c>
      <c r="AL2373" t="s">
        <v>1263</v>
      </c>
      <c r="AM2373">
        <f>93.873-86.268</f>
        <v>7.605000000000004</v>
      </c>
      <c r="AP2373">
        <v>28</v>
      </c>
      <c r="AR2373" s="15" t="s">
        <v>1155</v>
      </c>
    </row>
    <row r="2374" spans="1:44" x14ac:dyDescent="0.2">
      <c r="A2374" t="s">
        <v>1378</v>
      </c>
      <c r="B2374" s="15" t="s">
        <v>1146</v>
      </c>
      <c r="C2374" s="15" t="s">
        <v>1149</v>
      </c>
      <c r="D2374" s="14" t="s">
        <v>475</v>
      </c>
      <c r="E2374" s="14" t="s">
        <v>3048</v>
      </c>
      <c r="G2374" s="15" t="s">
        <v>1165</v>
      </c>
      <c r="H2374" s="14" t="s">
        <v>1165</v>
      </c>
      <c r="I2374" s="14" t="s">
        <v>3033</v>
      </c>
      <c r="M2374" s="14" t="s">
        <v>3034</v>
      </c>
      <c r="O2374">
        <v>2004</v>
      </c>
      <c r="Q2374" t="s">
        <v>1329</v>
      </c>
      <c r="R2374">
        <v>14</v>
      </c>
      <c r="T2374" t="s">
        <v>3035</v>
      </c>
      <c r="U2374" s="14" t="s">
        <v>1246</v>
      </c>
      <c r="V2374" s="9" t="s">
        <v>3036</v>
      </c>
      <c r="W2374">
        <v>0</v>
      </c>
      <c r="X2374" s="9" t="s">
        <v>3039</v>
      </c>
      <c r="Z2374" s="5"/>
      <c r="AD2374" s="14" t="s">
        <v>1165</v>
      </c>
      <c r="AF2374" t="s">
        <v>1165</v>
      </c>
      <c r="AI2374" t="s">
        <v>1165</v>
      </c>
      <c r="AJ2374" s="15" t="s">
        <v>1148</v>
      </c>
      <c r="AK2374" s="15">
        <v>93.028000000000006</v>
      </c>
      <c r="AL2374" t="s">
        <v>1263</v>
      </c>
      <c r="AM2374">
        <f>100.634-93.028</f>
        <v>7.6059999999999945</v>
      </c>
      <c r="AP2374">
        <v>56</v>
      </c>
      <c r="AR2374" s="15" t="s">
        <v>1155</v>
      </c>
    </row>
    <row r="2375" spans="1:44" x14ac:dyDescent="0.2">
      <c r="A2375" t="s">
        <v>1378</v>
      </c>
      <c r="B2375" s="15" t="s">
        <v>1146</v>
      </c>
      <c r="C2375" s="15" t="s">
        <v>1149</v>
      </c>
      <c r="D2375" s="14" t="s">
        <v>475</v>
      </c>
      <c r="E2375" s="14" t="s">
        <v>3048</v>
      </c>
      <c r="G2375" s="15" t="s">
        <v>1165</v>
      </c>
      <c r="H2375" s="14" t="s">
        <v>1165</v>
      </c>
      <c r="I2375" s="14" t="s">
        <v>3033</v>
      </c>
      <c r="M2375" s="14" t="s">
        <v>3034</v>
      </c>
      <c r="O2375">
        <v>2004</v>
      </c>
      <c r="Q2375" t="s">
        <v>1329</v>
      </c>
      <c r="R2375">
        <v>14</v>
      </c>
      <c r="T2375" t="s">
        <v>3035</v>
      </c>
      <c r="U2375" s="14" t="s">
        <v>1246</v>
      </c>
      <c r="V2375" s="9" t="s">
        <v>3036</v>
      </c>
      <c r="W2375">
        <v>15</v>
      </c>
      <c r="X2375" s="9" t="s">
        <v>3039</v>
      </c>
      <c r="Z2375" s="5"/>
      <c r="AD2375" s="14" t="s">
        <v>1165</v>
      </c>
      <c r="AF2375" t="s">
        <v>1165</v>
      </c>
      <c r="AI2375" t="s">
        <v>1165</v>
      </c>
      <c r="AJ2375" s="15" t="s">
        <v>1148</v>
      </c>
      <c r="AK2375" s="15">
        <v>71.055999999999997</v>
      </c>
      <c r="AL2375" t="s">
        <v>1263</v>
      </c>
      <c r="AM2375">
        <f>86.549-71.056</f>
        <v>15.493000000000009</v>
      </c>
      <c r="AP2375">
        <v>28</v>
      </c>
      <c r="AR2375" s="15" t="s">
        <v>1155</v>
      </c>
    </row>
    <row r="2376" spans="1:44" x14ac:dyDescent="0.2">
      <c r="A2376" t="s">
        <v>1378</v>
      </c>
      <c r="B2376" s="15" t="s">
        <v>1146</v>
      </c>
      <c r="C2376" s="15" t="s">
        <v>1149</v>
      </c>
      <c r="D2376" s="14" t="s">
        <v>475</v>
      </c>
      <c r="E2376" s="14" t="s">
        <v>3048</v>
      </c>
      <c r="G2376" s="15" t="s">
        <v>1165</v>
      </c>
      <c r="H2376" s="14" t="s">
        <v>1165</v>
      </c>
      <c r="I2376" s="14" t="s">
        <v>3033</v>
      </c>
      <c r="M2376" s="14" t="s">
        <v>3034</v>
      </c>
      <c r="O2376">
        <v>2004</v>
      </c>
      <c r="Q2376" t="s">
        <v>1329</v>
      </c>
      <c r="R2376">
        <v>14</v>
      </c>
      <c r="T2376" t="s">
        <v>3035</v>
      </c>
      <c r="U2376" s="14" t="s">
        <v>1246</v>
      </c>
      <c r="V2376" s="9" t="s">
        <v>3036</v>
      </c>
      <c r="W2376">
        <v>15</v>
      </c>
      <c r="X2376" s="9" t="s">
        <v>3039</v>
      </c>
      <c r="Z2376" s="5"/>
      <c r="AD2376" s="14" t="s">
        <v>1165</v>
      </c>
      <c r="AF2376" t="s">
        <v>1165</v>
      </c>
      <c r="AI2376" t="s">
        <v>1165</v>
      </c>
      <c r="AJ2376" s="15" t="s">
        <v>1148</v>
      </c>
      <c r="AK2376" s="15">
        <v>71.900999999999996</v>
      </c>
      <c r="AL2376" t="s">
        <v>1263</v>
      </c>
      <c r="AM2376">
        <f>87.394-71.901</f>
        <v>15.493000000000009</v>
      </c>
      <c r="AP2376">
        <v>56</v>
      </c>
      <c r="AR2376" s="15" t="s">
        <v>1155</v>
      </c>
    </row>
    <row r="2377" spans="1:44" x14ac:dyDescent="0.2">
      <c r="A2377" t="s">
        <v>1378</v>
      </c>
      <c r="B2377" s="15" t="s">
        <v>1146</v>
      </c>
      <c r="C2377" s="15" t="s">
        <v>1149</v>
      </c>
      <c r="D2377" s="14" t="s">
        <v>475</v>
      </c>
      <c r="E2377" s="14" t="s">
        <v>3048</v>
      </c>
      <c r="G2377" s="15" t="s">
        <v>1165</v>
      </c>
      <c r="H2377" s="14" t="s">
        <v>1165</v>
      </c>
      <c r="I2377" s="14" t="s">
        <v>3033</v>
      </c>
      <c r="M2377" s="14" t="s">
        <v>3034</v>
      </c>
      <c r="O2377">
        <v>2004</v>
      </c>
      <c r="Q2377" t="s">
        <v>1329</v>
      </c>
      <c r="R2377">
        <v>14</v>
      </c>
      <c r="T2377" t="s">
        <v>3035</v>
      </c>
      <c r="U2377" s="14" t="s">
        <v>1246</v>
      </c>
      <c r="V2377" s="9" t="s">
        <v>3036</v>
      </c>
      <c r="W2377">
        <v>30</v>
      </c>
      <c r="X2377" s="9" t="s">
        <v>3039</v>
      </c>
      <c r="Z2377" s="5"/>
      <c r="AD2377" s="14" t="s">
        <v>1165</v>
      </c>
      <c r="AF2377" t="s">
        <v>1165</v>
      </c>
      <c r="AI2377" t="s">
        <v>1165</v>
      </c>
      <c r="AJ2377" s="15" t="s">
        <v>1148</v>
      </c>
      <c r="AK2377" s="15">
        <v>83.239000000000004</v>
      </c>
      <c r="AL2377" t="s">
        <v>1263</v>
      </c>
      <c r="AM2377">
        <f>85.704-83.239</f>
        <v>2.4649999999999892</v>
      </c>
      <c r="AP2377">
        <v>28</v>
      </c>
      <c r="AR2377" s="15" t="s">
        <v>1155</v>
      </c>
    </row>
    <row r="2378" spans="1:44" x14ac:dyDescent="0.2">
      <c r="A2378" t="s">
        <v>1378</v>
      </c>
      <c r="B2378" s="15" t="s">
        <v>1146</v>
      </c>
      <c r="C2378" s="15" t="s">
        <v>1149</v>
      </c>
      <c r="D2378" s="14" t="s">
        <v>475</v>
      </c>
      <c r="E2378" s="14" t="s">
        <v>3048</v>
      </c>
      <c r="G2378" s="15" t="s">
        <v>1165</v>
      </c>
      <c r="H2378" s="14" t="s">
        <v>1165</v>
      </c>
      <c r="I2378" s="14" t="s">
        <v>3033</v>
      </c>
      <c r="M2378" s="14" t="s">
        <v>3034</v>
      </c>
      <c r="O2378">
        <v>2004</v>
      </c>
      <c r="Q2378" t="s">
        <v>1329</v>
      </c>
      <c r="R2378">
        <v>14</v>
      </c>
      <c r="T2378" t="s">
        <v>3035</v>
      </c>
      <c r="U2378" s="14" t="s">
        <v>1246</v>
      </c>
      <c r="V2378" s="9" t="s">
        <v>3036</v>
      </c>
      <c r="W2378">
        <v>30</v>
      </c>
      <c r="X2378" s="9" t="s">
        <v>3039</v>
      </c>
      <c r="Z2378" s="5"/>
      <c r="AD2378" s="14" t="s">
        <v>1165</v>
      </c>
      <c r="AF2378" t="s">
        <v>1165</v>
      </c>
      <c r="AI2378" t="s">
        <v>1165</v>
      </c>
      <c r="AJ2378" s="15" t="s">
        <v>1148</v>
      </c>
      <c r="AK2378" s="15">
        <v>83.168999999999997</v>
      </c>
      <c r="AL2378" t="s">
        <v>1263</v>
      </c>
      <c r="AM2378">
        <f>85.986-83.169</f>
        <v>2.8170000000000073</v>
      </c>
      <c r="AP2378">
        <v>56</v>
      </c>
      <c r="AR2378" s="15" t="s">
        <v>1155</v>
      </c>
    </row>
    <row r="2379" spans="1:44" x14ac:dyDescent="0.2">
      <c r="A2379" t="s">
        <v>1378</v>
      </c>
      <c r="B2379" s="15" t="s">
        <v>1146</v>
      </c>
      <c r="C2379" s="15" t="s">
        <v>1149</v>
      </c>
      <c r="D2379" s="14" t="s">
        <v>475</v>
      </c>
      <c r="E2379" s="14" t="s">
        <v>3048</v>
      </c>
      <c r="G2379" s="15" t="s">
        <v>1165</v>
      </c>
      <c r="H2379" s="14" t="s">
        <v>1165</v>
      </c>
      <c r="I2379" s="14" t="s">
        <v>3033</v>
      </c>
      <c r="M2379" s="14" t="s">
        <v>3034</v>
      </c>
      <c r="O2379">
        <v>2004</v>
      </c>
      <c r="Q2379" t="s">
        <v>1329</v>
      </c>
      <c r="R2379">
        <v>14</v>
      </c>
      <c r="T2379" t="s">
        <v>3035</v>
      </c>
      <c r="U2379" s="14" t="s">
        <v>1246</v>
      </c>
      <c r="V2379" s="9" t="s">
        <v>3036</v>
      </c>
      <c r="W2379">
        <v>60</v>
      </c>
      <c r="X2379" s="9" t="s">
        <v>3039</v>
      </c>
      <c r="Z2379" s="5"/>
      <c r="AD2379" s="14" t="s">
        <v>1165</v>
      </c>
      <c r="AF2379" t="s">
        <v>1165</v>
      </c>
      <c r="AI2379" t="s">
        <v>1165</v>
      </c>
      <c r="AJ2379" s="15" t="s">
        <v>1148</v>
      </c>
      <c r="AK2379" s="15">
        <v>84.858999999999995</v>
      </c>
      <c r="AL2379" t="s">
        <v>1263</v>
      </c>
      <c r="AM2379">
        <f>86.831-84.859</f>
        <v>1.9720000000000084</v>
      </c>
      <c r="AP2379">
        <v>28</v>
      </c>
      <c r="AR2379" s="15" t="s">
        <v>1155</v>
      </c>
    </row>
    <row r="2380" spans="1:44" x14ac:dyDescent="0.2">
      <c r="A2380" t="s">
        <v>1378</v>
      </c>
      <c r="B2380" s="15" t="s">
        <v>1146</v>
      </c>
      <c r="C2380" s="15" t="s">
        <v>1149</v>
      </c>
      <c r="D2380" s="14" t="s">
        <v>475</v>
      </c>
      <c r="E2380" s="14" t="s">
        <v>3048</v>
      </c>
      <c r="G2380" s="15" t="s">
        <v>1165</v>
      </c>
      <c r="H2380" s="14" t="s">
        <v>1165</v>
      </c>
      <c r="I2380" s="14" t="s">
        <v>3033</v>
      </c>
      <c r="M2380" s="14" t="s">
        <v>3034</v>
      </c>
      <c r="O2380">
        <v>2004</v>
      </c>
      <c r="Q2380" t="s">
        <v>1329</v>
      </c>
      <c r="R2380">
        <v>14</v>
      </c>
      <c r="T2380" t="s">
        <v>3035</v>
      </c>
      <c r="U2380" s="14" t="s">
        <v>1246</v>
      </c>
      <c r="V2380" s="9" t="s">
        <v>3036</v>
      </c>
      <c r="W2380">
        <v>60</v>
      </c>
      <c r="X2380" s="9" t="s">
        <v>3039</v>
      </c>
      <c r="Z2380" s="5"/>
      <c r="AD2380" s="14" t="s">
        <v>1165</v>
      </c>
      <c r="AF2380" t="s">
        <v>1165</v>
      </c>
      <c r="AI2380" t="s">
        <v>1165</v>
      </c>
      <c r="AJ2380" s="15" t="s">
        <v>1148</v>
      </c>
      <c r="AK2380" s="15">
        <v>84.296000000000006</v>
      </c>
      <c r="AL2380" t="s">
        <v>1263</v>
      </c>
      <c r="AM2380">
        <f>86.831-84.296</f>
        <v>2.5349999999999966</v>
      </c>
      <c r="AP2380">
        <v>56</v>
      </c>
      <c r="AR2380" s="15" t="s">
        <v>1155</v>
      </c>
    </row>
    <row r="2381" spans="1:44" x14ac:dyDescent="0.2">
      <c r="A2381" t="s">
        <v>1378</v>
      </c>
      <c r="B2381" s="15" t="s">
        <v>1146</v>
      </c>
      <c r="C2381" s="15" t="s">
        <v>1149</v>
      </c>
      <c r="D2381" s="14" t="s">
        <v>475</v>
      </c>
      <c r="E2381" s="14" t="s">
        <v>3048</v>
      </c>
      <c r="G2381" s="15" t="s">
        <v>1165</v>
      </c>
      <c r="H2381" s="14" t="s">
        <v>1165</v>
      </c>
      <c r="I2381" s="14" t="s">
        <v>3033</v>
      </c>
      <c r="M2381" s="14" t="s">
        <v>3034</v>
      </c>
      <c r="O2381">
        <v>2004</v>
      </c>
      <c r="Q2381" t="s">
        <v>1329</v>
      </c>
      <c r="R2381">
        <v>14</v>
      </c>
      <c r="T2381" t="s">
        <v>3035</v>
      </c>
      <c r="U2381" s="14" t="s">
        <v>1246</v>
      </c>
      <c r="V2381" s="9" t="s">
        <v>3036</v>
      </c>
      <c r="W2381">
        <v>90</v>
      </c>
      <c r="X2381" s="9" t="s">
        <v>3039</v>
      </c>
      <c r="Z2381" s="5"/>
      <c r="AD2381" s="14" t="s">
        <v>1165</v>
      </c>
      <c r="AF2381" t="s">
        <v>1165</v>
      </c>
      <c r="AI2381" t="s">
        <v>1165</v>
      </c>
      <c r="AJ2381" s="15" t="s">
        <v>1148</v>
      </c>
      <c r="AK2381" s="15">
        <v>100</v>
      </c>
      <c r="AL2381" t="s">
        <v>1263</v>
      </c>
      <c r="AM2381">
        <f>102.324-100.915</f>
        <v>1.4089999999999918</v>
      </c>
      <c r="AP2381">
        <v>28</v>
      </c>
      <c r="AR2381" s="15" t="s">
        <v>1155</v>
      </c>
    </row>
    <row r="2382" spans="1:44" x14ac:dyDescent="0.2">
      <c r="A2382" t="s">
        <v>1378</v>
      </c>
      <c r="B2382" s="15" t="s">
        <v>1146</v>
      </c>
      <c r="C2382" s="15" t="s">
        <v>1149</v>
      </c>
      <c r="D2382" s="14" t="s">
        <v>475</v>
      </c>
      <c r="E2382" s="14" t="s">
        <v>3048</v>
      </c>
      <c r="G2382" s="15" t="s">
        <v>1165</v>
      </c>
      <c r="H2382" s="14" t="s">
        <v>1165</v>
      </c>
      <c r="I2382" s="14" t="s">
        <v>3033</v>
      </c>
      <c r="M2382" s="14" t="s">
        <v>3034</v>
      </c>
      <c r="O2382">
        <v>2004</v>
      </c>
      <c r="Q2382" t="s">
        <v>1329</v>
      </c>
      <c r="R2382">
        <v>14</v>
      </c>
      <c r="T2382" t="s">
        <v>3035</v>
      </c>
      <c r="U2382" s="14" t="s">
        <v>1246</v>
      </c>
      <c r="V2382" s="9" t="s">
        <v>3036</v>
      </c>
      <c r="W2382">
        <v>90</v>
      </c>
      <c r="X2382" s="9" t="s">
        <v>3039</v>
      </c>
      <c r="Z2382" s="5"/>
      <c r="AD2382" s="14" t="s">
        <v>1165</v>
      </c>
      <c r="AF2382" t="s">
        <v>1165</v>
      </c>
      <c r="AI2382" t="s">
        <v>1165</v>
      </c>
      <c r="AJ2382" s="15" t="s">
        <v>1148</v>
      </c>
      <c r="AK2382" s="15">
        <v>100</v>
      </c>
      <c r="AL2382" t="s">
        <v>1263</v>
      </c>
      <c r="AM2382">
        <f>102.606-100.634</f>
        <v>1.9719999999999942</v>
      </c>
      <c r="AP2382">
        <v>56</v>
      </c>
      <c r="AR2382" s="15" t="s">
        <v>1155</v>
      </c>
    </row>
    <row r="2383" spans="1:44" x14ac:dyDescent="0.2">
      <c r="A2383" t="s">
        <v>1378</v>
      </c>
      <c r="B2383" s="15" t="s">
        <v>1146</v>
      </c>
      <c r="C2383" s="15" t="s">
        <v>1149</v>
      </c>
      <c r="D2383" s="14" t="s">
        <v>475</v>
      </c>
      <c r="E2383" s="14" t="s">
        <v>3048</v>
      </c>
      <c r="G2383" s="15" t="s">
        <v>1165</v>
      </c>
      <c r="H2383" s="14" t="s">
        <v>1165</v>
      </c>
      <c r="I2383" s="14" t="s">
        <v>3033</v>
      </c>
      <c r="M2383" s="14" t="s">
        <v>3034</v>
      </c>
      <c r="O2383">
        <v>2004</v>
      </c>
      <c r="Q2383" t="s">
        <v>1329</v>
      </c>
      <c r="R2383">
        <v>14</v>
      </c>
      <c r="T2383" t="s">
        <v>3035</v>
      </c>
      <c r="U2383" s="14" t="s">
        <v>1246</v>
      </c>
      <c r="V2383" s="9" t="s">
        <v>3036</v>
      </c>
      <c r="W2383">
        <v>120</v>
      </c>
      <c r="X2383" s="9" t="s">
        <v>3039</v>
      </c>
      <c r="Z2383" s="5"/>
      <c r="AD2383" s="14" t="s">
        <v>1165</v>
      </c>
      <c r="AF2383" t="s">
        <v>1165</v>
      </c>
      <c r="AI2383" t="s">
        <v>1165</v>
      </c>
      <c r="AJ2383" s="15" t="s">
        <v>1148</v>
      </c>
      <c r="AK2383" s="15">
        <v>90.492999999999995</v>
      </c>
      <c r="AL2383" t="s">
        <v>1263</v>
      </c>
      <c r="AM2383">
        <f>96.127-90.493</f>
        <v>5.6340000000000003</v>
      </c>
      <c r="AP2383">
        <v>28</v>
      </c>
      <c r="AR2383" s="15" t="s">
        <v>1155</v>
      </c>
    </row>
    <row r="2384" spans="1:44" x14ac:dyDescent="0.2">
      <c r="A2384" t="s">
        <v>1378</v>
      </c>
      <c r="B2384" s="15" t="s">
        <v>1146</v>
      </c>
      <c r="C2384" s="15" t="s">
        <v>1149</v>
      </c>
      <c r="D2384" s="14" t="s">
        <v>475</v>
      </c>
      <c r="E2384" s="14" t="s">
        <v>3048</v>
      </c>
      <c r="G2384" s="15" t="s">
        <v>1165</v>
      </c>
      <c r="H2384" s="14" t="s">
        <v>1165</v>
      </c>
      <c r="I2384" s="14" t="s">
        <v>3033</v>
      </c>
      <c r="M2384" s="14" t="s">
        <v>3034</v>
      </c>
      <c r="O2384">
        <v>2004</v>
      </c>
      <c r="Q2384" t="s">
        <v>1329</v>
      </c>
      <c r="R2384">
        <v>14</v>
      </c>
      <c r="T2384" t="s">
        <v>3035</v>
      </c>
      <c r="U2384" s="14" t="s">
        <v>1246</v>
      </c>
      <c r="V2384" s="9" t="s">
        <v>3036</v>
      </c>
      <c r="W2384">
        <v>120</v>
      </c>
      <c r="X2384" s="9" t="s">
        <v>3039</v>
      </c>
      <c r="Z2384" s="5"/>
      <c r="AD2384" s="14" t="s">
        <v>1165</v>
      </c>
      <c r="AF2384" t="s">
        <v>1165</v>
      </c>
      <c r="AI2384" t="s">
        <v>1165</v>
      </c>
      <c r="AJ2384" s="15" t="s">
        <v>1148</v>
      </c>
      <c r="AK2384" s="15">
        <v>90.492999999999995</v>
      </c>
      <c r="AL2384" t="s">
        <v>1263</v>
      </c>
      <c r="AM2384">
        <f>96.127-90.493</f>
        <v>5.6340000000000003</v>
      </c>
      <c r="AP2384">
        <v>56</v>
      </c>
      <c r="AR2384" s="15" t="s">
        <v>1155</v>
      </c>
    </row>
    <row r="2385" spans="1:44" x14ac:dyDescent="0.2">
      <c r="A2385" t="s">
        <v>1378</v>
      </c>
      <c r="B2385" s="15" t="s">
        <v>1146</v>
      </c>
      <c r="C2385" s="15" t="s">
        <v>1149</v>
      </c>
      <c r="D2385" s="14" t="s">
        <v>475</v>
      </c>
      <c r="E2385" s="14" t="s">
        <v>3048</v>
      </c>
      <c r="G2385" s="15" t="s">
        <v>1165</v>
      </c>
      <c r="H2385" s="14" t="s">
        <v>1165</v>
      </c>
      <c r="I2385" s="14" t="s">
        <v>3033</v>
      </c>
      <c r="M2385" s="14" t="s">
        <v>3034</v>
      </c>
      <c r="O2385">
        <v>2004</v>
      </c>
      <c r="Q2385" t="s">
        <v>1329</v>
      </c>
      <c r="R2385">
        <v>14</v>
      </c>
      <c r="T2385" t="s">
        <v>3035</v>
      </c>
      <c r="U2385" s="14" t="s">
        <v>1246</v>
      </c>
      <c r="V2385" s="9" t="s">
        <v>3036</v>
      </c>
      <c r="W2385">
        <v>150</v>
      </c>
      <c r="X2385" s="9" t="s">
        <v>3039</v>
      </c>
      <c r="Z2385" s="5"/>
      <c r="AD2385" s="14" t="s">
        <v>1165</v>
      </c>
      <c r="AF2385" t="s">
        <v>1165</v>
      </c>
      <c r="AI2385" t="s">
        <v>1165</v>
      </c>
      <c r="AJ2385" s="15" t="s">
        <v>1148</v>
      </c>
      <c r="AK2385" s="15">
        <v>84.013999999999996</v>
      </c>
      <c r="AL2385" t="s">
        <v>1263</v>
      </c>
      <c r="AM2385">
        <f>90.211-84.014</f>
        <v>6.1970000000000027</v>
      </c>
      <c r="AP2385">
        <v>28</v>
      </c>
      <c r="AR2385" s="15" t="s">
        <v>1155</v>
      </c>
    </row>
    <row r="2386" spans="1:44" x14ac:dyDescent="0.2">
      <c r="A2386" t="s">
        <v>1378</v>
      </c>
      <c r="B2386" s="15" t="s">
        <v>1146</v>
      </c>
      <c r="C2386" s="15" t="s">
        <v>1149</v>
      </c>
      <c r="D2386" s="14" t="s">
        <v>475</v>
      </c>
      <c r="E2386" s="14" t="s">
        <v>3048</v>
      </c>
      <c r="G2386" s="15" t="s">
        <v>1165</v>
      </c>
      <c r="H2386" s="14" t="s">
        <v>1165</v>
      </c>
      <c r="I2386" s="14" t="s">
        <v>3033</v>
      </c>
      <c r="M2386" s="14" t="s">
        <v>3034</v>
      </c>
      <c r="O2386">
        <v>2004</v>
      </c>
      <c r="Q2386" t="s">
        <v>1329</v>
      </c>
      <c r="R2386">
        <v>14</v>
      </c>
      <c r="T2386" t="s">
        <v>3035</v>
      </c>
      <c r="U2386" s="14" t="s">
        <v>1246</v>
      </c>
      <c r="V2386" s="9" t="s">
        <v>3036</v>
      </c>
      <c r="W2386">
        <v>150</v>
      </c>
      <c r="X2386" s="9" t="s">
        <v>3039</v>
      </c>
      <c r="Z2386" s="5"/>
      <c r="AD2386" s="14" t="s">
        <v>1165</v>
      </c>
      <c r="AF2386" t="s">
        <v>1165</v>
      </c>
      <c r="AI2386" t="s">
        <v>1165</v>
      </c>
      <c r="AJ2386" s="15" t="s">
        <v>1148</v>
      </c>
      <c r="AK2386" s="15">
        <v>84.858999999999995</v>
      </c>
      <c r="AL2386" t="s">
        <v>1263</v>
      </c>
      <c r="AM2386">
        <f>89.366-84.859</f>
        <v>4.507000000000005</v>
      </c>
      <c r="AP2386">
        <v>56</v>
      </c>
      <c r="AR2386" s="15" t="s">
        <v>1155</v>
      </c>
    </row>
    <row r="2387" spans="1:44" x14ac:dyDescent="0.2">
      <c r="A2387" t="s">
        <v>1378</v>
      </c>
      <c r="B2387" s="15" t="s">
        <v>1146</v>
      </c>
      <c r="C2387" s="15" t="s">
        <v>1149</v>
      </c>
      <c r="D2387" s="14" t="s">
        <v>475</v>
      </c>
      <c r="E2387" s="14" t="s">
        <v>3048</v>
      </c>
      <c r="G2387" s="15" t="s">
        <v>1165</v>
      </c>
      <c r="H2387" s="14" t="s">
        <v>1165</v>
      </c>
      <c r="I2387" s="14" t="s">
        <v>3033</v>
      </c>
      <c r="M2387" s="14" t="s">
        <v>3034</v>
      </c>
      <c r="O2387">
        <v>2004</v>
      </c>
      <c r="Q2387" t="s">
        <v>1329</v>
      </c>
      <c r="R2387">
        <v>14</v>
      </c>
      <c r="T2387" t="s">
        <v>3035</v>
      </c>
      <c r="U2387" s="14" t="s">
        <v>1246</v>
      </c>
      <c r="V2387" s="9" t="s">
        <v>3036</v>
      </c>
      <c r="W2387">
        <v>180</v>
      </c>
      <c r="X2387" s="9" t="s">
        <v>3039</v>
      </c>
      <c r="Z2387" s="5"/>
      <c r="AD2387" s="14" t="s">
        <v>1165</v>
      </c>
      <c r="AF2387" t="s">
        <v>1165</v>
      </c>
      <c r="AI2387" t="s">
        <v>1165</v>
      </c>
      <c r="AJ2387" s="15" t="s">
        <v>1148</v>
      </c>
      <c r="AK2387" s="15">
        <v>87.394000000000005</v>
      </c>
      <c r="AL2387" t="s">
        <v>1263</v>
      </c>
      <c r="AM2387">
        <f>92.183-87.394</f>
        <v>4.7890000000000015</v>
      </c>
      <c r="AP2387">
        <v>28</v>
      </c>
      <c r="AR2387" s="15" t="s">
        <v>1155</v>
      </c>
    </row>
    <row r="2388" spans="1:44" x14ac:dyDescent="0.2">
      <c r="A2388" t="s">
        <v>1378</v>
      </c>
      <c r="B2388" s="15" t="s">
        <v>1146</v>
      </c>
      <c r="C2388" s="15" t="s">
        <v>1149</v>
      </c>
      <c r="D2388" s="14" t="s">
        <v>475</v>
      </c>
      <c r="E2388" s="14" t="s">
        <v>3048</v>
      </c>
      <c r="G2388" s="15" t="s">
        <v>1165</v>
      </c>
      <c r="H2388" s="14" t="s">
        <v>1165</v>
      </c>
      <c r="I2388" s="14" t="s">
        <v>3033</v>
      </c>
      <c r="M2388" s="14" t="s">
        <v>3034</v>
      </c>
      <c r="O2388">
        <v>2004</v>
      </c>
      <c r="Q2388" t="s">
        <v>1329</v>
      </c>
      <c r="R2388">
        <v>14</v>
      </c>
      <c r="T2388" t="s">
        <v>3035</v>
      </c>
      <c r="U2388" s="14" t="s">
        <v>1246</v>
      </c>
      <c r="V2388" s="9" t="s">
        <v>3036</v>
      </c>
      <c r="W2388">
        <v>180</v>
      </c>
      <c r="X2388" s="9" t="s">
        <v>3039</v>
      </c>
      <c r="Z2388" s="5"/>
      <c r="AD2388" s="14" t="s">
        <v>1165</v>
      </c>
      <c r="AF2388" t="s">
        <v>1165</v>
      </c>
      <c r="AI2388" t="s">
        <v>1165</v>
      </c>
      <c r="AJ2388" s="15" t="s">
        <v>1148</v>
      </c>
      <c r="AK2388" s="15">
        <v>87.957999999999998</v>
      </c>
      <c r="AL2388" t="s">
        <v>1263</v>
      </c>
      <c r="AM2388">
        <f>92.746-87.958</f>
        <v>4.7879999999999967</v>
      </c>
      <c r="AP2388">
        <v>56</v>
      </c>
      <c r="AR2388" s="15" t="s">
        <v>1155</v>
      </c>
    </row>
    <row r="2389" spans="1:44" x14ac:dyDescent="0.2">
      <c r="A2389" t="s">
        <v>1378</v>
      </c>
      <c r="B2389" s="15" t="s">
        <v>1146</v>
      </c>
      <c r="C2389" s="15" t="s">
        <v>1149</v>
      </c>
      <c r="D2389" s="14" t="s">
        <v>475</v>
      </c>
      <c r="E2389" s="14" t="s">
        <v>3048</v>
      </c>
      <c r="G2389" s="15" t="s">
        <v>1165</v>
      </c>
      <c r="H2389" s="14" t="s">
        <v>1165</v>
      </c>
      <c r="I2389" s="14" t="s">
        <v>3033</v>
      </c>
      <c r="M2389" s="14" t="s">
        <v>3034</v>
      </c>
      <c r="O2389">
        <v>2004</v>
      </c>
      <c r="Q2389" t="s">
        <v>1329</v>
      </c>
      <c r="R2389">
        <v>14</v>
      </c>
      <c r="T2389" t="s">
        <v>3035</v>
      </c>
      <c r="U2389" s="14" t="s">
        <v>1246</v>
      </c>
      <c r="V2389" s="9" t="s">
        <v>3036</v>
      </c>
      <c r="W2389">
        <v>0</v>
      </c>
      <c r="X2389" s="9" t="s">
        <v>3040</v>
      </c>
      <c r="Z2389" s="5"/>
      <c r="AD2389" s="14" t="s">
        <v>1165</v>
      </c>
      <c r="AF2389" t="s">
        <v>1165</v>
      </c>
      <c r="AI2389" t="s">
        <v>1165</v>
      </c>
      <c r="AJ2389" s="15" t="s">
        <v>1148</v>
      </c>
      <c r="AK2389" s="15">
        <v>0</v>
      </c>
      <c r="AL2389" t="s">
        <v>1263</v>
      </c>
      <c r="AM2389">
        <v>0</v>
      </c>
      <c r="AP2389">
        <v>28</v>
      </c>
      <c r="AR2389" s="15" t="s">
        <v>1155</v>
      </c>
    </row>
    <row r="2390" spans="1:44" x14ac:dyDescent="0.2">
      <c r="A2390" t="s">
        <v>1378</v>
      </c>
      <c r="B2390" s="15" t="s">
        <v>1146</v>
      </c>
      <c r="C2390" s="15" t="s">
        <v>1149</v>
      </c>
      <c r="D2390" s="14" t="s">
        <v>475</v>
      </c>
      <c r="E2390" s="14" t="s">
        <v>3048</v>
      </c>
      <c r="G2390" s="15" t="s">
        <v>1165</v>
      </c>
      <c r="H2390" s="14" t="s">
        <v>1165</v>
      </c>
      <c r="I2390" s="14" t="s">
        <v>3033</v>
      </c>
      <c r="M2390" s="14" t="s">
        <v>3034</v>
      </c>
      <c r="O2390">
        <v>2004</v>
      </c>
      <c r="Q2390" t="s">
        <v>1329</v>
      </c>
      <c r="R2390">
        <v>14</v>
      </c>
      <c r="T2390" t="s">
        <v>3035</v>
      </c>
      <c r="U2390" s="14" t="s">
        <v>1246</v>
      </c>
      <c r="V2390" s="9" t="s">
        <v>3036</v>
      </c>
      <c r="W2390">
        <v>0</v>
      </c>
      <c r="X2390" s="9" t="s">
        <v>3040</v>
      </c>
      <c r="Z2390" s="5"/>
      <c r="AD2390" s="14" t="s">
        <v>1165</v>
      </c>
      <c r="AF2390" t="s">
        <v>1165</v>
      </c>
      <c r="AI2390" t="s">
        <v>1165</v>
      </c>
      <c r="AJ2390" s="15" t="s">
        <v>1148</v>
      </c>
      <c r="AK2390" s="15">
        <v>15.202999999999999</v>
      </c>
      <c r="AL2390" t="s">
        <v>1263</v>
      </c>
      <c r="AM2390">
        <f>18.851-15.203</f>
        <v>3.6479999999999997</v>
      </c>
      <c r="AP2390">
        <v>56</v>
      </c>
      <c r="AR2390" s="15" t="s">
        <v>1155</v>
      </c>
    </row>
    <row r="2391" spans="1:44" x14ac:dyDescent="0.2">
      <c r="A2391" t="s">
        <v>1378</v>
      </c>
      <c r="B2391" s="15" t="s">
        <v>1146</v>
      </c>
      <c r="C2391" s="15" t="s">
        <v>1149</v>
      </c>
      <c r="D2391" s="14" t="s">
        <v>475</v>
      </c>
      <c r="E2391" s="14" t="s">
        <v>3048</v>
      </c>
      <c r="G2391" s="15" t="s">
        <v>1165</v>
      </c>
      <c r="H2391" s="14" t="s">
        <v>1165</v>
      </c>
      <c r="I2391" s="14" t="s">
        <v>3033</v>
      </c>
      <c r="M2391" s="14" t="s">
        <v>3034</v>
      </c>
      <c r="O2391">
        <v>2004</v>
      </c>
      <c r="Q2391" t="s">
        <v>1329</v>
      </c>
      <c r="R2391">
        <v>14</v>
      </c>
      <c r="T2391" t="s">
        <v>3035</v>
      </c>
      <c r="U2391" s="14" t="s">
        <v>1246</v>
      </c>
      <c r="V2391" s="9" t="s">
        <v>3036</v>
      </c>
      <c r="W2391">
        <v>15</v>
      </c>
      <c r="X2391" s="9" t="s">
        <v>3040</v>
      </c>
      <c r="Z2391" s="5"/>
      <c r="AD2391" s="14" t="s">
        <v>1165</v>
      </c>
      <c r="AF2391" t="s">
        <v>1165</v>
      </c>
      <c r="AI2391" t="s">
        <v>1165</v>
      </c>
      <c r="AJ2391" s="15" t="s">
        <v>1148</v>
      </c>
      <c r="AK2391" s="15">
        <v>3.851</v>
      </c>
      <c r="AL2391" t="s">
        <v>1263</v>
      </c>
      <c r="AM2391">
        <f>5.473-3.851</f>
        <v>1.6219999999999999</v>
      </c>
      <c r="AP2391">
        <v>28</v>
      </c>
      <c r="AR2391" s="15" t="s">
        <v>1155</v>
      </c>
    </row>
    <row r="2392" spans="1:44" x14ac:dyDescent="0.2">
      <c r="A2392" t="s">
        <v>1378</v>
      </c>
      <c r="B2392" s="15" t="s">
        <v>1146</v>
      </c>
      <c r="C2392" s="15" t="s">
        <v>1149</v>
      </c>
      <c r="D2392" s="14" t="s">
        <v>475</v>
      </c>
      <c r="E2392" s="14" t="s">
        <v>3048</v>
      </c>
      <c r="G2392" s="15" t="s">
        <v>1165</v>
      </c>
      <c r="H2392" s="14" t="s">
        <v>1165</v>
      </c>
      <c r="I2392" s="14" t="s">
        <v>3033</v>
      </c>
      <c r="M2392" s="14" t="s">
        <v>3034</v>
      </c>
      <c r="O2392">
        <v>2004</v>
      </c>
      <c r="Q2392" t="s">
        <v>1329</v>
      </c>
      <c r="R2392">
        <v>14</v>
      </c>
      <c r="T2392" t="s">
        <v>3035</v>
      </c>
      <c r="U2392" s="14" t="s">
        <v>1246</v>
      </c>
      <c r="V2392" s="9" t="s">
        <v>3036</v>
      </c>
      <c r="W2392">
        <v>15</v>
      </c>
      <c r="X2392" s="9" t="s">
        <v>3040</v>
      </c>
      <c r="Z2392" s="5"/>
      <c r="AD2392" s="14" t="s">
        <v>1165</v>
      </c>
      <c r="AF2392" t="s">
        <v>1165</v>
      </c>
      <c r="AI2392" t="s">
        <v>1165</v>
      </c>
      <c r="AJ2392" s="15" t="s">
        <v>1148</v>
      </c>
      <c r="AK2392" s="15">
        <v>13.581</v>
      </c>
      <c r="AL2392" t="s">
        <v>1263</v>
      </c>
      <c r="AM2392">
        <f>19.257-13.581</f>
        <v>5.6760000000000019</v>
      </c>
      <c r="AP2392">
        <v>56</v>
      </c>
      <c r="AR2392" s="15" t="s">
        <v>1155</v>
      </c>
    </row>
    <row r="2393" spans="1:44" x14ac:dyDescent="0.2">
      <c r="A2393" t="s">
        <v>1378</v>
      </c>
      <c r="B2393" s="15" t="s">
        <v>1146</v>
      </c>
      <c r="C2393" s="15" t="s">
        <v>1149</v>
      </c>
      <c r="D2393" s="14" t="s">
        <v>475</v>
      </c>
      <c r="E2393" s="14" t="s">
        <v>3048</v>
      </c>
      <c r="G2393" s="15" t="s">
        <v>1165</v>
      </c>
      <c r="H2393" s="14" t="s">
        <v>1165</v>
      </c>
      <c r="I2393" s="14" t="s">
        <v>3033</v>
      </c>
      <c r="M2393" s="14" t="s">
        <v>3034</v>
      </c>
      <c r="O2393">
        <v>2004</v>
      </c>
      <c r="Q2393" t="s">
        <v>1329</v>
      </c>
      <c r="R2393">
        <v>14</v>
      </c>
      <c r="T2393" t="s">
        <v>3035</v>
      </c>
      <c r="U2393" s="14" t="s">
        <v>1246</v>
      </c>
      <c r="V2393" s="9" t="s">
        <v>3036</v>
      </c>
      <c r="W2393">
        <v>30</v>
      </c>
      <c r="X2393" s="9" t="s">
        <v>3040</v>
      </c>
      <c r="Z2393" s="5"/>
      <c r="AD2393" s="14" t="s">
        <v>1165</v>
      </c>
      <c r="AF2393" t="s">
        <v>1165</v>
      </c>
      <c r="AI2393" t="s">
        <v>1165</v>
      </c>
      <c r="AJ2393" s="15" t="s">
        <v>1148</v>
      </c>
      <c r="AK2393" s="15">
        <v>9.5269999999999992</v>
      </c>
      <c r="AL2393" t="s">
        <v>1263</v>
      </c>
      <c r="AM2393">
        <f>11.554-9.527</f>
        <v>2.027000000000001</v>
      </c>
      <c r="AP2393">
        <v>28</v>
      </c>
      <c r="AR2393" s="15" t="s">
        <v>1155</v>
      </c>
    </row>
    <row r="2394" spans="1:44" x14ac:dyDescent="0.2">
      <c r="A2394" t="s">
        <v>1378</v>
      </c>
      <c r="B2394" s="15" t="s">
        <v>1146</v>
      </c>
      <c r="C2394" s="15" t="s">
        <v>1149</v>
      </c>
      <c r="D2394" s="14" t="s">
        <v>475</v>
      </c>
      <c r="E2394" s="14" t="s">
        <v>3048</v>
      </c>
      <c r="G2394" s="15" t="s">
        <v>1165</v>
      </c>
      <c r="H2394" s="14" t="s">
        <v>1165</v>
      </c>
      <c r="I2394" s="14" t="s">
        <v>3033</v>
      </c>
      <c r="M2394" s="14" t="s">
        <v>3034</v>
      </c>
      <c r="O2394">
        <v>2004</v>
      </c>
      <c r="Q2394" t="s">
        <v>1329</v>
      </c>
      <c r="R2394">
        <v>14</v>
      </c>
      <c r="T2394" t="s">
        <v>3035</v>
      </c>
      <c r="U2394" s="14" t="s">
        <v>1246</v>
      </c>
      <c r="V2394" s="9" t="s">
        <v>3036</v>
      </c>
      <c r="W2394">
        <v>30</v>
      </c>
      <c r="X2394" s="9" t="s">
        <v>3040</v>
      </c>
      <c r="Z2394" s="5"/>
      <c r="AD2394" s="14" t="s">
        <v>1165</v>
      </c>
      <c r="AF2394" t="s">
        <v>1165</v>
      </c>
      <c r="AI2394" t="s">
        <v>1165</v>
      </c>
      <c r="AJ2394" s="15" t="s">
        <v>1148</v>
      </c>
      <c r="AK2394" s="15">
        <v>37.5</v>
      </c>
      <c r="AL2394" t="s">
        <v>1263</v>
      </c>
      <c r="AM2394">
        <f>42.77-37.5</f>
        <v>5.2700000000000031</v>
      </c>
      <c r="AP2394">
        <v>56</v>
      </c>
      <c r="AR2394" s="15" t="s">
        <v>1155</v>
      </c>
    </row>
    <row r="2395" spans="1:44" x14ac:dyDescent="0.2">
      <c r="A2395" t="s">
        <v>1378</v>
      </c>
      <c r="B2395" s="15" t="s">
        <v>1146</v>
      </c>
      <c r="C2395" s="15" t="s">
        <v>1149</v>
      </c>
      <c r="D2395" s="14" t="s">
        <v>475</v>
      </c>
      <c r="E2395" s="14" t="s">
        <v>3048</v>
      </c>
      <c r="G2395" s="15" t="s">
        <v>1165</v>
      </c>
      <c r="H2395" s="14" t="s">
        <v>1165</v>
      </c>
      <c r="I2395" s="14" t="s">
        <v>3033</v>
      </c>
      <c r="M2395" s="14" t="s">
        <v>3034</v>
      </c>
      <c r="O2395">
        <v>2004</v>
      </c>
      <c r="Q2395" t="s">
        <v>1329</v>
      </c>
      <c r="R2395">
        <v>14</v>
      </c>
      <c r="T2395" t="s">
        <v>3035</v>
      </c>
      <c r="U2395" s="14" t="s">
        <v>1246</v>
      </c>
      <c r="V2395" s="9" t="s">
        <v>3036</v>
      </c>
      <c r="W2395">
        <v>60</v>
      </c>
      <c r="X2395" s="9" t="s">
        <v>3040</v>
      </c>
      <c r="Z2395" s="5"/>
      <c r="AD2395" s="14" t="s">
        <v>1165</v>
      </c>
      <c r="AF2395" t="s">
        <v>1165</v>
      </c>
      <c r="AI2395" t="s">
        <v>1165</v>
      </c>
      <c r="AJ2395" s="15" t="s">
        <v>1148</v>
      </c>
      <c r="AK2395" s="15">
        <v>47.23</v>
      </c>
      <c r="AL2395" t="s">
        <v>1263</v>
      </c>
      <c r="AM2395">
        <f>52.095-47.23</f>
        <v>4.865000000000002</v>
      </c>
      <c r="AP2395">
        <v>28</v>
      </c>
      <c r="AR2395" s="15" t="s">
        <v>1155</v>
      </c>
    </row>
    <row r="2396" spans="1:44" x14ac:dyDescent="0.2">
      <c r="A2396" t="s">
        <v>1378</v>
      </c>
      <c r="B2396" s="15" t="s">
        <v>1146</v>
      </c>
      <c r="C2396" s="15" t="s">
        <v>1149</v>
      </c>
      <c r="D2396" s="14" t="s">
        <v>475</v>
      </c>
      <c r="E2396" s="14" t="s">
        <v>3048</v>
      </c>
      <c r="G2396" s="15" t="s">
        <v>1165</v>
      </c>
      <c r="H2396" s="14" t="s">
        <v>1165</v>
      </c>
      <c r="I2396" s="14" t="s">
        <v>3033</v>
      </c>
      <c r="M2396" s="14" t="s">
        <v>3034</v>
      </c>
      <c r="O2396">
        <v>2004</v>
      </c>
      <c r="Q2396" t="s">
        <v>1329</v>
      </c>
      <c r="R2396">
        <v>14</v>
      </c>
      <c r="T2396" t="s">
        <v>3035</v>
      </c>
      <c r="U2396" s="14" t="s">
        <v>1246</v>
      </c>
      <c r="V2396" s="9" t="s">
        <v>3036</v>
      </c>
      <c r="W2396">
        <v>60</v>
      </c>
      <c r="X2396" s="9" t="s">
        <v>3040</v>
      </c>
      <c r="Z2396" s="5"/>
      <c r="AD2396" s="14" t="s">
        <v>1165</v>
      </c>
      <c r="AF2396" t="s">
        <v>1165</v>
      </c>
      <c r="AI2396" t="s">
        <v>1165</v>
      </c>
      <c r="AJ2396" s="15" t="s">
        <v>1148</v>
      </c>
      <c r="AK2396" s="15">
        <v>65.472999999999999</v>
      </c>
      <c r="AL2396" t="s">
        <v>1263</v>
      </c>
      <c r="AM2396">
        <f>70.743-65.473</f>
        <v>5.269999999999996</v>
      </c>
      <c r="AP2396">
        <v>56</v>
      </c>
      <c r="AR2396" s="15" t="s">
        <v>1155</v>
      </c>
    </row>
    <row r="2397" spans="1:44" x14ac:dyDescent="0.2">
      <c r="A2397" t="s">
        <v>1378</v>
      </c>
      <c r="B2397" s="15" t="s">
        <v>1146</v>
      </c>
      <c r="C2397" s="15" t="s">
        <v>1149</v>
      </c>
      <c r="D2397" s="14" t="s">
        <v>475</v>
      </c>
      <c r="E2397" s="14" t="s">
        <v>3048</v>
      </c>
      <c r="G2397" s="15" t="s">
        <v>1165</v>
      </c>
      <c r="H2397" s="14" t="s">
        <v>1165</v>
      </c>
      <c r="I2397" s="14" t="s">
        <v>3033</v>
      </c>
      <c r="M2397" s="14" t="s">
        <v>3034</v>
      </c>
      <c r="O2397">
        <v>2004</v>
      </c>
      <c r="Q2397" t="s">
        <v>1329</v>
      </c>
      <c r="R2397">
        <v>14</v>
      </c>
      <c r="T2397" t="s">
        <v>3035</v>
      </c>
      <c r="U2397" s="14" t="s">
        <v>1246</v>
      </c>
      <c r="V2397" s="9" t="s">
        <v>3036</v>
      </c>
      <c r="W2397">
        <v>90</v>
      </c>
      <c r="X2397" s="9" t="s">
        <v>3040</v>
      </c>
      <c r="Z2397" s="5"/>
      <c r="AD2397" s="14" t="s">
        <v>1165</v>
      </c>
      <c r="AF2397" t="s">
        <v>1165</v>
      </c>
      <c r="AI2397" t="s">
        <v>1165</v>
      </c>
      <c r="AJ2397" s="15" t="s">
        <v>1148</v>
      </c>
      <c r="AK2397" s="15">
        <v>58.581000000000003</v>
      </c>
      <c r="AL2397" t="s">
        <v>1263</v>
      </c>
      <c r="AM2397">
        <f>69.122-58.581</f>
        <v>10.540999999999997</v>
      </c>
      <c r="AP2397">
        <v>28</v>
      </c>
      <c r="AR2397" s="15" t="s">
        <v>1155</v>
      </c>
    </row>
    <row r="2398" spans="1:44" x14ac:dyDescent="0.2">
      <c r="A2398" t="s">
        <v>1378</v>
      </c>
      <c r="B2398" s="15" t="s">
        <v>1146</v>
      </c>
      <c r="C2398" s="15" t="s">
        <v>1149</v>
      </c>
      <c r="D2398" s="14" t="s">
        <v>475</v>
      </c>
      <c r="E2398" s="14" t="s">
        <v>3048</v>
      </c>
      <c r="G2398" s="15" t="s">
        <v>1165</v>
      </c>
      <c r="H2398" s="14" t="s">
        <v>1165</v>
      </c>
      <c r="I2398" s="14" t="s">
        <v>3033</v>
      </c>
      <c r="M2398" s="14" t="s">
        <v>3034</v>
      </c>
      <c r="O2398">
        <v>2004</v>
      </c>
      <c r="Q2398" t="s">
        <v>1329</v>
      </c>
      <c r="R2398">
        <v>14</v>
      </c>
      <c r="T2398" t="s">
        <v>3035</v>
      </c>
      <c r="U2398" s="14" t="s">
        <v>1246</v>
      </c>
      <c r="V2398" s="9" t="s">
        <v>3036</v>
      </c>
      <c r="W2398">
        <v>90</v>
      </c>
      <c r="X2398" s="9" t="s">
        <v>3040</v>
      </c>
      <c r="Z2398" s="5"/>
      <c r="AD2398" s="14" t="s">
        <v>1165</v>
      </c>
      <c r="AF2398" t="s">
        <v>1165</v>
      </c>
      <c r="AI2398" t="s">
        <v>1165</v>
      </c>
      <c r="AJ2398" s="15" t="s">
        <v>1148</v>
      </c>
      <c r="AK2398" s="15">
        <v>66.688999999999993</v>
      </c>
      <c r="AL2398" t="s">
        <v>1263</v>
      </c>
      <c r="AM2398">
        <f>79.662-66.689</f>
        <v>12.973000000000013</v>
      </c>
      <c r="AP2398">
        <v>56</v>
      </c>
      <c r="AR2398" s="15" t="s">
        <v>1155</v>
      </c>
    </row>
    <row r="2399" spans="1:44" x14ac:dyDescent="0.2">
      <c r="A2399" t="s">
        <v>1378</v>
      </c>
      <c r="B2399" s="15" t="s">
        <v>1146</v>
      </c>
      <c r="C2399" s="15" t="s">
        <v>1149</v>
      </c>
      <c r="D2399" s="14" t="s">
        <v>475</v>
      </c>
      <c r="E2399" s="14" t="s">
        <v>3048</v>
      </c>
      <c r="G2399" s="15" t="s">
        <v>1165</v>
      </c>
      <c r="H2399" s="14" t="s">
        <v>1165</v>
      </c>
      <c r="I2399" s="14" t="s">
        <v>3033</v>
      </c>
      <c r="M2399" s="14" t="s">
        <v>3034</v>
      </c>
      <c r="O2399">
        <v>2004</v>
      </c>
      <c r="Q2399" t="s">
        <v>1329</v>
      </c>
      <c r="R2399">
        <v>14</v>
      </c>
      <c r="T2399" t="s">
        <v>3035</v>
      </c>
      <c r="U2399" s="14" t="s">
        <v>1246</v>
      </c>
      <c r="V2399" s="9" t="s">
        <v>3036</v>
      </c>
      <c r="W2399">
        <v>120</v>
      </c>
      <c r="X2399" s="9" t="s">
        <v>3040</v>
      </c>
      <c r="Z2399" s="5"/>
      <c r="AD2399" s="14" t="s">
        <v>1165</v>
      </c>
      <c r="AF2399" t="s">
        <v>1165</v>
      </c>
      <c r="AI2399" t="s">
        <v>1165</v>
      </c>
      <c r="AJ2399" s="15" t="s">
        <v>1148</v>
      </c>
      <c r="AK2399" s="15">
        <v>62.23</v>
      </c>
      <c r="AL2399" t="s">
        <v>1263</v>
      </c>
      <c r="AM2399">
        <f>65.068-62.23</f>
        <v>2.838000000000001</v>
      </c>
      <c r="AP2399">
        <v>28</v>
      </c>
      <c r="AR2399" s="15" t="s">
        <v>1155</v>
      </c>
    </row>
    <row r="2400" spans="1:44" x14ac:dyDescent="0.2">
      <c r="A2400" t="s">
        <v>1378</v>
      </c>
      <c r="B2400" s="15" t="s">
        <v>1146</v>
      </c>
      <c r="C2400" s="15" t="s">
        <v>1149</v>
      </c>
      <c r="D2400" s="14" t="s">
        <v>475</v>
      </c>
      <c r="E2400" s="14" t="s">
        <v>3048</v>
      </c>
      <c r="G2400" s="15" t="s">
        <v>1165</v>
      </c>
      <c r="H2400" s="14" t="s">
        <v>1165</v>
      </c>
      <c r="I2400" s="14" t="s">
        <v>3033</v>
      </c>
      <c r="M2400" s="14" t="s">
        <v>3034</v>
      </c>
      <c r="O2400">
        <v>2004</v>
      </c>
      <c r="Q2400" t="s">
        <v>1329</v>
      </c>
      <c r="R2400">
        <v>14</v>
      </c>
      <c r="T2400" t="s">
        <v>3035</v>
      </c>
      <c r="U2400" s="14" t="s">
        <v>1246</v>
      </c>
      <c r="V2400" s="9" t="s">
        <v>3036</v>
      </c>
      <c r="W2400">
        <v>120</v>
      </c>
      <c r="X2400" s="9" t="s">
        <v>3040</v>
      </c>
      <c r="Z2400" s="5"/>
      <c r="AD2400" s="14" t="s">
        <v>1165</v>
      </c>
      <c r="AF2400" t="s">
        <v>1165</v>
      </c>
      <c r="AI2400" t="s">
        <v>1165</v>
      </c>
      <c r="AJ2400" s="15" t="s">
        <v>1148</v>
      </c>
      <c r="AK2400" s="15">
        <v>70.742999999999995</v>
      </c>
      <c r="AL2400" t="s">
        <v>1263</v>
      </c>
      <c r="AM2400">
        <f>74.392-70.743</f>
        <v>3.6490000000000009</v>
      </c>
      <c r="AP2400">
        <v>56</v>
      </c>
      <c r="AR2400" s="15" t="s">
        <v>1155</v>
      </c>
    </row>
    <row r="2401" spans="1:44" x14ac:dyDescent="0.2">
      <c r="A2401" t="s">
        <v>1378</v>
      </c>
      <c r="B2401" s="15" t="s">
        <v>1146</v>
      </c>
      <c r="C2401" s="15" t="s">
        <v>1149</v>
      </c>
      <c r="D2401" s="14" t="s">
        <v>475</v>
      </c>
      <c r="E2401" s="14" t="s">
        <v>3048</v>
      </c>
      <c r="G2401" s="15" t="s">
        <v>1165</v>
      </c>
      <c r="H2401" s="14" t="s">
        <v>1165</v>
      </c>
      <c r="I2401" s="14" t="s">
        <v>3033</v>
      </c>
      <c r="M2401" s="14" t="s">
        <v>3034</v>
      </c>
      <c r="O2401">
        <v>2004</v>
      </c>
      <c r="Q2401" t="s">
        <v>1329</v>
      </c>
      <c r="R2401">
        <v>14</v>
      </c>
      <c r="T2401" t="s">
        <v>3035</v>
      </c>
      <c r="U2401" s="14" t="s">
        <v>1246</v>
      </c>
      <c r="V2401" s="9" t="s">
        <v>3036</v>
      </c>
      <c r="W2401">
        <v>150</v>
      </c>
      <c r="X2401" s="9" t="s">
        <v>3040</v>
      </c>
      <c r="Z2401" s="5"/>
      <c r="AD2401" s="14" t="s">
        <v>1165</v>
      </c>
      <c r="AF2401" t="s">
        <v>1165</v>
      </c>
      <c r="AI2401" t="s">
        <v>1165</v>
      </c>
      <c r="AJ2401" s="15" t="s">
        <v>1148</v>
      </c>
      <c r="AK2401" s="15">
        <v>88.986000000000004</v>
      </c>
      <c r="AL2401" t="s">
        <v>1263</v>
      </c>
      <c r="AM2401">
        <f>97.5-88.986</f>
        <v>8.5139999999999958</v>
      </c>
      <c r="AP2401">
        <v>28</v>
      </c>
      <c r="AR2401" s="15" t="s">
        <v>1155</v>
      </c>
    </row>
    <row r="2402" spans="1:44" x14ac:dyDescent="0.2">
      <c r="A2402" t="s">
        <v>1378</v>
      </c>
      <c r="B2402" s="15" t="s">
        <v>1146</v>
      </c>
      <c r="C2402" s="15" t="s">
        <v>1149</v>
      </c>
      <c r="D2402" s="14" t="s">
        <v>475</v>
      </c>
      <c r="E2402" s="14" t="s">
        <v>3048</v>
      </c>
      <c r="G2402" s="15" t="s">
        <v>1165</v>
      </c>
      <c r="H2402" s="14" t="s">
        <v>1165</v>
      </c>
      <c r="I2402" s="14" t="s">
        <v>3033</v>
      </c>
      <c r="M2402" s="14" t="s">
        <v>3034</v>
      </c>
      <c r="O2402">
        <v>2004</v>
      </c>
      <c r="Q2402" t="s">
        <v>1329</v>
      </c>
      <c r="R2402">
        <v>14</v>
      </c>
      <c r="T2402" t="s">
        <v>3035</v>
      </c>
      <c r="U2402" s="14" t="s">
        <v>1246</v>
      </c>
      <c r="V2402" s="9" t="s">
        <v>3036</v>
      </c>
      <c r="W2402">
        <v>150</v>
      </c>
      <c r="X2402" s="9" t="s">
        <v>3040</v>
      </c>
      <c r="Z2402" s="5"/>
      <c r="AD2402" s="14" t="s">
        <v>1165</v>
      </c>
      <c r="AF2402" t="s">
        <v>1165</v>
      </c>
      <c r="AI2402" t="s">
        <v>1165</v>
      </c>
      <c r="AJ2402" s="15" t="s">
        <v>1148</v>
      </c>
      <c r="AK2402" s="15">
        <v>89.796999999999997</v>
      </c>
      <c r="AL2402" t="s">
        <v>1263</v>
      </c>
      <c r="AM2402">
        <f>98.311-89.797</f>
        <v>8.51400000000001</v>
      </c>
      <c r="AP2402">
        <v>56</v>
      </c>
      <c r="AR2402" s="15" t="s">
        <v>1155</v>
      </c>
    </row>
    <row r="2403" spans="1:44" x14ac:dyDescent="0.2">
      <c r="A2403" t="s">
        <v>1378</v>
      </c>
      <c r="B2403" s="15" t="s">
        <v>1146</v>
      </c>
      <c r="C2403" s="15" t="s">
        <v>1149</v>
      </c>
      <c r="D2403" s="14" t="s">
        <v>475</v>
      </c>
      <c r="E2403" s="14" t="s">
        <v>3048</v>
      </c>
      <c r="G2403" s="15" t="s">
        <v>1165</v>
      </c>
      <c r="H2403" s="14" t="s">
        <v>1165</v>
      </c>
      <c r="I2403" s="14" t="s">
        <v>3033</v>
      </c>
      <c r="M2403" s="14" t="s">
        <v>3034</v>
      </c>
      <c r="O2403">
        <v>2004</v>
      </c>
      <c r="Q2403" t="s">
        <v>1329</v>
      </c>
      <c r="R2403">
        <v>14</v>
      </c>
      <c r="T2403" t="s">
        <v>3035</v>
      </c>
      <c r="U2403" s="14" t="s">
        <v>1246</v>
      </c>
      <c r="V2403" s="9" t="s">
        <v>3036</v>
      </c>
      <c r="W2403">
        <v>180</v>
      </c>
      <c r="X2403" s="9" t="s">
        <v>3040</v>
      </c>
      <c r="Z2403" s="5"/>
      <c r="AD2403" s="14" t="s">
        <v>1165</v>
      </c>
      <c r="AF2403" t="s">
        <v>1165</v>
      </c>
      <c r="AI2403" t="s">
        <v>1165</v>
      </c>
      <c r="AJ2403" s="15" t="s">
        <v>1148</v>
      </c>
      <c r="AK2403" s="15">
        <v>57.365000000000002</v>
      </c>
      <c r="AL2403" t="s">
        <v>1263</v>
      </c>
      <c r="AM2403">
        <f>64.662-57.365</f>
        <v>7.2970000000000041</v>
      </c>
      <c r="AP2403">
        <v>28</v>
      </c>
      <c r="AR2403" s="15" t="s">
        <v>1155</v>
      </c>
    </row>
    <row r="2404" spans="1:44" x14ac:dyDescent="0.2">
      <c r="A2404" t="s">
        <v>1378</v>
      </c>
      <c r="B2404" s="15" t="s">
        <v>1146</v>
      </c>
      <c r="C2404" s="15" t="s">
        <v>1149</v>
      </c>
      <c r="D2404" s="14" t="s">
        <v>475</v>
      </c>
      <c r="E2404" s="14" t="s">
        <v>3048</v>
      </c>
      <c r="G2404" s="15" t="s">
        <v>1165</v>
      </c>
      <c r="H2404" s="14" t="s">
        <v>1165</v>
      </c>
      <c r="I2404" s="14" t="s">
        <v>3033</v>
      </c>
      <c r="M2404" s="14" t="s">
        <v>3034</v>
      </c>
      <c r="O2404">
        <v>2004</v>
      </c>
      <c r="Q2404" t="s">
        <v>1329</v>
      </c>
      <c r="R2404">
        <v>14</v>
      </c>
      <c r="T2404" t="s">
        <v>3035</v>
      </c>
      <c r="U2404" s="14" t="s">
        <v>1246</v>
      </c>
      <c r="V2404" s="9" t="s">
        <v>3036</v>
      </c>
      <c r="W2404">
        <v>180</v>
      </c>
      <c r="X2404" s="9" t="s">
        <v>3040</v>
      </c>
      <c r="Z2404" s="5"/>
      <c r="AD2404" s="14" t="s">
        <v>1165</v>
      </c>
      <c r="AF2404" t="s">
        <v>1165</v>
      </c>
      <c r="AI2404" t="s">
        <v>1165</v>
      </c>
      <c r="AJ2404" s="15" t="s">
        <v>1148</v>
      </c>
      <c r="AK2404" s="15">
        <v>59.392000000000003</v>
      </c>
      <c r="AL2404" t="s">
        <v>1263</v>
      </c>
      <c r="AM2404">
        <f>67.5-59.392</f>
        <v>8.107999999999997</v>
      </c>
      <c r="AP2404">
        <v>56</v>
      </c>
      <c r="AR2404" s="15" t="s">
        <v>1155</v>
      </c>
    </row>
    <row r="2405" spans="1:44" x14ac:dyDescent="0.2">
      <c r="A2405" t="s">
        <v>1378</v>
      </c>
      <c r="B2405" s="15" t="s">
        <v>1146</v>
      </c>
      <c r="C2405" s="15" t="s">
        <v>1149</v>
      </c>
      <c r="D2405" s="14" t="s">
        <v>475</v>
      </c>
      <c r="E2405" s="14" t="s">
        <v>3049</v>
      </c>
      <c r="G2405" s="15" t="s">
        <v>1165</v>
      </c>
      <c r="H2405" s="14" t="s">
        <v>1165</v>
      </c>
      <c r="I2405" s="14" t="s">
        <v>3033</v>
      </c>
      <c r="M2405" s="14" t="s">
        <v>3034</v>
      </c>
      <c r="O2405">
        <v>2004</v>
      </c>
      <c r="Q2405" t="s">
        <v>1329</v>
      </c>
      <c r="R2405">
        <v>14</v>
      </c>
      <c r="T2405" t="s">
        <v>3035</v>
      </c>
      <c r="U2405" s="14" t="s">
        <v>1246</v>
      </c>
      <c r="V2405" s="9" t="s">
        <v>3036</v>
      </c>
      <c r="W2405">
        <v>0</v>
      </c>
      <c r="X2405" s="9" t="s">
        <v>3037</v>
      </c>
      <c r="Z2405" s="5"/>
      <c r="AD2405" s="14" t="s">
        <v>1165</v>
      </c>
      <c r="AF2405" t="s">
        <v>1165</v>
      </c>
      <c r="AI2405" t="s">
        <v>1165</v>
      </c>
      <c r="AJ2405" s="15" t="s">
        <v>1148</v>
      </c>
      <c r="AK2405" s="15">
        <v>0</v>
      </c>
      <c r="AL2405" t="s">
        <v>1263</v>
      </c>
      <c r="AM2405">
        <v>0</v>
      </c>
      <c r="AP2405">
        <v>28</v>
      </c>
      <c r="AR2405" s="15" t="s">
        <v>1155</v>
      </c>
    </row>
    <row r="2406" spans="1:44" x14ac:dyDescent="0.2">
      <c r="A2406" t="s">
        <v>1378</v>
      </c>
      <c r="B2406" s="15" t="s">
        <v>1146</v>
      </c>
      <c r="C2406" s="15" t="s">
        <v>1149</v>
      </c>
      <c r="D2406" s="14" t="s">
        <v>475</v>
      </c>
      <c r="E2406" s="14" t="s">
        <v>3049</v>
      </c>
      <c r="G2406" s="15" t="s">
        <v>1165</v>
      </c>
      <c r="H2406" s="14" t="s">
        <v>1165</v>
      </c>
      <c r="I2406" s="14" t="s">
        <v>3033</v>
      </c>
      <c r="M2406" s="14" t="s">
        <v>3034</v>
      </c>
      <c r="O2406">
        <v>2004</v>
      </c>
      <c r="Q2406" t="s">
        <v>1329</v>
      </c>
      <c r="R2406">
        <v>14</v>
      </c>
      <c r="T2406" t="s">
        <v>3035</v>
      </c>
      <c r="U2406" s="14" t="s">
        <v>1246</v>
      </c>
      <c r="V2406" s="9" t="s">
        <v>3036</v>
      </c>
      <c r="W2406">
        <v>0</v>
      </c>
      <c r="X2406" s="9" t="s">
        <v>3037</v>
      </c>
      <c r="Z2406" s="5"/>
      <c r="AD2406" s="14" t="s">
        <v>1165</v>
      </c>
      <c r="AF2406" t="s">
        <v>1165</v>
      </c>
      <c r="AI2406" t="s">
        <v>1165</v>
      </c>
      <c r="AJ2406" s="15" t="s">
        <v>1148</v>
      </c>
      <c r="AK2406" s="15">
        <v>6.6429999999999998</v>
      </c>
      <c r="AL2406" t="s">
        <v>1263</v>
      </c>
      <c r="AM2406">
        <v>13.077</v>
      </c>
      <c r="AP2406">
        <v>56</v>
      </c>
      <c r="AR2406" s="15" t="s">
        <v>1155</v>
      </c>
    </row>
    <row r="2407" spans="1:44" x14ac:dyDescent="0.2">
      <c r="A2407" t="s">
        <v>1378</v>
      </c>
      <c r="B2407" s="15" t="s">
        <v>1146</v>
      </c>
      <c r="C2407" s="15" t="s">
        <v>1149</v>
      </c>
      <c r="D2407" s="14" t="s">
        <v>475</v>
      </c>
      <c r="E2407" s="14" t="s">
        <v>3049</v>
      </c>
      <c r="G2407" s="15" t="s">
        <v>1165</v>
      </c>
      <c r="H2407" s="14" t="s">
        <v>1165</v>
      </c>
      <c r="I2407" s="14" t="s">
        <v>3033</v>
      </c>
      <c r="M2407" s="14" t="s">
        <v>3034</v>
      </c>
      <c r="O2407">
        <v>2004</v>
      </c>
      <c r="Q2407" t="s">
        <v>1329</v>
      </c>
      <c r="R2407">
        <v>14</v>
      </c>
      <c r="T2407" t="s">
        <v>3035</v>
      </c>
      <c r="U2407" s="14" t="s">
        <v>1246</v>
      </c>
      <c r="V2407" s="9" t="s">
        <v>3036</v>
      </c>
      <c r="W2407">
        <v>0</v>
      </c>
      <c r="X2407" s="9" t="s">
        <v>3038</v>
      </c>
      <c r="Z2407" s="5"/>
      <c r="AD2407" s="14" t="s">
        <v>1165</v>
      </c>
      <c r="AF2407" t="s">
        <v>1165</v>
      </c>
      <c r="AI2407" t="s">
        <v>1165</v>
      </c>
      <c r="AJ2407" s="15" t="s">
        <v>1148</v>
      </c>
      <c r="AK2407" s="15">
        <v>31.448</v>
      </c>
      <c r="AL2407" t="s">
        <v>1263</v>
      </c>
      <c r="AM2407">
        <f>47.103-31.448</f>
        <v>15.655000000000001</v>
      </c>
      <c r="AP2407">
        <v>28</v>
      </c>
      <c r="AR2407" s="15" t="s">
        <v>1155</v>
      </c>
    </row>
    <row r="2408" spans="1:44" x14ac:dyDescent="0.2">
      <c r="A2408" t="s">
        <v>1378</v>
      </c>
      <c r="B2408" s="15" t="s">
        <v>1146</v>
      </c>
      <c r="C2408" s="15" t="s">
        <v>1149</v>
      </c>
      <c r="D2408" s="14" t="s">
        <v>475</v>
      </c>
      <c r="E2408" s="14" t="s">
        <v>3049</v>
      </c>
      <c r="G2408" s="15" t="s">
        <v>1165</v>
      </c>
      <c r="H2408" s="14" t="s">
        <v>1165</v>
      </c>
      <c r="I2408" s="14" t="s">
        <v>3033</v>
      </c>
      <c r="M2408" s="14" t="s">
        <v>3034</v>
      </c>
      <c r="O2408">
        <v>2004</v>
      </c>
      <c r="Q2408" t="s">
        <v>1329</v>
      </c>
      <c r="R2408">
        <v>14</v>
      </c>
      <c r="T2408" t="s">
        <v>3035</v>
      </c>
      <c r="U2408" s="14" t="s">
        <v>1246</v>
      </c>
      <c r="V2408" s="9" t="s">
        <v>3036</v>
      </c>
      <c r="W2408">
        <v>0</v>
      </c>
      <c r="X2408" s="9" t="s">
        <v>3038</v>
      </c>
      <c r="Z2408" s="5"/>
      <c r="AD2408" s="14" t="s">
        <v>1165</v>
      </c>
      <c r="AF2408" t="s">
        <v>1165</v>
      </c>
      <c r="AI2408" t="s">
        <v>1165</v>
      </c>
      <c r="AJ2408" s="15" t="s">
        <v>1148</v>
      </c>
      <c r="AK2408" s="15">
        <v>38</v>
      </c>
      <c r="AL2408" t="s">
        <v>1263</v>
      </c>
      <c r="AM2408">
        <f>56.483-38</f>
        <v>18.482999999999997</v>
      </c>
      <c r="AP2408">
        <v>56</v>
      </c>
      <c r="AR2408" s="15" t="s">
        <v>1155</v>
      </c>
    </row>
    <row r="2409" spans="1:44" x14ac:dyDescent="0.2">
      <c r="A2409" t="s">
        <v>1378</v>
      </c>
      <c r="B2409" s="15" t="s">
        <v>1146</v>
      </c>
      <c r="C2409" s="15" t="s">
        <v>1149</v>
      </c>
      <c r="D2409" s="14" t="s">
        <v>475</v>
      </c>
      <c r="E2409" s="14" t="s">
        <v>3049</v>
      </c>
      <c r="G2409" s="15" t="s">
        <v>1165</v>
      </c>
      <c r="H2409" s="14" t="s">
        <v>1165</v>
      </c>
      <c r="I2409" s="14" t="s">
        <v>3033</v>
      </c>
      <c r="M2409" s="14" t="s">
        <v>3034</v>
      </c>
      <c r="O2409">
        <v>2004</v>
      </c>
      <c r="Q2409" t="s">
        <v>1329</v>
      </c>
      <c r="R2409">
        <v>14</v>
      </c>
      <c r="T2409" t="s">
        <v>3035</v>
      </c>
      <c r="U2409" s="14" t="s">
        <v>1246</v>
      </c>
      <c r="V2409" s="9" t="s">
        <v>3036</v>
      </c>
      <c r="W2409">
        <v>90</v>
      </c>
      <c r="X2409" s="9" t="s">
        <v>3038</v>
      </c>
      <c r="Z2409" s="5"/>
      <c r="AD2409" s="14" t="s">
        <v>1165</v>
      </c>
      <c r="AF2409" t="s">
        <v>1165</v>
      </c>
      <c r="AI2409" t="s">
        <v>1165</v>
      </c>
      <c r="AJ2409" s="15" t="s">
        <v>1148</v>
      </c>
      <c r="AK2409" s="15">
        <v>38.137999999999998</v>
      </c>
      <c r="AL2409" t="s">
        <v>1263</v>
      </c>
      <c r="AM2409">
        <f>56.345-38.138</f>
        <v>18.207000000000001</v>
      </c>
      <c r="AP2409">
        <v>28</v>
      </c>
      <c r="AR2409" s="15" t="s">
        <v>1155</v>
      </c>
    </row>
    <row r="2410" spans="1:44" x14ac:dyDescent="0.2">
      <c r="A2410" t="s">
        <v>1378</v>
      </c>
      <c r="B2410" s="15" t="s">
        <v>1146</v>
      </c>
      <c r="C2410" s="15" t="s">
        <v>1149</v>
      </c>
      <c r="D2410" s="14" t="s">
        <v>475</v>
      </c>
      <c r="E2410" s="14" t="s">
        <v>3049</v>
      </c>
      <c r="G2410" s="15" t="s">
        <v>1165</v>
      </c>
      <c r="H2410" s="14" t="s">
        <v>1165</v>
      </c>
      <c r="I2410" s="14" t="s">
        <v>3033</v>
      </c>
      <c r="M2410" s="14" t="s">
        <v>3034</v>
      </c>
      <c r="O2410">
        <v>2004</v>
      </c>
      <c r="Q2410" t="s">
        <v>1329</v>
      </c>
      <c r="R2410">
        <v>14</v>
      </c>
      <c r="T2410" t="s">
        <v>3035</v>
      </c>
      <c r="U2410" s="14" t="s">
        <v>1246</v>
      </c>
      <c r="V2410" s="9" t="s">
        <v>3036</v>
      </c>
      <c r="W2410">
        <v>90</v>
      </c>
      <c r="X2410" s="9" t="s">
        <v>3038</v>
      </c>
      <c r="Z2410" s="5"/>
      <c r="AD2410" s="14" t="s">
        <v>1165</v>
      </c>
      <c r="AF2410" t="s">
        <v>1165</v>
      </c>
      <c r="AI2410" t="s">
        <v>1165</v>
      </c>
      <c r="AJ2410" s="15" t="s">
        <v>1148</v>
      </c>
      <c r="AK2410" s="15">
        <v>50.552</v>
      </c>
      <c r="AL2410" t="s">
        <v>1263</v>
      </c>
      <c r="AM2410">
        <f>72.897-50.552</f>
        <v>22.345000000000006</v>
      </c>
      <c r="AP2410">
        <v>56</v>
      </c>
      <c r="AR2410" s="15" t="s">
        <v>1155</v>
      </c>
    </row>
    <row r="2411" spans="1:44" x14ac:dyDescent="0.2">
      <c r="A2411" t="s">
        <v>1378</v>
      </c>
      <c r="B2411" s="15" t="s">
        <v>1146</v>
      </c>
      <c r="C2411" s="15" t="s">
        <v>1149</v>
      </c>
      <c r="D2411" s="14" t="s">
        <v>475</v>
      </c>
      <c r="E2411" s="14" t="s">
        <v>3049</v>
      </c>
      <c r="G2411" s="15" t="s">
        <v>1165</v>
      </c>
      <c r="H2411" s="14" t="s">
        <v>1165</v>
      </c>
      <c r="I2411" s="14" t="s">
        <v>3033</v>
      </c>
      <c r="M2411" s="14" t="s">
        <v>3034</v>
      </c>
      <c r="O2411">
        <v>2004</v>
      </c>
      <c r="Q2411" t="s">
        <v>1329</v>
      </c>
      <c r="R2411">
        <v>14</v>
      </c>
      <c r="T2411" t="s">
        <v>3035</v>
      </c>
      <c r="U2411" s="14" t="s">
        <v>1246</v>
      </c>
      <c r="V2411" s="9" t="s">
        <v>3036</v>
      </c>
      <c r="W2411">
        <v>0</v>
      </c>
      <c r="X2411" s="9" t="s">
        <v>3039</v>
      </c>
      <c r="Z2411" s="5"/>
      <c r="AD2411" s="14" t="s">
        <v>1165</v>
      </c>
      <c r="AF2411" t="s">
        <v>1165</v>
      </c>
      <c r="AI2411" t="s">
        <v>1165</v>
      </c>
      <c r="AJ2411" s="15" t="s">
        <v>1148</v>
      </c>
      <c r="AK2411" s="15">
        <v>58.966000000000001</v>
      </c>
      <c r="AL2411" t="s">
        <v>1263</v>
      </c>
      <c r="AM2411">
        <f>75.517-58.966</f>
        <v>16.550999999999995</v>
      </c>
      <c r="AP2411">
        <v>28</v>
      </c>
      <c r="AR2411" s="15" t="s">
        <v>1155</v>
      </c>
    </row>
    <row r="2412" spans="1:44" x14ac:dyDescent="0.2">
      <c r="A2412" t="s">
        <v>1378</v>
      </c>
      <c r="B2412" s="15" t="s">
        <v>1146</v>
      </c>
      <c r="C2412" s="15" t="s">
        <v>1149</v>
      </c>
      <c r="D2412" s="14" t="s">
        <v>475</v>
      </c>
      <c r="E2412" s="14" t="s">
        <v>3049</v>
      </c>
      <c r="G2412" s="15" t="s">
        <v>1165</v>
      </c>
      <c r="H2412" s="14" t="s">
        <v>1165</v>
      </c>
      <c r="I2412" s="14" t="s">
        <v>3033</v>
      </c>
      <c r="M2412" s="14" t="s">
        <v>3034</v>
      </c>
      <c r="O2412">
        <v>2004</v>
      </c>
      <c r="Q2412" t="s">
        <v>1329</v>
      </c>
      <c r="R2412">
        <v>14</v>
      </c>
      <c r="T2412" t="s">
        <v>3035</v>
      </c>
      <c r="U2412" s="14" t="s">
        <v>1246</v>
      </c>
      <c r="V2412" s="9" t="s">
        <v>3036</v>
      </c>
      <c r="W2412">
        <v>0</v>
      </c>
      <c r="X2412" s="9" t="s">
        <v>3039</v>
      </c>
      <c r="Z2412" s="5"/>
      <c r="AD2412" s="14" t="s">
        <v>1165</v>
      </c>
      <c r="AF2412" t="s">
        <v>1165</v>
      </c>
      <c r="AI2412" t="s">
        <v>1165</v>
      </c>
      <c r="AJ2412" s="15" t="s">
        <v>1148</v>
      </c>
      <c r="AK2412" s="15">
        <v>64.759</v>
      </c>
      <c r="AL2412" t="s">
        <v>1263</v>
      </c>
      <c r="AM2412">
        <f>83.793-64.759</f>
        <v>19.034000000000006</v>
      </c>
      <c r="AP2412">
        <v>56</v>
      </c>
      <c r="AR2412" s="15" t="s">
        <v>1155</v>
      </c>
    </row>
    <row r="2413" spans="1:44" x14ac:dyDescent="0.2">
      <c r="A2413" t="s">
        <v>1378</v>
      </c>
      <c r="B2413" s="15" t="s">
        <v>1146</v>
      </c>
      <c r="C2413" s="15" t="s">
        <v>1149</v>
      </c>
      <c r="D2413" s="14" t="s">
        <v>475</v>
      </c>
      <c r="E2413" s="14" t="s">
        <v>3049</v>
      </c>
      <c r="G2413" s="15" t="s">
        <v>1165</v>
      </c>
      <c r="H2413" s="14" t="s">
        <v>1165</v>
      </c>
      <c r="I2413" s="14" t="s">
        <v>3033</v>
      </c>
      <c r="M2413" s="14" t="s">
        <v>3034</v>
      </c>
      <c r="O2413">
        <v>2004</v>
      </c>
      <c r="Q2413" t="s">
        <v>1329</v>
      </c>
      <c r="R2413">
        <v>14</v>
      </c>
      <c r="T2413" t="s">
        <v>3035</v>
      </c>
      <c r="U2413" s="14" t="s">
        <v>1246</v>
      </c>
      <c r="V2413" s="9" t="s">
        <v>3036</v>
      </c>
      <c r="W2413">
        <v>90</v>
      </c>
      <c r="X2413" s="9" t="s">
        <v>3039</v>
      </c>
      <c r="Z2413" s="5"/>
      <c r="AD2413" s="14" t="s">
        <v>1165</v>
      </c>
      <c r="AF2413" t="s">
        <v>1165</v>
      </c>
      <c r="AI2413" t="s">
        <v>1165</v>
      </c>
      <c r="AJ2413" s="15" t="s">
        <v>1148</v>
      </c>
      <c r="AK2413" s="15">
        <v>52.621000000000002</v>
      </c>
      <c r="AL2413" t="s">
        <v>1263</v>
      </c>
      <c r="AM2413">
        <f>70-52.621</f>
        <v>17.378999999999998</v>
      </c>
      <c r="AP2413">
        <v>28</v>
      </c>
      <c r="AR2413" s="15" t="s">
        <v>1155</v>
      </c>
    </row>
    <row r="2414" spans="1:44" x14ac:dyDescent="0.2">
      <c r="A2414" t="s">
        <v>1378</v>
      </c>
      <c r="B2414" s="15" t="s">
        <v>1146</v>
      </c>
      <c r="C2414" s="15" t="s">
        <v>1149</v>
      </c>
      <c r="D2414" s="14" t="s">
        <v>475</v>
      </c>
      <c r="E2414" s="14" t="s">
        <v>3049</v>
      </c>
      <c r="G2414" s="15" t="s">
        <v>1165</v>
      </c>
      <c r="H2414" s="14" t="s">
        <v>1165</v>
      </c>
      <c r="I2414" s="14" t="s">
        <v>3033</v>
      </c>
      <c r="M2414" s="14" t="s">
        <v>3034</v>
      </c>
      <c r="O2414">
        <v>2004</v>
      </c>
      <c r="Q2414" t="s">
        <v>1329</v>
      </c>
      <c r="R2414">
        <v>14</v>
      </c>
      <c r="T2414" t="s">
        <v>3035</v>
      </c>
      <c r="U2414" s="14" t="s">
        <v>1246</v>
      </c>
      <c r="V2414" s="9" t="s">
        <v>3036</v>
      </c>
      <c r="W2414">
        <v>90</v>
      </c>
      <c r="X2414" s="9" t="s">
        <v>3039</v>
      </c>
      <c r="Z2414" s="5"/>
      <c r="AD2414" s="14" t="s">
        <v>1165</v>
      </c>
      <c r="AF2414" t="s">
        <v>1165</v>
      </c>
      <c r="AI2414" t="s">
        <v>1165</v>
      </c>
      <c r="AJ2414" s="15" t="s">
        <v>1148</v>
      </c>
      <c r="AK2414" s="15">
        <v>58.69</v>
      </c>
      <c r="AL2414" t="s">
        <v>1263</v>
      </c>
      <c r="AM2414">
        <f>78-58.69</f>
        <v>19.310000000000002</v>
      </c>
      <c r="AP2414">
        <v>56</v>
      </c>
      <c r="AR2414" s="15" t="s">
        <v>1155</v>
      </c>
    </row>
    <row r="2415" spans="1:44" x14ac:dyDescent="0.2">
      <c r="A2415" t="s">
        <v>1378</v>
      </c>
      <c r="B2415" s="15" t="s">
        <v>1146</v>
      </c>
      <c r="C2415" s="15" t="s">
        <v>1149</v>
      </c>
      <c r="D2415" s="14" t="s">
        <v>475</v>
      </c>
      <c r="E2415" s="14" t="s">
        <v>3049</v>
      </c>
      <c r="G2415" s="15" t="s">
        <v>1165</v>
      </c>
      <c r="H2415" s="14" t="s">
        <v>1165</v>
      </c>
      <c r="I2415" s="14" t="s">
        <v>3033</v>
      </c>
      <c r="M2415" s="14" t="s">
        <v>3034</v>
      </c>
      <c r="O2415">
        <v>2004</v>
      </c>
      <c r="Q2415" t="s">
        <v>1329</v>
      </c>
      <c r="R2415">
        <v>14</v>
      </c>
      <c r="T2415" t="s">
        <v>3035</v>
      </c>
      <c r="U2415" s="14" t="s">
        <v>1246</v>
      </c>
      <c r="V2415" s="9" t="s">
        <v>3036</v>
      </c>
      <c r="W2415">
        <v>0</v>
      </c>
      <c r="X2415" s="9" t="s">
        <v>3040</v>
      </c>
      <c r="Z2415" s="5"/>
      <c r="AD2415" s="14" t="s">
        <v>1165</v>
      </c>
      <c r="AF2415" t="s">
        <v>1165</v>
      </c>
      <c r="AI2415" t="s">
        <v>1165</v>
      </c>
      <c r="AJ2415" s="15" t="s">
        <v>1148</v>
      </c>
      <c r="AK2415" s="15">
        <v>62.856999999999999</v>
      </c>
      <c r="AL2415" t="s">
        <v>1263</v>
      </c>
      <c r="AM2415">
        <f>82.109-62.857</f>
        <v>19.251999999999995</v>
      </c>
      <c r="AP2415">
        <v>28</v>
      </c>
      <c r="AR2415" s="15" t="s">
        <v>1155</v>
      </c>
    </row>
    <row r="2416" spans="1:44" x14ac:dyDescent="0.2">
      <c r="A2416" t="s">
        <v>1378</v>
      </c>
      <c r="B2416" s="15" t="s">
        <v>1146</v>
      </c>
      <c r="C2416" s="15" t="s">
        <v>1149</v>
      </c>
      <c r="D2416" s="14" t="s">
        <v>475</v>
      </c>
      <c r="E2416" s="14" t="s">
        <v>3049</v>
      </c>
      <c r="G2416" s="15" t="s">
        <v>1165</v>
      </c>
      <c r="H2416" s="14" t="s">
        <v>1165</v>
      </c>
      <c r="I2416" s="14" t="s">
        <v>3033</v>
      </c>
      <c r="M2416" s="14" t="s">
        <v>3034</v>
      </c>
      <c r="O2416">
        <v>2004</v>
      </c>
      <c r="Q2416" t="s">
        <v>1329</v>
      </c>
      <c r="R2416">
        <v>14</v>
      </c>
      <c r="T2416" t="s">
        <v>3035</v>
      </c>
      <c r="U2416" s="14" t="s">
        <v>1246</v>
      </c>
      <c r="V2416" s="9" t="s">
        <v>3036</v>
      </c>
      <c r="W2416">
        <v>0</v>
      </c>
      <c r="X2416" s="9" t="s">
        <v>3040</v>
      </c>
      <c r="Z2416" s="5"/>
      <c r="AD2416" s="14" t="s">
        <v>1165</v>
      </c>
      <c r="AF2416" t="s">
        <v>1165</v>
      </c>
      <c r="AI2416" t="s">
        <v>1165</v>
      </c>
      <c r="AJ2416" s="15" t="s">
        <v>1148</v>
      </c>
      <c r="AK2416" s="15">
        <v>69.048000000000002</v>
      </c>
      <c r="AL2416" t="s">
        <v>1263</v>
      </c>
      <c r="AM2416">
        <f>87.823-69.048</f>
        <v>18.774999999999991</v>
      </c>
      <c r="AP2416">
        <v>56</v>
      </c>
      <c r="AR2416" s="15" t="s">
        <v>1155</v>
      </c>
    </row>
    <row r="2417" spans="1:44" x14ac:dyDescent="0.2">
      <c r="A2417" t="s">
        <v>1378</v>
      </c>
      <c r="B2417" s="15" t="s">
        <v>1146</v>
      </c>
      <c r="C2417" s="15" t="s">
        <v>1149</v>
      </c>
      <c r="D2417" s="14" t="s">
        <v>475</v>
      </c>
      <c r="E2417" s="14" t="s">
        <v>3049</v>
      </c>
      <c r="G2417" s="15" t="s">
        <v>1165</v>
      </c>
      <c r="H2417" s="14" t="s">
        <v>1165</v>
      </c>
      <c r="I2417" s="14" t="s">
        <v>3033</v>
      </c>
      <c r="M2417" s="14" t="s">
        <v>3034</v>
      </c>
      <c r="O2417">
        <v>2004</v>
      </c>
      <c r="Q2417" t="s">
        <v>1329</v>
      </c>
      <c r="R2417">
        <v>14</v>
      </c>
      <c r="T2417" t="s">
        <v>3035</v>
      </c>
      <c r="U2417" s="14" t="s">
        <v>1246</v>
      </c>
      <c r="V2417" s="9" t="s">
        <v>3036</v>
      </c>
      <c r="W2417">
        <v>90</v>
      </c>
      <c r="X2417" s="9" t="s">
        <v>3040</v>
      </c>
      <c r="Z2417" s="5"/>
      <c r="AD2417" s="14" t="s">
        <v>1165</v>
      </c>
      <c r="AF2417" t="s">
        <v>1165</v>
      </c>
      <c r="AI2417" t="s">
        <v>1165</v>
      </c>
      <c r="AJ2417" s="15" t="s">
        <v>1148</v>
      </c>
      <c r="AK2417" s="15">
        <v>100</v>
      </c>
      <c r="AL2417" t="s">
        <v>1263</v>
      </c>
      <c r="AM2417">
        <f>105.782-100.408</f>
        <v>5.3739999999999952</v>
      </c>
      <c r="AP2417">
        <v>28</v>
      </c>
      <c r="AR2417" s="15" t="s">
        <v>1155</v>
      </c>
    </row>
    <row r="2418" spans="1:44" x14ac:dyDescent="0.2">
      <c r="A2418" t="s">
        <v>1378</v>
      </c>
      <c r="B2418" s="15" t="s">
        <v>1146</v>
      </c>
      <c r="C2418" s="15" t="s">
        <v>1149</v>
      </c>
      <c r="D2418" s="14" t="s">
        <v>475</v>
      </c>
      <c r="E2418" s="14" t="s">
        <v>3049</v>
      </c>
      <c r="G2418" s="15" t="s">
        <v>1165</v>
      </c>
      <c r="H2418" s="14" t="s">
        <v>1165</v>
      </c>
      <c r="I2418" s="14" t="s">
        <v>3033</v>
      </c>
      <c r="M2418" s="14" t="s">
        <v>3034</v>
      </c>
      <c r="O2418">
        <v>2004</v>
      </c>
      <c r="Q2418" t="s">
        <v>1329</v>
      </c>
      <c r="R2418">
        <v>14</v>
      </c>
      <c r="T2418" t="s">
        <v>3035</v>
      </c>
      <c r="U2418" s="14" t="s">
        <v>1246</v>
      </c>
      <c r="V2418" s="9" t="s">
        <v>3036</v>
      </c>
      <c r="W2418">
        <v>90</v>
      </c>
      <c r="X2418" s="9" t="s">
        <v>3040</v>
      </c>
      <c r="Z2418" s="5"/>
      <c r="AD2418" s="14" t="s">
        <v>1165</v>
      </c>
      <c r="AF2418" t="s">
        <v>1165</v>
      </c>
      <c r="AI2418" t="s">
        <v>1165</v>
      </c>
      <c r="AJ2418" s="15" t="s">
        <v>1148</v>
      </c>
      <c r="AK2418" s="15">
        <v>100</v>
      </c>
      <c r="AL2418" t="s">
        <v>1263</v>
      </c>
      <c r="AM2418">
        <f>105.51-100.884</f>
        <v>4.6260000000000048</v>
      </c>
      <c r="AP2418">
        <v>56</v>
      </c>
      <c r="AR2418" s="15" t="s">
        <v>1155</v>
      </c>
    </row>
    <row r="2419" spans="1:44" x14ac:dyDescent="0.2">
      <c r="A2419" t="s">
        <v>1378</v>
      </c>
      <c r="B2419" s="15" t="s">
        <v>1146</v>
      </c>
      <c r="C2419" s="15" t="s">
        <v>1149</v>
      </c>
      <c r="D2419" s="14" t="s">
        <v>475</v>
      </c>
      <c r="E2419" s="14" t="s">
        <v>3050</v>
      </c>
      <c r="G2419" s="15" t="s">
        <v>1165</v>
      </c>
      <c r="H2419" s="14" t="s">
        <v>1165</v>
      </c>
      <c r="I2419" s="14" t="s">
        <v>3033</v>
      </c>
      <c r="M2419" s="14" t="s">
        <v>3034</v>
      </c>
      <c r="O2419">
        <v>2004</v>
      </c>
      <c r="Q2419" t="s">
        <v>1329</v>
      </c>
      <c r="R2419">
        <v>14</v>
      </c>
      <c r="T2419" t="s">
        <v>3035</v>
      </c>
      <c r="U2419" s="14" t="s">
        <v>1246</v>
      </c>
      <c r="V2419" s="9" t="s">
        <v>3036</v>
      </c>
      <c r="W2419">
        <v>0</v>
      </c>
      <c r="X2419" s="9" t="s">
        <v>3037</v>
      </c>
      <c r="Z2419" s="5"/>
      <c r="AD2419" s="14" t="s">
        <v>1165</v>
      </c>
      <c r="AF2419" t="s">
        <v>1165</v>
      </c>
      <c r="AI2419" t="s">
        <v>1165</v>
      </c>
      <c r="AJ2419" s="15" t="s">
        <v>1148</v>
      </c>
      <c r="AK2419" s="15">
        <v>0</v>
      </c>
      <c r="AL2419" t="s">
        <v>1263</v>
      </c>
      <c r="AM2419">
        <v>0</v>
      </c>
      <c r="AP2419">
        <v>28</v>
      </c>
      <c r="AR2419" s="15" t="s">
        <v>1155</v>
      </c>
    </row>
    <row r="2420" spans="1:44" x14ac:dyDescent="0.2">
      <c r="A2420" t="s">
        <v>1378</v>
      </c>
      <c r="B2420" s="15" t="s">
        <v>1146</v>
      </c>
      <c r="C2420" s="15" t="s">
        <v>1149</v>
      </c>
      <c r="D2420" s="14" t="s">
        <v>475</v>
      </c>
      <c r="E2420" s="14" t="s">
        <v>3050</v>
      </c>
      <c r="G2420" s="15" t="s">
        <v>1165</v>
      </c>
      <c r="H2420" s="14" t="s">
        <v>1165</v>
      </c>
      <c r="I2420" s="14" t="s">
        <v>3033</v>
      </c>
      <c r="M2420" s="14" t="s">
        <v>3034</v>
      </c>
      <c r="O2420">
        <v>2004</v>
      </c>
      <c r="Q2420" t="s">
        <v>1329</v>
      </c>
      <c r="R2420">
        <v>14</v>
      </c>
      <c r="T2420" t="s">
        <v>3035</v>
      </c>
      <c r="U2420" s="14" t="s">
        <v>1246</v>
      </c>
      <c r="V2420" s="9" t="s">
        <v>3036</v>
      </c>
      <c r="W2420">
        <v>0</v>
      </c>
      <c r="X2420" s="9" t="s">
        <v>3037</v>
      </c>
      <c r="Z2420" s="5"/>
      <c r="AD2420" s="14" t="s">
        <v>1165</v>
      </c>
      <c r="AF2420" t="s">
        <v>1165</v>
      </c>
      <c r="AI2420" t="s">
        <v>1165</v>
      </c>
      <c r="AJ2420" s="15" t="s">
        <v>1148</v>
      </c>
      <c r="AK2420" s="15">
        <v>0</v>
      </c>
      <c r="AL2420" t="s">
        <v>1263</v>
      </c>
      <c r="AM2420">
        <v>0</v>
      </c>
      <c r="AP2420">
        <v>56</v>
      </c>
      <c r="AR2420" s="15" t="s">
        <v>1155</v>
      </c>
    </row>
    <row r="2421" spans="1:44" x14ac:dyDescent="0.2">
      <c r="A2421" t="s">
        <v>1378</v>
      </c>
      <c r="B2421" s="15" t="s">
        <v>1146</v>
      </c>
      <c r="C2421" s="15" t="s">
        <v>1149</v>
      </c>
      <c r="D2421" s="14" t="s">
        <v>475</v>
      </c>
      <c r="E2421" s="14" t="s">
        <v>3050</v>
      </c>
      <c r="G2421" s="15" t="s">
        <v>1165</v>
      </c>
      <c r="H2421" s="14" t="s">
        <v>1165</v>
      </c>
      <c r="I2421" s="14" t="s">
        <v>3033</v>
      </c>
      <c r="M2421" s="14" t="s">
        <v>3034</v>
      </c>
      <c r="O2421">
        <v>2004</v>
      </c>
      <c r="Q2421" t="s">
        <v>1329</v>
      </c>
      <c r="R2421">
        <v>14</v>
      </c>
      <c r="T2421" t="s">
        <v>3035</v>
      </c>
      <c r="U2421" s="14" t="s">
        <v>1246</v>
      </c>
      <c r="V2421" s="9" t="s">
        <v>3036</v>
      </c>
      <c r="W2421">
        <v>30</v>
      </c>
      <c r="X2421" s="9" t="s">
        <v>3037</v>
      </c>
      <c r="Z2421" s="5"/>
      <c r="AD2421" s="14" t="s">
        <v>1165</v>
      </c>
      <c r="AF2421" t="s">
        <v>1165</v>
      </c>
      <c r="AI2421" t="s">
        <v>1165</v>
      </c>
      <c r="AJ2421" s="15" t="s">
        <v>1148</v>
      </c>
      <c r="AK2421" s="15">
        <v>0</v>
      </c>
      <c r="AL2421" t="s">
        <v>1263</v>
      </c>
      <c r="AM2421">
        <v>0</v>
      </c>
      <c r="AP2421">
        <v>28</v>
      </c>
      <c r="AR2421" s="15" t="s">
        <v>1155</v>
      </c>
    </row>
    <row r="2422" spans="1:44" x14ac:dyDescent="0.2">
      <c r="A2422" t="s">
        <v>1378</v>
      </c>
      <c r="B2422" s="15" t="s">
        <v>1146</v>
      </c>
      <c r="C2422" s="15" t="s">
        <v>1149</v>
      </c>
      <c r="D2422" s="14" t="s">
        <v>475</v>
      </c>
      <c r="E2422" s="14" t="s">
        <v>3050</v>
      </c>
      <c r="G2422" s="15" t="s">
        <v>1165</v>
      </c>
      <c r="H2422" s="14" t="s">
        <v>1165</v>
      </c>
      <c r="I2422" s="14" t="s">
        <v>3033</v>
      </c>
      <c r="M2422" s="14" t="s">
        <v>3034</v>
      </c>
      <c r="O2422">
        <v>2004</v>
      </c>
      <c r="Q2422" t="s">
        <v>1329</v>
      </c>
      <c r="R2422">
        <v>14</v>
      </c>
      <c r="T2422" t="s">
        <v>3035</v>
      </c>
      <c r="U2422" s="14" t="s">
        <v>1246</v>
      </c>
      <c r="V2422" s="9" t="s">
        <v>3036</v>
      </c>
      <c r="W2422">
        <v>30</v>
      </c>
      <c r="X2422" s="9" t="s">
        <v>3037</v>
      </c>
      <c r="Z2422" s="5"/>
      <c r="AD2422" s="14" t="s">
        <v>1165</v>
      </c>
      <c r="AF2422" t="s">
        <v>1165</v>
      </c>
      <c r="AI2422" t="s">
        <v>1165</v>
      </c>
      <c r="AJ2422" s="15" t="s">
        <v>1148</v>
      </c>
      <c r="AK2422" s="15">
        <v>0</v>
      </c>
      <c r="AL2422" t="s">
        <v>1263</v>
      </c>
      <c r="AM2422">
        <v>0</v>
      </c>
      <c r="AP2422">
        <v>56</v>
      </c>
      <c r="AR2422" s="15" t="s">
        <v>1155</v>
      </c>
    </row>
    <row r="2423" spans="1:44" x14ac:dyDescent="0.2">
      <c r="A2423" t="s">
        <v>1378</v>
      </c>
      <c r="B2423" s="15" t="s">
        <v>1146</v>
      </c>
      <c r="C2423" s="15" t="s">
        <v>1149</v>
      </c>
      <c r="D2423" s="14" t="s">
        <v>475</v>
      </c>
      <c r="E2423" s="14" t="s">
        <v>3050</v>
      </c>
      <c r="G2423" s="15" t="s">
        <v>1165</v>
      </c>
      <c r="H2423" s="14" t="s">
        <v>1165</v>
      </c>
      <c r="I2423" s="14" t="s">
        <v>3033</v>
      </c>
      <c r="M2423" s="14" t="s">
        <v>3034</v>
      </c>
      <c r="O2423">
        <v>2004</v>
      </c>
      <c r="Q2423" t="s">
        <v>1329</v>
      </c>
      <c r="R2423">
        <v>14</v>
      </c>
      <c r="T2423" t="s">
        <v>3035</v>
      </c>
      <c r="U2423" s="14" t="s">
        <v>1246</v>
      </c>
      <c r="V2423" s="9" t="s">
        <v>3036</v>
      </c>
      <c r="W2423">
        <v>60</v>
      </c>
      <c r="X2423" s="9" t="s">
        <v>3037</v>
      </c>
      <c r="Z2423" s="5"/>
      <c r="AD2423" s="14" t="s">
        <v>1165</v>
      </c>
      <c r="AF2423" t="s">
        <v>1165</v>
      </c>
      <c r="AI2423" t="s">
        <v>1165</v>
      </c>
      <c r="AJ2423" s="15" t="s">
        <v>1148</v>
      </c>
      <c r="AK2423" s="15">
        <v>0</v>
      </c>
      <c r="AL2423" t="s">
        <v>1263</v>
      </c>
      <c r="AM2423">
        <v>0</v>
      </c>
      <c r="AP2423">
        <v>28</v>
      </c>
      <c r="AR2423" s="15" t="s">
        <v>1155</v>
      </c>
    </row>
    <row r="2424" spans="1:44" x14ac:dyDescent="0.2">
      <c r="A2424" t="s">
        <v>1378</v>
      </c>
      <c r="B2424" s="15" t="s">
        <v>1146</v>
      </c>
      <c r="C2424" s="15" t="s">
        <v>1149</v>
      </c>
      <c r="D2424" s="14" t="s">
        <v>475</v>
      </c>
      <c r="E2424" s="14" t="s">
        <v>3050</v>
      </c>
      <c r="G2424" s="15" t="s">
        <v>1165</v>
      </c>
      <c r="H2424" s="14" t="s">
        <v>1165</v>
      </c>
      <c r="I2424" s="14" t="s">
        <v>3033</v>
      </c>
      <c r="M2424" s="14" t="s">
        <v>3034</v>
      </c>
      <c r="O2424">
        <v>2004</v>
      </c>
      <c r="Q2424" t="s">
        <v>1329</v>
      </c>
      <c r="R2424">
        <v>14</v>
      </c>
      <c r="T2424" t="s">
        <v>3035</v>
      </c>
      <c r="U2424" s="14" t="s">
        <v>1246</v>
      </c>
      <c r="V2424" s="9" t="s">
        <v>3036</v>
      </c>
      <c r="W2424">
        <v>60</v>
      </c>
      <c r="X2424" s="9" t="s">
        <v>3037</v>
      </c>
      <c r="Z2424" s="5"/>
      <c r="AD2424" s="14" t="s">
        <v>1165</v>
      </c>
      <c r="AF2424" t="s">
        <v>1165</v>
      </c>
      <c r="AI2424" t="s">
        <v>1165</v>
      </c>
      <c r="AJ2424" s="15" t="s">
        <v>1148</v>
      </c>
      <c r="AK2424" s="15">
        <v>0</v>
      </c>
      <c r="AL2424" t="s">
        <v>1263</v>
      </c>
      <c r="AM2424">
        <v>0</v>
      </c>
      <c r="AP2424">
        <v>56</v>
      </c>
      <c r="AR2424" s="15" t="s">
        <v>1155</v>
      </c>
    </row>
    <row r="2425" spans="1:44" x14ac:dyDescent="0.2">
      <c r="A2425" t="s">
        <v>1378</v>
      </c>
      <c r="B2425" s="15" t="s">
        <v>1146</v>
      </c>
      <c r="C2425" s="15" t="s">
        <v>1149</v>
      </c>
      <c r="D2425" s="14" t="s">
        <v>475</v>
      </c>
      <c r="E2425" s="14" t="s">
        <v>3050</v>
      </c>
      <c r="G2425" s="15" t="s">
        <v>1165</v>
      </c>
      <c r="H2425" s="14" t="s">
        <v>1165</v>
      </c>
      <c r="I2425" s="14" t="s">
        <v>3033</v>
      </c>
      <c r="M2425" s="14" t="s">
        <v>3034</v>
      </c>
      <c r="O2425">
        <v>2004</v>
      </c>
      <c r="Q2425" t="s">
        <v>1329</v>
      </c>
      <c r="R2425">
        <v>14</v>
      </c>
      <c r="T2425" t="s">
        <v>3035</v>
      </c>
      <c r="U2425" s="14" t="s">
        <v>1246</v>
      </c>
      <c r="V2425" s="9" t="s">
        <v>3036</v>
      </c>
      <c r="W2425">
        <v>90</v>
      </c>
      <c r="X2425" s="9" t="s">
        <v>3037</v>
      </c>
      <c r="Z2425" s="5"/>
      <c r="AD2425" s="14" t="s">
        <v>1165</v>
      </c>
      <c r="AF2425" t="s">
        <v>1165</v>
      </c>
      <c r="AI2425" t="s">
        <v>1165</v>
      </c>
      <c r="AJ2425" s="15" t="s">
        <v>1148</v>
      </c>
      <c r="AK2425" s="15">
        <v>0</v>
      </c>
      <c r="AL2425" t="s">
        <v>1263</v>
      </c>
      <c r="AM2425">
        <v>0</v>
      </c>
      <c r="AP2425">
        <v>28</v>
      </c>
      <c r="AR2425" s="15" t="s">
        <v>1155</v>
      </c>
    </row>
    <row r="2426" spans="1:44" x14ac:dyDescent="0.2">
      <c r="A2426" t="s">
        <v>1378</v>
      </c>
      <c r="B2426" s="15" t="s">
        <v>1146</v>
      </c>
      <c r="C2426" s="15" t="s">
        <v>1149</v>
      </c>
      <c r="D2426" s="14" t="s">
        <v>475</v>
      </c>
      <c r="E2426" s="14" t="s">
        <v>3050</v>
      </c>
      <c r="G2426" s="15" t="s">
        <v>1165</v>
      </c>
      <c r="H2426" s="14" t="s">
        <v>1165</v>
      </c>
      <c r="I2426" s="14" t="s">
        <v>3033</v>
      </c>
      <c r="M2426" s="14" t="s">
        <v>3034</v>
      </c>
      <c r="O2426">
        <v>2004</v>
      </c>
      <c r="Q2426" t="s">
        <v>1329</v>
      </c>
      <c r="R2426">
        <v>14</v>
      </c>
      <c r="T2426" t="s">
        <v>3035</v>
      </c>
      <c r="U2426" s="14" t="s">
        <v>1246</v>
      </c>
      <c r="V2426" s="9" t="s">
        <v>3036</v>
      </c>
      <c r="W2426">
        <v>90</v>
      </c>
      <c r="X2426" s="9" t="s">
        <v>3037</v>
      </c>
      <c r="Z2426" s="5"/>
      <c r="AD2426" s="14" t="s">
        <v>1165</v>
      </c>
      <c r="AF2426" t="s">
        <v>1165</v>
      </c>
      <c r="AI2426" t="s">
        <v>1165</v>
      </c>
      <c r="AJ2426" s="15" t="s">
        <v>1148</v>
      </c>
      <c r="AK2426" s="15">
        <v>0</v>
      </c>
      <c r="AL2426" t="s">
        <v>1263</v>
      </c>
      <c r="AM2426">
        <v>0</v>
      </c>
      <c r="AP2426">
        <v>56</v>
      </c>
      <c r="AR2426" s="15" t="s">
        <v>1155</v>
      </c>
    </row>
    <row r="2427" spans="1:44" x14ac:dyDescent="0.2">
      <c r="A2427" t="s">
        <v>1378</v>
      </c>
      <c r="B2427" s="15" t="s">
        <v>1146</v>
      </c>
      <c r="C2427" s="15" t="s">
        <v>1149</v>
      </c>
      <c r="D2427" s="14" t="s">
        <v>475</v>
      </c>
      <c r="E2427" s="14" t="s">
        <v>3050</v>
      </c>
      <c r="G2427" s="15" t="s">
        <v>1165</v>
      </c>
      <c r="H2427" s="14" t="s">
        <v>1165</v>
      </c>
      <c r="I2427" s="14" t="s">
        <v>3033</v>
      </c>
      <c r="M2427" s="14" t="s">
        <v>3034</v>
      </c>
      <c r="O2427">
        <v>2004</v>
      </c>
      <c r="Q2427" t="s">
        <v>1329</v>
      </c>
      <c r="R2427">
        <v>14</v>
      </c>
      <c r="T2427" t="s">
        <v>3035</v>
      </c>
      <c r="U2427" s="14" t="s">
        <v>1246</v>
      </c>
      <c r="V2427" s="9" t="s">
        <v>3036</v>
      </c>
      <c r="W2427">
        <v>180</v>
      </c>
      <c r="X2427" s="9" t="s">
        <v>3037</v>
      </c>
      <c r="Z2427" s="5"/>
      <c r="AD2427" s="14" t="s">
        <v>1165</v>
      </c>
      <c r="AF2427" t="s">
        <v>1165</v>
      </c>
      <c r="AI2427" t="s">
        <v>1165</v>
      </c>
      <c r="AJ2427" s="15" t="s">
        <v>1148</v>
      </c>
      <c r="AK2427" s="15">
        <v>0</v>
      </c>
      <c r="AL2427" t="s">
        <v>1263</v>
      </c>
      <c r="AM2427">
        <v>0</v>
      </c>
      <c r="AP2427">
        <v>28</v>
      </c>
      <c r="AR2427" s="15" t="s">
        <v>1155</v>
      </c>
    </row>
    <row r="2428" spans="1:44" x14ac:dyDescent="0.2">
      <c r="A2428" t="s">
        <v>1378</v>
      </c>
      <c r="B2428" s="15" t="s">
        <v>1146</v>
      </c>
      <c r="C2428" s="15" t="s">
        <v>1149</v>
      </c>
      <c r="D2428" s="14" t="s">
        <v>475</v>
      </c>
      <c r="E2428" s="14" t="s">
        <v>3050</v>
      </c>
      <c r="G2428" s="15" t="s">
        <v>1165</v>
      </c>
      <c r="H2428" s="14" t="s">
        <v>1165</v>
      </c>
      <c r="I2428" s="14" t="s">
        <v>3033</v>
      </c>
      <c r="M2428" s="14" t="s">
        <v>3034</v>
      </c>
      <c r="O2428">
        <v>2004</v>
      </c>
      <c r="Q2428" t="s">
        <v>1329</v>
      </c>
      <c r="R2428">
        <v>14</v>
      </c>
      <c r="T2428" t="s">
        <v>3035</v>
      </c>
      <c r="U2428" s="14" t="s">
        <v>1246</v>
      </c>
      <c r="V2428" s="9" t="s">
        <v>3036</v>
      </c>
      <c r="W2428">
        <v>180</v>
      </c>
      <c r="X2428" s="9" t="s">
        <v>3037</v>
      </c>
      <c r="Z2428" s="5"/>
      <c r="AD2428" s="14" t="s">
        <v>1165</v>
      </c>
      <c r="AF2428" t="s">
        <v>1165</v>
      </c>
      <c r="AI2428" t="s">
        <v>1165</v>
      </c>
      <c r="AJ2428" s="15" t="s">
        <v>1148</v>
      </c>
      <c r="AK2428" s="15">
        <v>2.887</v>
      </c>
      <c r="AL2428" t="s">
        <v>1263</v>
      </c>
      <c r="AM2428">
        <f>5.282-2.887</f>
        <v>2.395</v>
      </c>
      <c r="AP2428">
        <v>56</v>
      </c>
      <c r="AR2428" s="15" t="s">
        <v>1155</v>
      </c>
    </row>
    <row r="2429" spans="1:44" x14ac:dyDescent="0.2">
      <c r="A2429" t="s">
        <v>1378</v>
      </c>
      <c r="B2429" s="15" t="s">
        <v>1146</v>
      </c>
      <c r="C2429" s="15" t="s">
        <v>1149</v>
      </c>
      <c r="D2429" s="14" t="s">
        <v>475</v>
      </c>
      <c r="E2429" s="14" t="s">
        <v>3050</v>
      </c>
      <c r="G2429" s="15" t="s">
        <v>1165</v>
      </c>
      <c r="H2429" s="14" t="s">
        <v>1165</v>
      </c>
      <c r="I2429" s="14" t="s">
        <v>3033</v>
      </c>
      <c r="M2429" s="14" t="s">
        <v>3034</v>
      </c>
      <c r="O2429">
        <v>2004</v>
      </c>
      <c r="Q2429" t="s">
        <v>1329</v>
      </c>
      <c r="R2429">
        <v>14</v>
      </c>
      <c r="T2429" t="s">
        <v>3035</v>
      </c>
      <c r="U2429" s="14" t="s">
        <v>1246</v>
      </c>
      <c r="V2429" s="9" t="s">
        <v>3036</v>
      </c>
      <c r="W2429">
        <v>0</v>
      </c>
      <c r="X2429" s="9" t="s">
        <v>3038</v>
      </c>
      <c r="Z2429" s="5"/>
      <c r="AD2429" s="14" t="s">
        <v>1165</v>
      </c>
      <c r="AF2429" t="s">
        <v>1165</v>
      </c>
      <c r="AI2429" t="s">
        <v>1165</v>
      </c>
      <c r="AJ2429" s="15" t="s">
        <v>1148</v>
      </c>
      <c r="AK2429" s="15">
        <v>0</v>
      </c>
      <c r="AL2429" t="s">
        <v>1263</v>
      </c>
      <c r="AM2429">
        <v>0</v>
      </c>
      <c r="AP2429">
        <v>28</v>
      </c>
      <c r="AR2429" s="15" t="s">
        <v>1155</v>
      </c>
    </row>
    <row r="2430" spans="1:44" x14ac:dyDescent="0.2">
      <c r="A2430" t="s">
        <v>1378</v>
      </c>
      <c r="B2430" s="15" t="s">
        <v>1146</v>
      </c>
      <c r="C2430" s="15" t="s">
        <v>1149</v>
      </c>
      <c r="D2430" s="14" t="s">
        <v>475</v>
      </c>
      <c r="E2430" s="14" t="s">
        <v>3050</v>
      </c>
      <c r="G2430" s="15" t="s">
        <v>1165</v>
      </c>
      <c r="H2430" s="14" t="s">
        <v>1165</v>
      </c>
      <c r="I2430" s="14" t="s">
        <v>3033</v>
      </c>
      <c r="M2430" s="14" t="s">
        <v>3034</v>
      </c>
      <c r="O2430">
        <v>2004</v>
      </c>
      <c r="Q2430" t="s">
        <v>1329</v>
      </c>
      <c r="R2430">
        <v>14</v>
      </c>
      <c r="T2430" t="s">
        <v>3035</v>
      </c>
      <c r="U2430" s="14" t="s">
        <v>1246</v>
      </c>
      <c r="V2430" s="9" t="s">
        <v>3036</v>
      </c>
      <c r="W2430">
        <v>0</v>
      </c>
      <c r="X2430" s="9" t="s">
        <v>3038</v>
      </c>
      <c r="Z2430" s="5"/>
      <c r="AD2430" s="14" t="s">
        <v>1165</v>
      </c>
      <c r="AF2430" t="s">
        <v>1165</v>
      </c>
      <c r="AI2430" t="s">
        <v>1165</v>
      </c>
      <c r="AJ2430" s="15" t="s">
        <v>1148</v>
      </c>
      <c r="AK2430" s="15">
        <v>0</v>
      </c>
      <c r="AL2430" t="s">
        <v>1263</v>
      </c>
      <c r="AM2430">
        <v>0</v>
      </c>
      <c r="AP2430">
        <v>56</v>
      </c>
      <c r="AR2430" s="15" t="s">
        <v>1155</v>
      </c>
    </row>
    <row r="2431" spans="1:44" x14ac:dyDescent="0.2">
      <c r="A2431" t="s">
        <v>1378</v>
      </c>
      <c r="B2431" s="15" t="s">
        <v>1146</v>
      </c>
      <c r="C2431" s="15" t="s">
        <v>1149</v>
      </c>
      <c r="D2431" s="14" t="s">
        <v>475</v>
      </c>
      <c r="E2431" s="14" t="s">
        <v>3050</v>
      </c>
      <c r="G2431" s="15" t="s">
        <v>1165</v>
      </c>
      <c r="H2431" s="14" t="s">
        <v>1165</v>
      </c>
      <c r="I2431" s="14" t="s">
        <v>3033</v>
      </c>
      <c r="M2431" s="14" t="s">
        <v>3034</v>
      </c>
      <c r="O2431">
        <v>2004</v>
      </c>
      <c r="Q2431" t="s">
        <v>1329</v>
      </c>
      <c r="R2431">
        <v>14</v>
      </c>
      <c r="T2431" t="s">
        <v>3035</v>
      </c>
      <c r="U2431" s="14" t="s">
        <v>1246</v>
      </c>
      <c r="V2431" s="9" t="s">
        <v>3036</v>
      </c>
      <c r="W2431">
        <v>30</v>
      </c>
      <c r="X2431" s="9" t="s">
        <v>3038</v>
      </c>
      <c r="Z2431" s="5"/>
      <c r="AD2431" s="14" t="s">
        <v>1165</v>
      </c>
      <c r="AF2431" t="s">
        <v>1165</v>
      </c>
      <c r="AI2431" t="s">
        <v>1165</v>
      </c>
      <c r="AJ2431" s="15" t="s">
        <v>1148</v>
      </c>
      <c r="AK2431" s="15">
        <v>0</v>
      </c>
      <c r="AL2431" t="s">
        <v>1263</v>
      </c>
      <c r="AM2431">
        <v>0</v>
      </c>
      <c r="AP2431">
        <v>28</v>
      </c>
      <c r="AR2431" s="15" t="s">
        <v>1155</v>
      </c>
    </row>
    <row r="2432" spans="1:44" x14ac:dyDescent="0.2">
      <c r="A2432" t="s">
        <v>1378</v>
      </c>
      <c r="B2432" s="15" t="s">
        <v>1146</v>
      </c>
      <c r="C2432" s="15" t="s">
        <v>1149</v>
      </c>
      <c r="D2432" s="14" t="s">
        <v>475</v>
      </c>
      <c r="E2432" s="14" t="s">
        <v>3050</v>
      </c>
      <c r="G2432" s="15" t="s">
        <v>1165</v>
      </c>
      <c r="H2432" s="14" t="s">
        <v>1165</v>
      </c>
      <c r="I2432" s="14" t="s">
        <v>3033</v>
      </c>
      <c r="M2432" s="14" t="s">
        <v>3034</v>
      </c>
      <c r="O2432">
        <v>2004</v>
      </c>
      <c r="Q2432" t="s">
        <v>1329</v>
      </c>
      <c r="R2432">
        <v>14</v>
      </c>
      <c r="T2432" t="s">
        <v>3035</v>
      </c>
      <c r="U2432" s="14" t="s">
        <v>1246</v>
      </c>
      <c r="V2432" s="9" t="s">
        <v>3036</v>
      </c>
      <c r="W2432">
        <v>30</v>
      </c>
      <c r="X2432" s="9" t="s">
        <v>3038</v>
      </c>
      <c r="Z2432" s="5"/>
      <c r="AD2432" s="14" t="s">
        <v>1165</v>
      </c>
      <c r="AF2432" t="s">
        <v>1165</v>
      </c>
      <c r="AI2432" t="s">
        <v>1165</v>
      </c>
      <c r="AJ2432" s="15" t="s">
        <v>1148</v>
      </c>
      <c r="AK2432" s="15">
        <v>0</v>
      </c>
      <c r="AL2432" t="s">
        <v>1263</v>
      </c>
      <c r="AM2432">
        <v>0</v>
      </c>
      <c r="AP2432">
        <v>56</v>
      </c>
      <c r="AR2432" s="15" t="s">
        <v>1155</v>
      </c>
    </row>
    <row r="2433" spans="1:44" x14ac:dyDescent="0.2">
      <c r="A2433" t="s">
        <v>1378</v>
      </c>
      <c r="B2433" s="15" t="s">
        <v>1146</v>
      </c>
      <c r="C2433" s="15" t="s">
        <v>1149</v>
      </c>
      <c r="D2433" s="14" t="s">
        <v>475</v>
      </c>
      <c r="E2433" s="14" t="s">
        <v>3050</v>
      </c>
      <c r="G2433" s="15" t="s">
        <v>1165</v>
      </c>
      <c r="H2433" s="14" t="s">
        <v>1165</v>
      </c>
      <c r="I2433" s="14" t="s">
        <v>3033</v>
      </c>
      <c r="M2433" s="14" t="s">
        <v>3034</v>
      </c>
      <c r="O2433">
        <v>2004</v>
      </c>
      <c r="Q2433" t="s">
        <v>1329</v>
      </c>
      <c r="R2433">
        <v>14</v>
      </c>
      <c r="T2433" t="s">
        <v>3035</v>
      </c>
      <c r="U2433" s="14" t="s">
        <v>1246</v>
      </c>
      <c r="V2433" s="9" t="s">
        <v>3036</v>
      </c>
      <c r="W2433">
        <v>60</v>
      </c>
      <c r="X2433" s="9" t="s">
        <v>3038</v>
      </c>
      <c r="Z2433" s="5"/>
      <c r="AD2433" s="14" t="s">
        <v>1165</v>
      </c>
      <c r="AF2433" t="s">
        <v>1165</v>
      </c>
      <c r="AI2433" t="s">
        <v>1165</v>
      </c>
      <c r="AJ2433" s="15" t="s">
        <v>1148</v>
      </c>
      <c r="AK2433" s="15">
        <v>2.8570000000000002</v>
      </c>
      <c r="AL2433" t="s">
        <v>1263</v>
      </c>
      <c r="AM2433">
        <f>5.918-2.857</f>
        <v>3.0609999999999999</v>
      </c>
      <c r="AP2433">
        <v>28</v>
      </c>
      <c r="AR2433" s="15" t="s">
        <v>1155</v>
      </c>
    </row>
    <row r="2434" spans="1:44" x14ac:dyDescent="0.2">
      <c r="A2434" t="s">
        <v>1378</v>
      </c>
      <c r="B2434" s="15" t="s">
        <v>1146</v>
      </c>
      <c r="C2434" s="15" t="s">
        <v>1149</v>
      </c>
      <c r="D2434" s="14" t="s">
        <v>475</v>
      </c>
      <c r="E2434" s="14" t="s">
        <v>3050</v>
      </c>
      <c r="G2434" s="15" t="s">
        <v>1165</v>
      </c>
      <c r="H2434" s="14" t="s">
        <v>1165</v>
      </c>
      <c r="I2434" s="14" t="s">
        <v>3033</v>
      </c>
      <c r="M2434" s="14" t="s">
        <v>3034</v>
      </c>
      <c r="O2434">
        <v>2004</v>
      </c>
      <c r="Q2434" t="s">
        <v>1329</v>
      </c>
      <c r="R2434">
        <v>14</v>
      </c>
      <c r="T2434" t="s">
        <v>3035</v>
      </c>
      <c r="U2434" s="14" t="s">
        <v>1246</v>
      </c>
      <c r="V2434" s="9" t="s">
        <v>3036</v>
      </c>
      <c r="W2434">
        <v>60</v>
      </c>
      <c r="X2434" s="9" t="s">
        <v>3038</v>
      </c>
      <c r="Z2434" s="5"/>
      <c r="AD2434" s="14" t="s">
        <v>1165</v>
      </c>
      <c r="AF2434" t="s">
        <v>1165</v>
      </c>
      <c r="AI2434" t="s">
        <v>1165</v>
      </c>
      <c r="AJ2434" s="15" t="s">
        <v>1148</v>
      </c>
      <c r="AK2434" s="15">
        <v>2.653</v>
      </c>
      <c r="AL2434" t="s">
        <v>1263</v>
      </c>
      <c r="AM2434">
        <f>5.918-2.653</f>
        <v>3.2650000000000001</v>
      </c>
      <c r="AP2434">
        <v>56</v>
      </c>
      <c r="AR2434" s="15" t="s">
        <v>1155</v>
      </c>
    </row>
    <row r="2435" spans="1:44" x14ac:dyDescent="0.2">
      <c r="A2435" t="s">
        <v>1378</v>
      </c>
      <c r="B2435" s="15" t="s">
        <v>1146</v>
      </c>
      <c r="C2435" s="15" t="s">
        <v>1149</v>
      </c>
      <c r="D2435" s="14" t="s">
        <v>475</v>
      </c>
      <c r="E2435" s="14" t="s">
        <v>3050</v>
      </c>
      <c r="G2435" s="15" t="s">
        <v>1165</v>
      </c>
      <c r="H2435" s="14" t="s">
        <v>1165</v>
      </c>
      <c r="I2435" s="14" t="s">
        <v>3033</v>
      </c>
      <c r="M2435" s="14" t="s">
        <v>3034</v>
      </c>
      <c r="O2435">
        <v>2004</v>
      </c>
      <c r="Q2435" t="s">
        <v>1329</v>
      </c>
      <c r="R2435">
        <v>14</v>
      </c>
      <c r="T2435" t="s">
        <v>3035</v>
      </c>
      <c r="U2435" s="14" t="s">
        <v>1246</v>
      </c>
      <c r="V2435" s="9" t="s">
        <v>3036</v>
      </c>
      <c r="W2435">
        <v>90</v>
      </c>
      <c r="X2435" s="9" t="s">
        <v>3038</v>
      </c>
      <c r="Z2435" s="5"/>
      <c r="AD2435" s="14" t="s">
        <v>1165</v>
      </c>
      <c r="AF2435" t="s">
        <v>1165</v>
      </c>
      <c r="AI2435" t="s">
        <v>1165</v>
      </c>
      <c r="AJ2435" s="15" t="s">
        <v>1148</v>
      </c>
      <c r="AK2435" s="15">
        <v>0</v>
      </c>
      <c r="AL2435" t="s">
        <v>1263</v>
      </c>
      <c r="AM2435">
        <v>0</v>
      </c>
      <c r="AP2435">
        <v>28</v>
      </c>
      <c r="AR2435" s="15" t="s">
        <v>1155</v>
      </c>
    </row>
    <row r="2436" spans="1:44" x14ac:dyDescent="0.2">
      <c r="A2436" t="s">
        <v>1378</v>
      </c>
      <c r="B2436" s="15" t="s">
        <v>1146</v>
      </c>
      <c r="C2436" s="15" t="s">
        <v>1149</v>
      </c>
      <c r="D2436" s="14" t="s">
        <v>475</v>
      </c>
      <c r="E2436" s="14" t="s">
        <v>3050</v>
      </c>
      <c r="G2436" s="15" t="s">
        <v>1165</v>
      </c>
      <c r="H2436" s="14" t="s">
        <v>1165</v>
      </c>
      <c r="I2436" s="14" t="s">
        <v>3033</v>
      </c>
      <c r="M2436" s="14" t="s">
        <v>3034</v>
      </c>
      <c r="O2436">
        <v>2004</v>
      </c>
      <c r="Q2436" t="s">
        <v>1329</v>
      </c>
      <c r="R2436">
        <v>14</v>
      </c>
      <c r="T2436" t="s">
        <v>3035</v>
      </c>
      <c r="U2436" s="14" t="s">
        <v>1246</v>
      </c>
      <c r="V2436" s="9" t="s">
        <v>3036</v>
      </c>
      <c r="W2436">
        <v>90</v>
      </c>
      <c r="X2436" s="9" t="s">
        <v>3038</v>
      </c>
      <c r="Z2436" s="5"/>
      <c r="AD2436" s="14" t="s">
        <v>1165</v>
      </c>
      <c r="AF2436" t="s">
        <v>1165</v>
      </c>
      <c r="AI2436" t="s">
        <v>1165</v>
      </c>
      <c r="AJ2436" s="15" t="s">
        <v>1148</v>
      </c>
      <c r="AK2436" s="15">
        <v>5.7140000000000004</v>
      </c>
      <c r="AL2436" t="s">
        <v>1263</v>
      </c>
      <c r="AM2436">
        <f>9.184-5.714</f>
        <v>3.4699999999999989</v>
      </c>
      <c r="AP2436">
        <v>56</v>
      </c>
      <c r="AR2436" s="15" t="s">
        <v>1155</v>
      </c>
    </row>
    <row r="2437" spans="1:44" x14ac:dyDescent="0.2">
      <c r="A2437" t="s">
        <v>1378</v>
      </c>
      <c r="B2437" s="15" t="s">
        <v>1146</v>
      </c>
      <c r="C2437" s="15" t="s">
        <v>1149</v>
      </c>
      <c r="D2437" s="14" t="s">
        <v>475</v>
      </c>
      <c r="E2437" s="14" t="s">
        <v>3050</v>
      </c>
      <c r="G2437" s="15" t="s">
        <v>1165</v>
      </c>
      <c r="H2437" s="14" t="s">
        <v>1165</v>
      </c>
      <c r="I2437" s="14" t="s">
        <v>3033</v>
      </c>
      <c r="M2437" s="14" t="s">
        <v>3034</v>
      </c>
      <c r="O2437">
        <v>2004</v>
      </c>
      <c r="Q2437" t="s">
        <v>1329</v>
      </c>
      <c r="R2437">
        <v>14</v>
      </c>
      <c r="T2437" t="s">
        <v>3035</v>
      </c>
      <c r="U2437" s="14" t="s">
        <v>1246</v>
      </c>
      <c r="V2437" s="9" t="s">
        <v>3036</v>
      </c>
      <c r="W2437">
        <v>180</v>
      </c>
      <c r="X2437" s="9" t="s">
        <v>3038</v>
      </c>
      <c r="Z2437" s="5"/>
      <c r="AD2437" s="14" t="s">
        <v>1165</v>
      </c>
      <c r="AF2437" t="s">
        <v>1165</v>
      </c>
      <c r="AI2437" t="s">
        <v>1165</v>
      </c>
      <c r="AJ2437" s="15" t="s">
        <v>1148</v>
      </c>
      <c r="AK2437" s="15">
        <v>2.8570000000000002</v>
      </c>
      <c r="AL2437" t="s">
        <v>1263</v>
      </c>
      <c r="AM2437">
        <f>5.918-2.857</f>
        <v>3.0609999999999999</v>
      </c>
      <c r="AP2437">
        <v>28</v>
      </c>
      <c r="AR2437" s="15" t="s">
        <v>1155</v>
      </c>
    </row>
    <row r="2438" spans="1:44" x14ac:dyDescent="0.2">
      <c r="A2438" t="s">
        <v>1378</v>
      </c>
      <c r="B2438" s="15" t="s">
        <v>1146</v>
      </c>
      <c r="C2438" s="15" t="s">
        <v>1149</v>
      </c>
      <c r="D2438" s="14" t="s">
        <v>475</v>
      </c>
      <c r="E2438" s="14" t="s">
        <v>3050</v>
      </c>
      <c r="G2438" s="15" t="s">
        <v>1165</v>
      </c>
      <c r="H2438" s="14" t="s">
        <v>1165</v>
      </c>
      <c r="I2438" s="14" t="s">
        <v>3033</v>
      </c>
      <c r="M2438" s="14" t="s">
        <v>3034</v>
      </c>
      <c r="O2438">
        <v>2004</v>
      </c>
      <c r="Q2438" t="s">
        <v>1329</v>
      </c>
      <c r="R2438">
        <v>14</v>
      </c>
      <c r="T2438" t="s">
        <v>3035</v>
      </c>
      <c r="U2438" s="14" t="s">
        <v>1246</v>
      </c>
      <c r="V2438" s="9" t="s">
        <v>3036</v>
      </c>
      <c r="W2438">
        <v>180</v>
      </c>
      <c r="X2438" s="9" t="s">
        <v>3038</v>
      </c>
      <c r="Z2438" s="5"/>
      <c r="AD2438" s="14" t="s">
        <v>1165</v>
      </c>
      <c r="AF2438" t="s">
        <v>1165</v>
      </c>
      <c r="AI2438" t="s">
        <v>1165</v>
      </c>
      <c r="AJ2438" s="15" t="s">
        <v>1148</v>
      </c>
      <c r="AK2438" s="15">
        <v>5.3739999999999997</v>
      </c>
      <c r="AL2438" t="s">
        <v>1263</v>
      </c>
      <c r="AM2438">
        <f>9.184-5.374</f>
        <v>3.8099999999999996</v>
      </c>
      <c r="AP2438">
        <v>56</v>
      </c>
      <c r="AR2438" s="15" t="s">
        <v>1155</v>
      </c>
    </row>
    <row r="2439" spans="1:44" x14ac:dyDescent="0.2">
      <c r="A2439" t="s">
        <v>1378</v>
      </c>
      <c r="B2439" s="15" t="s">
        <v>1146</v>
      </c>
      <c r="C2439" s="15" t="s">
        <v>1149</v>
      </c>
      <c r="D2439" s="14" t="s">
        <v>475</v>
      </c>
      <c r="E2439" s="14" t="s">
        <v>3050</v>
      </c>
      <c r="G2439" s="15" t="s">
        <v>1165</v>
      </c>
      <c r="H2439" s="14" t="s">
        <v>1165</v>
      </c>
      <c r="I2439" s="14" t="s">
        <v>3033</v>
      </c>
      <c r="M2439" s="14" t="s">
        <v>3034</v>
      </c>
      <c r="O2439">
        <v>2004</v>
      </c>
      <c r="Q2439" t="s">
        <v>1329</v>
      </c>
      <c r="R2439">
        <v>14</v>
      </c>
      <c r="T2439" t="s">
        <v>3035</v>
      </c>
      <c r="U2439" s="14" t="s">
        <v>1246</v>
      </c>
      <c r="V2439" s="9" t="s">
        <v>3036</v>
      </c>
      <c r="W2439">
        <v>0</v>
      </c>
      <c r="X2439" s="9" t="s">
        <v>3039</v>
      </c>
      <c r="Z2439" s="5"/>
      <c r="AD2439" s="14" t="s">
        <v>1165</v>
      </c>
      <c r="AF2439" t="s">
        <v>1165</v>
      </c>
      <c r="AI2439" t="s">
        <v>1165</v>
      </c>
      <c r="AJ2439" s="15" t="s">
        <v>1148</v>
      </c>
      <c r="AK2439" s="15">
        <v>0</v>
      </c>
      <c r="AL2439" t="s">
        <v>1263</v>
      </c>
      <c r="AM2439">
        <v>0</v>
      </c>
      <c r="AP2439">
        <v>28</v>
      </c>
      <c r="AR2439" s="15" t="s">
        <v>1155</v>
      </c>
    </row>
    <row r="2440" spans="1:44" x14ac:dyDescent="0.2">
      <c r="A2440" t="s">
        <v>1378</v>
      </c>
      <c r="B2440" s="15" t="s">
        <v>1146</v>
      </c>
      <c r="C2440" s="15" t="s">
        <v>1149</v>
      </c>
      <c r="D2440" s="14" t="s">
        <v>475</v>
      </c>
      <c r="E2440" s="14" t="s">
        <v>3050</v>
      </c>
      <c r="G2440" s="15" t="s">
        <v>1165</v>
      </c>
      <c r="H2440" s="14" t="s">
        <v>1165</v>
      </c>
      <c r="I2440" s="14" t="s">
        <v>3033</v>
      </c>
      <c r="M2440" s="14" t="s">
        <v>3034</v>
      </c>
      <c r="O2440">
        <v>2004</v>
      </c>
      <c r="Q2440" t="s">
        <v>1329</v>
      </c>
      <c r="R2440">
        <v>14</v>
      </c>
      <c r="T2440" t="s">
        <v>3035</v>
      </c>
      <c r="U2440" s="14" t="s">
        <v>1246</v>
      </c>
      <c r="V2440" s="9" t="s">
        <v>3036</v>
      </c>
      <c r="W2440">
        <v>0</v>
      </c>
      <c r="X2440" s="9" t="s">
        <v>3039</v>
      </c>
      <c r="Z2440" s="5"/>
      <c r="AD2440" s="14" t="s">
        <v>1165</v>
      </c>
      <c r="AF2440" t="s">
        <v>1165</v>
      </c>
      <c r="AI2440" t="s">
        <v>1165</v>
      </c>
      <c r="AJ2440" s="15" t="s">
        <v>1148</v>
      </c>
      <c r="AK2440" s="15">
        <v>3.0430000000000001</v>
      </c>
      <c r="AL2440" t="s">
        <v>1263</v>
      </c>
      <c r="AM2440">
        <f>5.725-3.043</f>
        <v>2.6819999999999995</v>
      </c>
      <c r="AP2440">
        <v>56</v>
      </c>
      <c r="AR2440" s="15" t="s">
        <v>1155</v>
      </c>
    </row>
    <row r="2441" spans="1:44" x14ac:dyDescent="0.2">
      <c r="A2441" t="s">
        <v>1378</v>
      </c>
      <c r="B2441" s="15" t="s">
        <v>1146</v>
      </c>
      <c r="C2441" s="15" t="s">
        <v>1149</v>
      </c>
      <c r="D2441" s="14" t="s">
        <v>475</v>
      </c>
      <c r="E2441" s="14" t="s">
        <v>3050</v>
      </c>
      <c r="G2441" s="15" t="s">
        <v>1165</v>
      </c>
      <c r="H2441" s="14" t="s">
        <v>1165</v>
      </c>
      <c r="I2441" s="14" t="s">
        <v>3033</v>
      </c>
      <c r="M2441" s="14" t="s">
        <v>3034</v>
      </c>
      <c r="O2441">
        <v>2004</v>
      </c>
      <c r="Q2441" t="s">
        <v>1329</v>
      </c>
      <c r="R2441">
        <v>14</v>
      </c>
      <c r="T2441" t="s">
        <v>3035</v>
      </c>
      <c r="U2441" s="14" t="s">
        <v>1246</v>
      </c>
      <c r="V2441" s="9" t="s">
        <v>3036</v>
      </c>
      <c r="W2441">
        <v>30</v>
      </c>
      <c r="X2441" s="9" t="s">
        <v>3039</v>
      </c>
      <c r="Z2441" s="5"/>
      <c r="AD2441" s="14" t="s">
        <v>1165</v>
      </c>
      <c r="AF2441" t="s">
        <v>1165</v>
      </c>
      <c r="AI2441" t="s">
        <v>1165</v>
      </c>
      <c r="AJ2441" s="15" t="s">
        <v>1148</v>
      </c>
      <c r="AK2441" s="15">
        <v>5.4349999999999996</v>
      </c>
      <c r="AL2441" t="s">
        <v>1263</v>
      </c>
      <c r="AM2441">
        <f>10.942-5.435</f>
        <v>5.5070000000000006</v>
      </c>
      <c r="AP2441">
        <v>28</v>
      </c>
      <c r="AR2441" s="15" t="s">
        <v>1155</v>
      </c>
    </row>
    <row r="2442" spans="1:44" x14ac:dyDescent="0.2">
      <c r="A2442" t="s">
        <v>1378</v>
      </c>
      <c r="B2442" s="15" t="s">
        <v>1146</v>
      </c>
      <c r="C2442" s="15" t="s">
        <v>1149</v>
      </c>
      <c r="D2442" s="14" t="s">
        <v>475</v>
      </c>
      <c r="E2442" s="14" t="s">
        <v>3050</v>
      </c>
      <c r="G2442" s="15" t="s">
        <v>1165</v>
      </c>
      <c r="H2442" s="14" t="s">
        <v>1165</v>
      </c>
      <c r="I2442" s="14" t="s">
        <v>3033</v>
      </c>
      <c r="M2442" s="14" t="s">
        <v>3034</v>
      </c>
      <c r="O2442">
        <v>2004</v>
      </c>
      <c r="Q2442" t="s">
        <v>1329</v>
      </c>
      <c r="R2442">
        <v>14</v>
      </c>
      <c r="T2442" t="s">
        <v>3035</v>
      </c>
      <c r="U2442" s="14" t="s">
        <v>1246</v>
      </c>
      <c r="V2442" s="9" t="s">
        <v>3036</v>
      </c>
      <c r="W2442">
        <v>30</v>
      </c>
      <c r="X2442" s="9" t="s">
        <v>3039</v>
      </c>
      <c r="Z2442" s="5"/>
      <c r="AD2442" s="14" t="s">
        <v>1165</v>
      </c>
      <c r="AF2442" t="s">
        <v>1165</v>
      </c>
      <c r="AI2442" t="s">
        <v>1165</v>
      </c>
      <c r="AJ2442" s="15" t="s">
        <v>1148</v>
      </c>
      <c r="AK2442" s="15">
        <v>15.29</v>
      </c>
      <c r="AL2442" t="s">
        <v>1263</v>
      </c>
      <c r="AM2442">
        <f>23.696-15.29</f>
        <v>8.4060000000000024</v>
      </c>
      <c r="AP2442">
        <v>56</v>
      </c>
      <c r="AR2442" s="15" t="s">
        <v>1155</v>
      </c>
    </row>
    <row r="2443" spans="1:44" x14ac:dyDescent="0.2">
      <c r="A2443" t="s">
        <v>1378</v>
      </c>
      <c r="B2443" s="15" t="s">
        <v>1146</v>
      </c>
      <c r="C2443" s="15" t="s">
        <v>1149</v>
      </c>
      <c r="D2443" s="14" t="s">
        <v>475</v>
      </c>
      <c r="E2443" s="14" t="s">
        <v>3050</v>
      </c>
      <c r="G2443" s="15" t="s">
        <v>1165</v>
      </c>
      <c r="H2443" s="14" t="s">
        <v>1165</v>
      </c>
      <c r="I2443" s="14" t="s">
        <v>3033</v>
      </c>
      <c r="M2443" s="14" t="s">
        <v>3034</v>
      </c>
      <c r="O2443">
        <v>2004</v>
      </c>
      <c r="Q2443" t="s">
        <v>1329</v>
      </c>
      <c r="R2443">
        <v>14</v>
      </c>
      <c r="T2443" t="s">
        <v>3035</v>
      </c>
      <c r="U2443" s="14" t="s">
        <v>1246</v>
      </c>
      <c r="V2443" s="9" t="s">
        <v>3036</v>
      </c>
      <c r="W2443">
        <v>60</v>
      </c>
      <c r="X2443" s="9" t="s">
        <v>3039</v>
      </c>
      <c r="Z2443" s="5"/>
      <c r="AD2443" s="14" t="s">
        <v>1165</v>
      </c>
      <c r="AF2443" t="s">
        <v>1165</v>
      </c>
      <c r="AI2443" t="s">
        <v>1165</v>
      </c>
      <c r="AJ2443" s="15" t="s">
        <v>1148</v>
      </c>
      <c r="AK2443" s="15">
        <v>2.8260000000000001</v>
      </c>
      <c r="AL2443" t="s">
        <v>1263</v>
      </c>
      <c r="AM2443">
        <f>5.725-2.826</f>
        <v>2.8989999999999996</v>
      </c>
      <c r="AP2443">
        <v>28</v>
      </c>
      <c r="AR2443" s="15" t="s">
        <v>1155</v>
      </c>
    </row>
    <row r="2444" spans="1:44" x14ac:dyDescent="0.2">
      <c r="A2444" t="s">
        <v>1378</v>
      </c>
      <c r="B2444" s="15" t="s">
        <v>1146</v>
      </c>
      <c r="C2444" s="15" t="s">
        <v>1149</v>
      </c>
      <c r="D2444" s="14" t="s">
        <v>475</v>
      </c>
      <c r="E2444" s="14" t="s">
        <v>3050</v>
      </c>
      <c r="G2444" s="15" t="s">
        <v>1165</v>
      </c>
      <c r="H2444" s="14" t="s">
        <v>1165</v>
      </c>
      <c r="I2444" s="14" t="s">
        <v>3033</v>
      </c>
      <c r="M2444" s="14" t="s">
        <v>3034</v>
      </c>
      <c r="O2444">
        <v>2004</v>
      </c>
      <c r="Q2444" t="s">
        <v>1329</v>
      </c>
      <c r="R2444">
        <v>14</v>
      </c>
      <c r="T2444" t="s">
        <v>3035</v>
      </c>
      <c r="U2444" s="14" t="s">
        <v>1246</v>
      </c>
      <c r="V2444" s="9" t="s">
        <v>3036</v>
      </c>
      <c r="W2444">
        <v>60</v>
      </c>
      <c r="X2444" s="9" t="s">
        <v>3039</v>
      </c>
      <c r="Z2444" s="5"/>
      <c r="AD2444" s="14" t="s">
        <v>1165</v>
      </c>
      <c r="AF2444" t="s">
        <v>1165</v>
      </c>
      <c r="AI2444" t="s">
        <v>1165</v>
      </c>
      <c r="AJ2444" s="15" t="s">
        <v>1148</v>
      </c>
      <c r="AK2444" s="15">
        <v>7.7539999999999996</v>
      </c>
      <c r="AL2444" t="s">
        <v>1263</v>
      </c>
      <c r="AM2444">
        <f>12.391-7.754</f>
        <v>4.6370000000000005</v>
      </c>
      <c r="AP2444">
        <v>56</v>
      </c>
      <c r="AR2444" s="15" t="s">
        <v>1155</v>
      </c>
    </row>
    <row r="2445" spans="1:44" x14ac:dyDescent="0.2">
      <c r="A2445" t="s">
        <v>1378</v>
      </c>
      <c r="B2445" s="15" t="s">
        <v>1146</v>
      </c>
      <c r="C2445" s="15" t="s">
        <v>1149</v>
      </c>
      <c r="D2445" s="14" t="s">
        <v>475</v>
      </c>
      <c r="E2445" s="14" t="s">
        <v>3050</v>
      </c>
      <c r="G2445" s="15" t="s">
        <v>1165</v>
      </c>
      <c r="H2445" s="14" t="s">
        <v>1165</v>
      </c>
      <c r="I2445" s="14" t="s">
        <v>3033</v>
      </c>
      <c r="M2445" s="14" t="s">
        <v>3034</v>
      </c>
      <c r="O2445">
        <v>2004</v>
      </c>
      <c r="Q2445" t="s">
        <v>1329</v>
      </c>
      <c r="R2445">
        <v>14</v>
      </c>
      <c r="T2445" t="s">
        <v>3035</v>
      </c>
      <c r="U2445" s="14" t="s">
        <v>1246</v>
      </c>
      <c r="V2445" s="9" t="s">
        <v>3036</v>
      </c>
      <c r="W2445">
        <v>90</v>
      </c>
      <c r="X2445" s="9" t="s">
        <v>3039</v>
      </c>
      <c r="Z2445" s="5"/>
      <c r="AD2445" s="14" t="s">
        <v>1165</v>
      </c>
      <c r="AF2445" t="s">
        <v>1165</v>
      </c>
      <c r="AI2445" t="s">
        <v>1165</v>
      </c>
      <c r="AJ2445" s="15" t="s">
        <v>1148</v>
      </c>
      <c r="AK2445" s="15">
        <v>8.0429999999999993</v>
      </c>
      <c r="AL2445" t="s">
        <v>1263</v>
      </c>
      <c r="AM2445">
        <f>13.841-8.043</f>
        <v>5.798</v>
      </c>
      <c r="AP2445">
        <v>28</v>
      </c>
      <c r="AR2445" s="15" t="s">
        <v>1155</v>
      </c>
    </row>
    <row r="2446" spans="1:44" x14ac:dyDescent="0.2">
      <c r="A2446" t="s">
        <v>1378</v>
      </c>
      <c r="B2446" s="15" t="s">
        <v>1146</v>
      </c>
      <c r="C2446" s="15" t="s">
        <v>1149</v>
      </c>
      <c r="D2446" s="14" t="s">
        <v>475</v>
      </c>
      <c r="E2446" s="14" t="s">
        <v>3050</v>
      </c>
      <c r="G2446" s="15" t="s">
        <v>1165</v>
      </c>
      <c r="H2446" s="14" t="s">
        <v>1165</v>
      </c>
      <c r="I2446" s="14" t="s">
        <v>3033</v>
      </c>
      <c r="M2446" s="14" t="s">
        <v>3034</v>
      </c>
      <c r="O2446">
        <v>2004</v>
      </c>
      <c r="Q2446" t="s">
        <v>1329</v>
      </c>
      <c r="R2446">
        <v>14</v>
      </c>
      <c r="T2446" t="s">
        <v>3035</v>
      </c>
      <c r="U2446" s="14" t="s">
        <v>1246</v>
      </c>
      <c r="V2446" s="9" t="s">
        <v>3036</v>
      </c>
      <c r="W2446">
        <v>90</v>
      </c>
      <c r="X2446" s="9" t="s">
        <v>3039</v>
      </c>
      <c r="Z2446" s="5"/>
      <c r="AD2446" s="14" t="s">
        <v>1165</v>
      </c>
      <c r="AF2446" t="s">
        <v>1165</v>
      </c>
      <c r="AI2446" t="s">
        <v>1165</v>
      </c>
      <c r="AJ2446" s="15" t="s">
        <v>1148</v>
      </c>
      <c r="AK2446" s="15">
        <v>20.507000000000001</v>
      </c>
      <c r="AL2446" t="s">
        <v>1263</v>
      </c>
      <c r="AM2446">
        <f>27.174-20.507</f>
        <v>6.666999999999998</v>
      </c>
      <c r="AP2446">
        <v>56</v>
      </c>
      <c r="AR2446" s="15" t="s">
        <v>1155</v>
      </c>
    </row>
    <row r="2447" spans="1:44" x14ac:dyDescent="0.2">
      <c r="A2447" t="s">
        <v>1378</v>
      </c>
      <c r="B2447" s="15" t="s">
        <v>1146</v>
      </c>
      <c r="C2447" s="15" t="s">
        <v>1149</v>
      </c>
      <c r="D2447" s="14" t="s">
        <v>475</v>
      </c>
      <c r="E2447" s="14" t="s">
        <v>3050</v>
      </c>
      <c r="G2447" s="15" t="s">
        <v>1165</v>
      </c>
      <c r="H2447" s="14" t="s">
        <v>1165</v>
      </c>
      <c r="I2447" s="14" t="s">
        <v>3033</v>
      </c>
      <c r="M2447" s="14" t="s">
        <v>3034</v>
      </c>
      <c r="O2447">
        <v>2004</v>
      </c>
      <c r="Q2447" t="s">
        <v>1329</v>
      </c>
      <c r="R2447">
        <v>14</v>
      </c>
      <c r="T2447" t="s">
        <v>3035</v>
      </c>
      <c r="U2447" s="14" t="s">
        <v>1246</v>
      </c>
      <c r="V2447" s="9" t="s">
        <v>3036</v>
      </c>
      <c r="W2447">
        <v>180</v>
      </c>
      <c r="X2447" s="9" t="s">
        <v>3039</v>
      </c>
      <c r="Z2447" s="5"/>
      <c r="AD2447" s="14" t="s">
        <v>1165</v>
      </c>
      <c r="AF2447" t="s">
        <v>1165</v>
      </c>
      <c r="AI2447" t="s">
        <v>1165</v>
      </c>
      <c r="AJ2447" s="15" t="s">
        <v>1148</v>
      </c>
      <c r="AK2447" s="15">
        <v>17.899000000000001</v>
      </c>
      <c r="AL2447" t="s">
        <v>1263</v>
      </c>
      <c r="AM2447">
        <f>24.565-17.899</f>
        <v>6.6660000000000004</v>
      </c>
      <c r="AP2447">
        <v>28</v>
      </c>
      <c r="AR2447" s="15" t="s">
        <v>1155</v>
      </c>
    </row>
    <row r="2448" spans="1:44" x14ac:dyDescent="0.2">
      <c r="A2448" t="s">
        <v>1378</v>
      </c>
      <c r="B2448" s="15" t="s">
        <v>1146</v>
      </c>
      <c r="C2448" s="15" t="s">
        <v>1149</v>
      </c>
      <c r="D2448" s="14" t="s">
        <v>475</v>
      </c>
      <c r="E2448" s="14" t="s">
        <v>3050</v>
      </c>
      <c r="G2448" s="15" t="s">
        <v>1165</v>
      </c>
      <c r="H2448" s="14" t="s">
        <v>1165</v>
      </c>
      <c r="I2448" s="14" t="s">
        <v>3033</v>
      </c>
      <c r="M2448" s="14" t="s">
        <v>3034</v>
      </c>
      <c r="O2448">
        <v>2004</v>
      </c>
      <c r="Q2448" t="s">
        <v>1329</v>
      </c>
      <c r="R2448">
        <v>14</v>
      </c>
      <c r="T2448" t="s">
        <v>3035</v>
      </c>
      <c r="U2448" s="14" t="s">
        <v>1246</v>
      </c>
      <c r="V2448" s="9" t="s">
        <v>3036</v>
      </c>
      <c r="W2448">
        <v>180</v>
      </c>
      <c r="X2448" s="9" t="s">
        <v>3039</v>
      </c>
      <c r="Z2448" s="5"/>
      <c r="AD2448" s="14" t="s">
        <v>1165</v>
      </c>
      <c r="AF2448" t="s">
        <v>1165</v>
      </c>
      <c r="AI2448" t="s">
        <v>1165</v>
      </c>
      <c r="AJ2448" s="15" t="s">
        <v>1148</v>
      </c>
      <c r="AK2448" s="15">
        <v>38.188000000000002</v>
      </c>
      <c r="AL2448" t="s">
        <v>1263</v>
      </c>
      <c r="AM2448">
        <f>44.275-38.188</f>
        <v>6.0869999999999962</v>
      </c>
      <c r="AP2448">
        <v>56</v>
      </c>
      <c r="AR2448" s="15" t="s">
        <v>1155</v>
      </c>
    </row>
    <row r="2449" spans="1:44" x14ac:dyDescent="0.2">
      <c r="A2449" t="s">
        <v>1378</v>
      </c>
      <c r="B2449" s="15" t="s">
        <v>1146</v>
      </c>
      <c r="C2449" s="15" t="s">
        <v>1149</v>
      </c>
      <c r="D2449" s="14" t="s">
        <v>475</v>
      </c>
      <c r="E2449" s="14" t="s">
        <v>3050</v>
      </c>
      <c r="G2449" s="15" t="s">
        <v>1165</v>
      </c>
      <c r="H2449" s="14" t="s">
        <v>1165</v>
      </c>
      <c r="I2449" s="14" t="s">
        <v>3033</v>
      </c>
      <c r="M2449" s="14" t="s">
        <v>3034</v>
      </c>
      <c r="O2449">
        <v>2004</v>
      </c>
      <c r="Q2449" t="s">
        <v>1329</v>
      </c>
      <c r="R2449">
        <v>14</v>
      </c>
      <c r="T2449" t="s">
        <v>3035</v>
      </c>
      <c r="U2449" s="14" t="s">
        <v>1246</v>
      </c>
      <c r="V2449" s="9" t="s">
        <v>3036</v>
      </c>
      <c r="W2449">
        <v>0</v>
      </c>
      <c r="X2449" s="9" t="s">
        <v>3040</v>
      </c>
      <c r="Z2449" s="5"/>
      <c r="AD2449" s="14" t="s">
        <v>1165</v>
      </c>
      <c r="AF2449" t="s">
        <v>1165</v>
      </c>
      <c r="AI2449" t="s">
        <v>1165</v>
      </c>
      <c r="AJ2449" s="15" t="s">
        <v>1148</v>
      </c>
      <c r="AK2449" s="15">
        <v>20.536999999999999</v>
      </c>
      <c r="AL2449" t="s">
        <v>1263</v>
      </c>
      <c r="AM2449">
        <f>34.161-20.357</f>
        <v>13.804000000000002</v>
      </c>
      <c r="AP2449">
        <v>28</v>
      </c>
      <c r="AR2449" s="15" t="s">
        <v>1155</v>
      </c>
    </row>
    <row r="2450" spans="1:44" x14ac:dyDescent="0.2">
      <c r="A2450" t="s">
        <v>1378</v>
      </c>
      <c r="B2450" s="15" t="s">
        <v>1146</v>
      </c>
      <c r="C2450" s="15" t="s">
        <v>1149</v>
      </c>
      <c r="D2450" s="14" t="s">
        <v>475</v>
      </c>
      <c r="E2450" s="14" t="s">
        <v>3050</v>
      </c>
      <c r="G2450" s="15" t="s">
        <v>1165</v>
      </c>
      <c r="H2450" s="14" t="s">
        <v>1165</v>
      </c>
      <c r="I2450" s="14" t="s">
        <v>3033</v>
      </c>
      <c r="M2450" s="14" t="s">
        <v>3034</v>
      </c>
      <c r="O2450">
        <v>2004</v>
      </c>
      <c r="Q2450" t="s">
        <v>1329</v>
      </c>
      <c r="R2450">
        <v>14</v>
      </c>
      <c r="T2450" t="s">
        <v>3035</v>
      </c>
      <c r="U2450" s="14" t="s">
        <v>1246</v>
      </c>
      <c r="V2450" s="9" t="s">
        <v>3036</v>
      </c>
      <c r="W2450">
        <v>0</v>
      </c>
      <c r="X2450" s="9" t="s">
        <v>3040</v>
      </c>
      <c r="Z2450" s="5"/>
      <c r="AD2450" s="14" t="s">
        <v>1165</v>
      </c>
      <c r="AF2450" t="s">
        <v>1165</v>
      </c>
      <c r="AI2450" t="s">
        <v>1165</v>
      </c>
      <c r="AJ2450" s="15" t="s">
        <v>1148</v>
      </c>
      <c r="AK2450" s="15">
        <v>47.584000000000003</v>
      </c>
      <c r="AL2450" t="s">
        <v>1263</v>
      </c>
      <c r="AM2450">
        <f>63.154-47.584</f>
        <v>15.57</v>
      </c>
      <c r="AP2450">
        <v>56</v>
      </c>
      <c r="AR2450" s="15" t="s">
        <v>1155</v>
      </c>
    </row>
    <row r="2451" spans="1:44" x14ac:dyDescent="0.2">
      <c r="A2451" t="s">
        <v>1378</v>
      </c>
      <c r="B2451" s="15" t="s">
        <v>1146</v>
      </c>
      <c r="C2451" s="15" t="s">
        <v>1149</v>
      </c>
      <c r="D2451" s="14" t="s">
        <v>475</v>
      </c>
      <c r="E2451" s="14" t="s">
        <v>3050</v>
      </c>
      <c r="G2451" s="15" t="s">
        <v>1165</v>
      </c>
      <c r="H2451" s="14" t="s">
        <v>1165</v>
      </c>
      <c r="I2451" s="14" t="s">
        <v>3033</v>
      </c>
      <c r="M2451" s="14" t="s">
        <v>3034</v>
      </c>
      <c r="O2451">
        <v>2004</v>
      </c>
      <c r="Q2451" t="s">
        <v>1329</v>
      </c>
      <c r="R2451">
        <v>14</v>
      </c>
      <c r="T2451" t="s">
        <v>3035</v>
      </c>
      <c r="U2451" s="14" t="s">
        <v>1246</v>
      </c>
      <c r="V2451" s="9" t="s">
        <v>3036</v>
      </c>
      <c r="W2451">
        <v>30</v>
      </c>
      <c r="X2451" s="9" t="s">
        <v>3040</v>
      </c>
      <c r="Z2451" s="5"/>
      <c r="AD2451" s="14" t="s">
        <v>1165</v>
      </c>
      <c r="AF2451" t="s">
        <v>1165</v>
      </c>
      <c r="AI2451" t="s">
        <v>1165</v>
      </c>
      <c r="AJ2451" s="15" t="s">
        <v>1148</v>
      </c>
      <c r="AK2451" s="15">
        <v>15.302</v>
      </c>
      <c r="AL2451" t="s">
        <v>1263</v>
      </c>
      <c r="AM2451">
        <f>21.275-15.302</f>
        <v>5.972999999999999</v>
      </c>
      <c r="AP2451">
        <v>28</v>
      </c>
      <c r="AR2451" s="15" t="s">
        <v>1155</v>
      </c>
    </row>
    <row r="2452" spans="1:44" x14ac:dyDescent="0.2">
      <c r="A2452" t="s">
        <v>1378</v>
      </c>
      <c r="B2452" s="15" t="s">
        <v>1146</v>
      </c>
      <c r="C2452" s="15" t="s">
        <v>1149</v>
      </c>
      <c r="D2452" s="14" t="s">
        <v>475</v>
      </c>
      <c r="E2452" s="14" t="s">
        <v>3050</v>
      </c>
      <c r="G2452" s="15" t="s">
        <v>1165</v>
      </c>
      <c r="H2452" s="14" t="s">
        <v>1165</v>
      </c>
      <c r="I2452" s="14" t="s">
        <v>3033</v>
      </c>
      <c r="M2452" s="14" t="s">
        <v>3034</v>
      </c>
      <c r="O2452">
        <v>2004</v>
      </c>
      <c r="Q2452" t="s">
        <v>1329</v>
      </c>
      <c r="R2452">
        <v>14</v>
      </c>
      <c r="T2452" t="s">
        <v>3035</v>
      </c>
      <c r="U2452" s="14" t="s">
        <v>1246</v>
      </c>
      <c r="V2452" s="9" t="s">
        <v>3036</v>
      </c>
      <c r="W2452">
        <v>30</v>
      </c>
      <c r="X2452" s="9" t="s">
        <v>3040</v>
      </c>
      <c r="Z2452" s="5"/>
      <c r="AD2452" s="14" t="s">
        <v>1165</v>
      </c>
      <c r="AF2452" t="s">
        <v>1165</v>
      </c>
      <c r="AI2452" t="s">
        <v>1165</v>
      </c>
      <c r="AJ2452" s="15" t="s">
        <v>1148</v>
      </c>
      <c r="AK2452" s="15">
        <v>35.234999999999999</v>
      </c>
      <c r="AL2452" t="s">
        <v>1263</v>
      </c>
      <c r="AM2452">
        <f>44.899-35.235</f>
        <v>9.6640000000000015</v>
      </c>
      <c r="AP2452">
        <v>56</v>
      </c>
      <c r="AR2452" s="15" t="s">
        <v>1155</v>
      </c>
    </row>
    <row r="2453" spans="1:44" x14ac:dyDescent="0.2">
      <c r="A2453" t="s">
        <v>1378</v>
      </c>
      <c r="B2453" s="15" t="s">
        <v>1146</v>
      </c>
      <c r="C2453" s="15" t="s">
        <v>1149</v>
      </c>
      <c r="D2453" s="14" t="s">
        <v>475</v>
      </c>
      <c r="E2453" s="14" t="s">
        <v>3050</v>
      </c>
      <c r="G2453" s="15" t="s">
        <v>1165</v>
      </c>
      <c r="H2453" s="14" t="s">
        <v>1165</v>
      </c>
      <c r="I2453" s="14" t="s">
        <v>3033</v>
      </c>
      <c r="M2453" s="14" t="s">
        <v>3034</v>
      </c>
      <c r="O2453">
        <v>2004</v>
      </c>
      <c r="Q2453" t="s">
        <v>1329</v>
      </c>
      <c r="R2453">
        <v>14</v>
      </c>
      <c r="T2453" t="s">
        <v>3035</v>
      </c>
      <c r="U2453" s="14" t="s">
        <v>1246</v>
      </c>
      <c r="V2453" s="9" t="s">
        <v>3036</v>
      </c>
      <c r="W2453">
        <v>60</v>
      </c>
      <c r="X2453" s="9" t="s">
        <v>3040</v>
      </c>
      <c r="Z2453" s="5"/>
      <c r="AD2453" s="14" t="s">
        <v>1165</v>
      </c>
      <c r="AF2453" t="s">
        <v>1165</v>
      </c>
      <c r="AI2453" t="s">
        <v>1165</v>
      </c>
      <c r="AJ2453" s="15" t="s">
        <v>1148</v>
      </c>
      <c r="AK2453" s="15">
        <v>20.201000000000001</v>
      </c>
      <c r="AL2453" t="s">
        <v>1263</v>
      </c>
      <c r="AM2453">
        <f>26.913-20.201</f>
        <v>6.7119999999999997</v>
      </c>
      <c r="AP2453">
        <v>28</v>
      </c>
      <c r="AR2453" s="15" t="s">
        <v>1155</v>
      </c>
    </row>
    <row r="2454" spans="1:44" x14ac:dyDescent="0.2">
      <c r="A2454" t="s">
        <v>1378</v>
      </c>
      <c r="B2454" s="15" t="s">
        <v>1146</v>
      </c>
      <c r="C2454" s="15" t="s">
        <v>1149</v>
      </c>
      <c r="D2454" s="14" t="s">
        <v>475</v>
      </c>
      <c r="E2454" s="14" t="s">
        <v>3050</v>
      </c>
      <c r="G2454" s="15" t="s">
        <v>1165</v>
      </c>
      <c r="H2454" s="14" t="s">
        <v>1165</v>
      </c>
      <c r="I2454" s="14" t="s">
        <v>3033</v>
      </c>
      <c r="M2454" s="14" t="s">
        <v>3034</v>
      </c>
      <c r="O2454">
        <v>2004</v>
      </c>
      <c r="Q2454" t="s">
        <v>1329</v>
      </c>
      <c r="R2454">
        <v>14</v>
      </c>
      <c r="T2454" t="s">
        <v>3035</v>
      </c>
      <c r="U2454" s="14" t="s">
        <v>1246</v>
      </c>
      <c r="V2454" s="9" t="s">
        <v>3036</v>
      </c>
      <c r="W2454">
        <v>60</v>
      </c>
      <c r="X2454" s="9" t="s">
        <v>3040</v>
      </c>
      <c r="Z2454" s="5"/>
      <c r="AD2454" s="14" t="s">
        <v>1165</v>
      </c>
      <c r="AF2454" t="s">
        <v>1165</v>
      </c>
      <c r="AI2454" t="s">
        <v>1165</v>
      </c>
      <c r="AJ2454" s="15" t="s">
        <v>1148</v>
      </c>
      <c r="AK2454" s="15">
        <v>45.436</v>
      </c>
      <c r="AL2454" t="s">
        <v>1263</v>
      </c>
      <c r="AM2454">
        <f>59.664-45.436</f>
        <v>14.228000000000002</v>
      </c>
      <c r="AP2454">
        <v>56</v>
      </c>
      <c r="AR2454" s="15" t="s">
        <v>1155</v>
      </c>
    </row>
    <row r="2455" spans="1:44" x14ac:dyDescent="0.2">
      <c r="A2455" t="s">
        <v>1378</v>
      </c>
      <c r="B2455" s="15" t="s">
        <v>1146</v>
      </c>
      <c r="C2455" s="15" t="s">
        <v>1149</v>
      </c>
      <c r="D2455" s="14" t="s">
        <v>475</v>
      </c>
      <c r="E2455" s="14" t="s">
        <v>3050</v>
      </c>
      <c r="G2455" s="15" t="s">
        <v>1165</v>
      </c>
      <c r="H2455" s="14" t="s">
        <v>1165</v>
      </c>
      <c r="I2455" s="14" t="s">
        <v>3033</v>
      </c>
      <c r="M2455" s="14" t="s">
        <v>3034</v>
      </c>
      <c r="O2455">
        <v>2004</v>
      </c>
      <c r="Q2455" t="s">
        <v>1329</v>
      </c>
      <c r="R2455">
        <v>14</v>
      </c>
      <c r="T2455" t="s">
        <v>3035</v>
      </c>
      <c r="U2455" s="14" t="s">
        <v>1246</v>
      </c>
      <c r="V2455" s="9" t="s">
        <v>3036</v>
      </c>
      <c r="W2455">
        <v>90</v>
      </c>
      <c r="X2455" s="9" t="s">
        <v>3040</v>
      </c>
      <c r="Z2455" s="5"/>
      <c r="AD2455" s="14" t="s">
        <v>1165</v>
      </c>
      <c r="AF2455" t="s">
        <v>1165</v>
      </c>
      <c r="AI2455" t="s">
        <v>1165</v>
      </c>
      <c r="AJ2455" s="15" t="s">
        <v>1148</v>
      </c>
      <c r="AK2455" s="15">
        <v>20.399999999999999</v>
      </c>
      <c r="AL2455" t="s">
        <v>1263</v>
      </c>
      <c r="AM2455">
        <f>27.8-20.4</f>
        <v>7.4000000000000021</v>
      </c>
      <c r="AP2455">
        <v>28</v>
      </c>
      <c r="AR2455" s="15" t="s">
        <v>1155</v>
      </c>
    </row>
    <row r="2456" spans="1:44" x14ac:dyDescent="0.2">
      <c r="A2456" t="s">
        <v>1378</v>
      </c>
      <c r="B2456" s="15" t="s">
        <v>1146</v>
      </c>
      <c r="C2456" s="15" t="s">
        <v>1149</v>
      </c>
      <c r="D2456" s="14" t="s">
        <v>475</v>
      </c>
      <c r="E2456" s="14" t="s">
        <v>3050</v>
      </c>
      <c r="G2456" s="15" t="s">
        <v>1165</v>
      </c>
      <c r="H2456" s="14" t="s">
        <v>1165</v>
      </c>
      <c r="I2456" s="14" t="s">
        <v>3033</v>
      </c>
      <c r="M2456" s="14" t="s">
        <v>3034</v>
      </c>
      <c r="O2456">
        <v>2004</v>
      </c>
      <c r="Q2456" t="s">
        <v>1329</v>
      </c>
      <c r="R2456">
        <v>14</v>
      </c>
      <c r="T2456" t="s">
        <v>3035</v>
      </c>
      <c r="U2456" s="14" t="s">
        <v>1246</v>
      </c>
      <c r="V2456" s="9" t="s">
        <v>3036</v>
      </c>
      <c r="W2456">
        <v>90</v>
      </c>
      <c r="X2456" s="9" t="s">
        <v>3040</v>
      </c>
      <c r="Z2456" s="5"/>
      <c r="AD2456" s="14" t="s">
        <v>1165</v>
      </c>
      <c r="AF2456" t="s">
        <v>1165</v>
      </c>
      <c r="AI2456" t="s">
        <v>1165</v>
      </c>
      <c r="AJ2456" s="15" t="s">
        <v>1148</v>
      </c>
      <c r="AK2456" s="15">
        <v>69.400000000000006</v>
      </c>
      <c r="AL2456" t="s">
        <v>1263</v>
      </c>
      <c r="AM2456">
        <f>83.8-69.4</f>
        <v>14.399999999999991</v>
      </c>
      <c r="AP2456">
        <v>56</v>
      </c>
      <c r="AR2456" s="15" t="s">
        <v>1155</v>
      </c>
    </row>
    <row r="2457" spans="1:44" x14ac:dyDescent="0.2">
      <c r="A2457" t="s">
        <v>1378</v>
      </c>
      <c r="B2457" s="15" t="s">
        <v>1146</v>
      </c>
      <c r="C2457" s="15" t="s">
        <v>1149</v>
      </c>
      <c r="D2457" s="14" t="s">
        <v>475</v>
      </c>
      <c r="E2457" s="14" t="s">
        <v>3050</v>
      </c>
      <c r="G2457" s="15" t="s">
        <v>1165</v>
      </c>
      <c r="H2457" s="14" t="s">
        <v>1165</v>
      </c>
      <c r="I2457" s="14" t="s">
        <v>3033</v>
      </c>
      <c r="M2457" s="14" t="s">
        <v>3034</v>
      </c>
      <c r="O2457">
        <v>2004</v>
      </c>
      <c r="Q2457" t="s">
        <v>1329</v>
      </c>
      <c r="R2457">
        <v>14</v>
      </c>
      <c r="T2457" t="s">
        <v>3035</v>
      </c>
      <c r="U2457" s="14" t="s">
        <v>1246</v>
      </c>
      <c r="V2457" s="9" t="s">
        <v>3036</v>
      </c>
      <c r="W2457">
        <v>180</v>
      </c>
      <c r="X2457" s="9" t="s">
        <v>3040</v>
      </c>
      <c r="Z2457" s="5"/>
      <c r="AD2457" s="14" t="s">
        <v>1165</v>
      </c>
      <c r="AF2457" t="s">
        <v>1165</v>
      </c>
      <c r="AI2457" t="s">
        <v>1165</v>
      </c>
      <c r="AJ2457" s="15" t="s">
        <v>1148</v>
      </c>
      <c r="AK2457" s="15">
        <v>45.2</v>
      </c>
      <c r="AL2457" t="s">
        <v>1263</v>
      </c>
      <c r="AM2457">
        <f>61.4-45.2</f>
        <v>16.199999999999996</v>
      </c>
      <c r="AP2457">
        <v>28</v>
      </c>
      <c r="AR2457" s="15" t="s">
        <v>1155</v>
      </c>
    </row>
    <row r="2458" spans="1:44" x14ac:dyDescent="0.2">
      <c r="A2458" t="s">
        <v>1378</v>
      </c>
      <c r="B2458" s="15" t="s">
        <v>1146</v>
      </c>
      <c r="C2458" s="15" t="s">
        <v>1149</v>
      </c>
      <c r="D2458" s="14" t="s">
        <v>475</v>
      </c>
      <c r="E2458" s="14" t="s">
        <v>3050</v>
      </c>
      <c r="G2458" s="15" t="s">
        <v>1165</v>
      </c>
      <c r="H2458" s="14" t="s">
        <v>1165</v>
      </c>
      <c r="I2458" s="14" t="s">
        <v>3033</v>
      </c>
      <c r="M2458" s="14" t="s">
        <v>3034</v>
      </c>
      <c r="O2458">
        <v>2004</v>
      </c>
      <c r="Q2458" t="s">
        <v>1329</v>
      </c>
      <c r="R2458">
        <v>14</v>
      </c>
      <c r="T2458" t="s">
        <v>3035</v>
      </c>
      <c r="U2458" s="14" t="s">
        <v>1246</v>
      </c>
      <c r="V2458" s="9" t="s">
        <v>3036</v>
      </c>
      <c r="W2458">
        <v>180</v>
      </c>
      <c r="X2458" s="9" t="s">
        <v>3040</v>
      </c>
      <c r="Z2458" s="5"/>
      <c r="AD2458" s="14" t="s">
        <v>1165</v>
      </c>
      <c r="AF2458" t="s">
        <v>1165</v>
      </c>
      <c r="AI2458" t="s">
        <v>1165</v>
      </c>
      <c r="AJ2458" s="15" t="s">
        <v>1148</v>
      </c>
      <c r="AK2458" s="15">
        <v>100</v>
      </c>
      <c r="AL2458" t="s">
        <v>1263</v>
      </c>
      <c r="AM2458">
        <f>104.6-100.2</f>
        <v>4.3999999999999915</v>
      </c>
      <c r="AP2458">
        <v>56</v>
      </c>
      <c r="AR2458" s="15" t="s">
        <v>1155</v>
      </c>
    </row>
    <row r="2459" spans="1:44" x14ac:dyDescent="0.2">
      <c r="A2459" t="s">
        <v>1378</v>
      </c>
      <c r="B2459" s="15" t="s">
        <v>1146</v>
      </c>
      <c r="C2459" s="15" t="s">
        <v>1149</v>
      </c>
      <c r="D2459" s="14" t="s">
        <v>475</v>
      </c>
      <c r="E2459" s="14" t="s">
        <v>3051</v>
      </c>
      <c r="G2459" s="15" t="s">
        <v>1165</v>
      </c>
      <c r="H2459" s="14" t="s">
        <v>1165</v>
      </c>
      <c r="I2459" s="14" t="s">
        <v>3033</v>
      </c>
      <c r="M2459" s="14" t="s">
        <v>3034</v>
      </c>
      <c r="O2459">
        <v>2004</v>
      </c>
      <c r="Q2459" t="s">
        <v>1329</v>
      </c>
      <c r="R2459">
        <v>14</v>
      </c>
      <c r="T2459" t="s">
        <v>3035</v>
      </c>
      <c r="U2459" s="14" t="s">
        <v>1246</v>
      </c>
      <c r="V2459" s="9" t="s">
        <v>3036</v>
      </c>
      <c r="W2459">
        <v>0</v>
      </c>
      <c r="X2459" s="9" t="s">
        <v>3037</v>
      </c>
      <c r="Z2459" s="5"/>
      <c r="AD2459" s="14" t="s">
        <v>1165</v>
      </c>
      <c r="AF2459" t="s">
        <v>1165</v>
      </c>
      <c r="AI2459" t="s">
        <v>1165</v>
      </c>
      <c r="AJ2459" s="15" t="s">
        <v>1148</v>
      </c>
      <c r="AK2459" s="15">
        <v>0</v>
      </c>
      <c r="AL2459" t="s">
        <v>1263</v>
      </c>
      <c r="AM2459">
        <v>0</v>
      </c>
      <c r="AP2459">
        <v>28</v>
      </c>
      <c r="AR2459" s="15" t="s">
        <v>1155</v>
      </c>
    </row>
    <row r="2460" spans="1:44" x14ac:dyDescent="0.2">
      <c r="A2460" t="s">
        <v>1378</v>
      </c>
      <c r="B2460" s="15" t="s">
        <v>1146</v>
      </c>
      <c r="C2460" s="15" t="s">
        <v>1149</v>
      </c>
      <c r="D2460" s="14" t="s">
        <v>475</v>
      </c>
      <c r="E2460" s="14" t="s">
        <v>3051</v>
      </c>
      <c r="G2460" s="15" t="s">
        <v>1165</v>
      </c>
      <c r="H2460" s="14" t="s">
        <v>1165</v>
      </c>
      <c r="I2460" s="14" t="s">
        <v>3033</v>
      </c>
      <c r="M2460" s="14" t="s">
        <v>3034</v>
      </c>
      <c r="O2460">
        <v>2004</v>
      </c>
      <c r="Q2460" t="s">
        <v>1329</v>
      </c>
      <c r="R2460">
        <v>14</v>
      </c>
      <c r="T2460" t="s">
        <v>3035</v>
      </c>
      <c r="U2460" s="14" t="s">
        <v>1246</v>
      </c>
      <c r="V2460" s="9" t="s">
        <v>3036</v>
      </c>
      <c r="W2460">
        <v>0</v>
      </c>
      <c r="X2460" s="9" t="s">
        <v>3037</v>
      </c>
      <c r="Z2460" s="5"/>
      <c r="AD2460" s="14" t="s">
        <v>1165</v>
      </c>
      <c r="AF2460" t="s">
        <v>1165</v>
      </c>
      <c r="AI2460" t="s">
        <v>1165</v>
      </c>
      <c r="AJ2460" s="15" t="s">
        <v>1148</v>
      </c>
      <c r="AK2460" s="15">
        <v>0</v>
      </c>
      <c r="AL2460" t="s">
        <v>1263</v>
      </c>
      <c r="AM2460">
        <v>0</v>
      </c>
      <c r="AP2460">
        <v>56</v>
      </c>
      <c r="AR2460" s="15" t="s">
        <v>1155</v>
      </c>
    </row>
    <row r="2461" spans="1:44" x14ac:dyDescent="0.2">
      <c r="A2461" t="s">
        <v>1378</v>
      </c>
      <c r="B2461" s="15" t="s">
        <v>1146</v>
      </c>
      <c r="C2461" s="15" t="s">
        <v>1149</v>
      </c>
      <c r="D2461" s="14" t="s">
        <v>475</v>
      </c>
      <c r="E2461" s="14" t="s">
        <v>3051</v>
      </c>
      <c r="G2461" s="15" t="s">
        <v>1165</v>
      </c>
      <c r="H2461" s="14" t="s">
        <v>1165</v>
      </c>
      <c r="I2461" s="14" t="s">
        <v>3033</v>
      </c>
      <c r="M2461" s="14" t="s">
        <v>3034</v>
      </c>
      <c r="O2461">
        <v>2004</v>
      </c>
      <c r="Q2461" t="s">
        <v>1329</v>
      </c>
      <c r="R2461">
        <v>14</v>
      </c>
      <c r="T2461" t="s">
        <v>3035</v>
      </c>
      <c r="U2461" s="14" t="s">
        <v>1246</v>
      </c>
      <c r="V2461" s="9" t="s">
        <v>3036</v>
      </c>
      <c r="W2461">
        <v>15</v>
      </c>
      <c r="X2461" s="9" t="s">
        <v>3037</v>
      </c>
      <c r="Z2461" s="5"/>
      <c r="AD2461" s="14" t="s">
        <v>1165</v>
      </c>
      <c r="AF2461" t="s">
        <v>1165</v>
      </c>
      <c r="AI2461" t="s">
        <v>1165</v>
      </c>
      <c r="AJ2461" s="15" t="s">
        <v>1148</v>
      </c>
      <c r="AK2461" s="15">
        <v>2.7080000000000002</v>
      </c>
      <c r="AL2461" t="s">
        <v>1263</v>
      </c>
      <c r="AM2461">
        <v>0</v>
      </c>
      <c r="AP2461">
        <v>28</v>
      </c>
      <c r="AR2461" s="15" t="s">
        <v>1155</v>
      </c>
    </row>
    <row r="2462" spans="1:44" x14ac:dyDescent="0.2">
      <c r="A2462" t="s">
        <v>1378</v>
      </c>
      <c r="B2462" s="15" t="s">
        <v>1146</v>
      </c>
      <c r="C2462" s="15" t="s">
        <v>1149</v>
      </c>
      <c r="D2462" s="14" t="s">
        <v>475</v>
      </c>
      <c r="E2462" s="14" t="s">
        <v>3051</v>
      </c>
      <c r="G2462" s="15" t="s">
        <v>1165</v>
      </c>
      <c r="H2462" s="14" t="s">
        <v>1165</v>
      </c>
      <c r="I2462" s="14" t="s">
        <v>3033</v>
      </c>
      <c r="M2462" s="14" t="s">
        <v>3034</v>
      </c>
      <c r="O2462">
        <v>2004</v>
      </c>
      <c r="Q2462" t="s">
        <v>1329</v>
      </c>
      <c r="R2462">
        <v>14</v>
      </c>
      <c r="T2462" t="s">
        <v>3035</v>
      </c>
      <c r="U2462" s="14" t="s">
        <v>1246</v>
      </c>
      <c r="V2462" s="9" t="s">
        <v>3036</v>
      </c>
      <c r="W2462">
        <v>15</v>
      </c>
      <c r="X2462" s="9" t="s">
        <v>3037</v>
      </c>
      <c r="Z2462" s="5"/>
      <c r="AD2462" s="14" t="s">
        <v>1165</v>
      </c>
      <c r="AF2462" t="s">
        <v>1165</v>
      </c>
      <c r="AI2462" t="s">
        <v>1165</v>
      </c>
      <c r="AJ2462" s="15" t="s">
        <v>1148</v>
      </c>
      <c r="AK2462" s="15">
        <v>7.1529999999999996</v>
      </c>
      <c r="AL2462" t="s">
        <v>1263</v>
      </c>
      <c r="AM2462">
        <f>10.764-7.153</f>
        <v>3.6109999999999998</v>
      </c>
      <c r="AP2462">
        <v>56</v>
      </c>
      <c r="AR2462" s="15" t="s">
        <v>1155</v>
      </c>
    </row>
    <row r="2463" spans="1:44" x14ac:dyDescent="0.2">
      <c r="A2463" t="s">
        <v>1378</v>
      </c>
      <c r="B2463" s="15" t="s">
        <v>1146</v>
      </c>
      <c r="C2463" s="15" t="s">
        <v>1149</v>
      </c>
      <c r="D2463" s="14" t="s">
        <v>475</v>
      </c>
      <c r="E2463" s="14" t="s">
        <v>3051</v>
      </c>
      <c r="G2463" s="15" t="s">
        <v>1165</v>
      </c>
      <c r="H2463" s="14" t="s">
        <v>1165</v>
      </c>
      <c r="I2463" s="14" t="s">
        <v>3033</v>
      </c>
      <c r="M2463" s="14" t="s">
        <v>3034</v>
      </c>
      <c r="O2463">
        <v>2004</v>
      </c>
      <c r="Q2463" t="s">
        <v>1329</v>
      </c>
      <c r="R2463">
        <v>14</v>
      </c>
      <c r="T2463" t="s">
        <v>3035</v>
      </c>
      <c r="U2463" s="14" t="s">
        <v>1246</v>
      </c>
      <c r="V2463" s="9" t="s">
        <v>3036</v>
      </c>
      <c r="W2463">
        <v>30</v>
      </c>
      <c r="X2463" s="9" t="s">
        <v>3037</v>
      </c>
      <c r="Z2463" s="5"/>
      <c r="AD2463" s="14" t="s">
        <v>1165</v>
      </c>
      <c r="AF2463" t="s">
        <v>1165</v>
      </c>
      <c r="AI2463" t="s">
        <v>1165</v>
      </c>
      <c r="AJ2463" s="15" t="s">
        <v>1148</v>
      </c>
      <c r="AK2463" s="15">
        <v>1.597</v>
      </c>
      <c r="AL2463" t="s">
        <v>1263</v>
      </c>
      <c r="AM2463">
        <v>0</v>
      </c>
      <c r="AP2463">
        <v>28</v>
      </c>
      <c r="AR2463" s="15" t="s">
        <v>1155</v>
      </c>
    </row>
    <row r="2464" spans="1:44" x14ac:dyDescent="0.2">
      <c r="A2464" t="s">
        <v>1378</v>
      </c>
      <c r="B2464" s="15" t="s">
        <v>1146</v>
      </c>
      <c r="C2464" s="15" t="s">
        <v>1149</v>
      </c>
      <c r="D2464" s="14" t="s">
        <v>475</v>
      </c>
      <c r="E2464" s="14" t="s">
        <v>3051</v>
      </c>
      <c r="G2464" s="15" t="s">
        <v>1165</v>
      </c>
      <c r="H2464" s="14" t="s">
        <v>1165</v>
      </c>
      <c r="I2464" s="14" t="s">
        <v>3033</v>
      </c>
      <c r="M2464" s="14" t="s">
        <v>3034</v>
      </c>
      <c r="O2464">
        <v>2004</v>
      </c>
      <c r="Q2464" t="s">
        <v>1329</v>
      </c>
      <c r="R2464">
        <v>14</v>
      </c>
      <c r="T2464" t="s">
        <v>3035</v>
      </c>
      <c r="U2464" s="14" t="s">
        <v>1246</v>
      </c>
      <c r="V2464" s="9" t="s">
        <v>3036</v>
      </c>
      <c r="W2464">
        <v>30</v>
      </c>
      <c r="X2464" s="9" t="s">
        <v>3037</v>
      </c>
      <c r="Z2464" s="5"/>
      <c r="AD2464" s="14" t="s">
        <v>1165</v>
      </c>
      <c r="AF2464" t="s">
        <v>1165</v>
      </c>
      <c r="AI2464" t="s">
        <v>1165</v>
      </c>
      <c r="AJ2464" s="15" t="s">
        <v>1148</v>
      </c>
      <c r="AK2464" s="15">
        <v>1.875</v>
      </c>
      <c r="AL2464" t="s">
        <v>1263</v>
      </c>
      <c r="AM2464">
        <f>4.653-1.875</f>
        <v>2.7779999999999996</v>
      </c>
      <c r="AP2464">
        <v>56</v>
      </c>
      <c r="AR2464" s="15" t="s">
        <v>1155</v>
      </c>
    </row>
    <row r="2465" spans="1:44" x14ac:dyDescent="0.2">
      <c r="A2465" t="s">
        <v>1378</v>
      </c>
      <c r="B2465" s="15" t="s">
        <v>1146</v>
      </c>
      <c r="C2465" s="15" t="s">
        <v>1149</v>
      </c>
      <c r="D2465" s="14" t="s">
        <v>475</v>
      </c>
      <c r="E2465" s="14" t="s">
        <v>3051</v>
      </c>
      <c r="G2465" s="15" t="s">
        <v>1165</v>
      </c>
      <c r="H2465" s="14" t="s">
        <v>1165</v>
      </c>
      <c r="I2465" s="14" t="s">
        <v>3033</v>
      </c>
      <c r="M2465" s="14" t="s">
        <v>3034</v>
      </c>
      <c r="O2465">
        <v>2004</v>
      </c>
      <c r="Q2465" t="s">
        <v>1329</v>
      </c>
      <c r="R2465">
        <v>14</v>
      </c>
      <c r="T2465" t="s">
        <v>3035</v>
      </c>
      <c r="U2465" s="14" t="s">
        <v>1246</v>
      </c>
      <c r="V2465" s="9" t="s">
        <v>3036</v>
      </c>
      <c r="W2465">
        <v>60</v>
      </c>
      <c r="X2465" s="9" t="s">
        <v>3037</v>
      </c>
      <c r="Z2465" s="5"/>
      <c r="AD2465" s="14" t="s">
        <v>1165</v>
      </c>
      <c r="AF2465" t="s">
        <v>1165</v>
      </c>
      <c r="AI2465" t="s">
        <v>1165</v>
      </c>
      <c r="AJ2465" s="15" t="s">
        <v>1148</v>
      </c>
      <c r="AK2465" s="15">
        <v>0</v>
      </c>
      <c r="AL2465" t="s">
        <v>1263</v>
      </c>
      <c r="AM2465">
        <v>0</v>
      </c>
      <c r="AP2465">
        <v>28</v>
      </c>
      <c r="AR2465" s="15" t="s">
        <v>1155</v>
      </c>
    </row>
    <row r="2466" spans="1:44" x14ac:dyDescent="0.2">
      <c r="A2466" t="s">
        <v>1378</v>
      </c>
      <c r="B2466" s="15" t="s">
        <v>1146</v>
      </c>
      <c r="C2466" s="15" t="s">
        <v>1149</v>
      </c>
      <c r="D2466" s="14" t="s">
        <v>475</v>
      </c>
      <c r="E2466" s="14" t="s">
        <v>3051</v>
      </c>
      <c r="G2466" s="15" t="s">
        <v>1165</v>
      </c>
      <c r="H2466" s="14" t="s">
        <v>1165</v>
      </c>
      <c r="I2466" s="14" t="s">
        <v>3033</v>
      </c>
      <c r="M2466" s="14" t="s">
        <v>3034</v>
      </c>
      <c r="O2466">
        <v>2004</v>
      </c>
      <c r="Q2466" t="s">
        <v>1329</v>
      </c>
      <c r="R2466">
        <v>14</v>
      </c>
      <c r="T2466" t="s">
        <v>3035</v>
      </c>
      <c r="U2466" s="14" t="s">
        <v>1246</v>
      </c>
      <c r="V2466" s="9" t="s">
        <v>3036</v>
      </c>
      <c r="W2466">
        <v>60</v>
      </c>
      <c r="X2466" s="9" t="s">
        <v>3037</v>
      </c>
      <c r="Z2466" s="5"/>
      <c r="AD2466" s="14" t="s">
        <v>1165</v>
      </c>
      <c r="AF2466" t="s">
        <v>1165</v>
      </c>
      <c r="AI2466" t="s">
        <v>1165</v>
      </c>
      <c r="AJ2466" s="15" t="s">
        <v>1148</v>
      </c>
      <c r="AK2466" s="15">
        <v>37.917000000000002</v>
      </c>
      <c r="AL2466" t="s">
        <v>1263</v>
      </c>
      <c r="AM2466">
        <f>44.097-37.917</f>
        <v>6.18</v>
      </c>
      <c r="AP2466">
        <v>56</v>
      </c>
      <c r="AR2466" s="15" t="s">
        <v>1155</v>
      </c>
    </row>
    <row r="2467" spans="1:44" x14ac:dyDescent="0.2">
      <c r="A2467" t="s">
        <v>1378</v>
      </c>
      <c r="B2467" s="15" t="s">
        <v>1146</v>
      </c>
      <c r="C2467" s="15" t="s">
        <v>1149</v>
      </c>
      <c r="D2467" s="14" t="s">
        <v>475</v>
      </c>
      <c r="E2467" s="14" t="s">
        <v>3051</v>
      </c>
      <c r="G2467" s="15" t="s">
        <v>1165</v>
      </c>
      <c r="H2467" s="14" t="s">
        <v>1165</v>
      </c>
      <c r="I2467" s="14" t="s">
        <v>3033</v>
      </c>
      <c r="M2467" s="14" t="s">
        <v>3034</v>
      </c>
      <c r="O2467">
        <v>2004</v>
      </c>
      <c r="Q2467" t="s">
        <v>1329</v>
      </c>
      <c r="R2467">
        <v>14</v>
      </c>
      <c r="T2467" t="s">
        <v>3035</v>
      </c>
      <c r="U2467" s="14" t="s">
        <v>1246</v>
      </c>
      <c r="V2467" s="9" t="s">
        <v>3036</v>
      </c>
      <c r="W2467">
        <v>90</v>
      </c>
      <c r="X2467" s="9" t="s">
        <v>3037</v>
      </c>
      <c r="Z2467" s="5"/>
      <c r="AD2467" s="14" t="s">
        <v>1165</v>
      </c>
      <c r="AF2467" t="s">
        <v>1165</v>
      </c>
      <c r="AI2467" t="s">
        <v>1165</v>
      </c>
      <c r="AJ2467" s="15" t="s">
        <v>1148</v>
      </c>
      <c r="AK2467" s="15">
        <v>55.485999999999997</v>
      </c>
      <c r="AL2467" t="s">
        <v>1263</v>
      </c>
      <c r="AM2467">
        <f>60.486-55.486</f>
        <v>5</v>
      </c>
      <c r="AP2467">
        <v>28</v>
      </c>
      <c r="AR2467" s="15" t="s">
        <v>1155</v>
      </c>
    </row>
    <row r="2468" spans="1:44" x14ac:dyDescent="0.2">
      <c r="A2468" t="s">
        <v>1378</v>
      </c>
      <c r="B2468" s="15" t="s">
        <v>1146</v>
      </c>
      <c r="C2468" s="15" t="s">
        <v>1149</v>
      </c>
      <c r="D2468" s="14" t="s">
        <v>475</v>
      </c>
      <c r="E2468" s="14" t="s">
        <v>3051</v>
      </c>
      <c r="G2468" s="15" t="s">
        <v>1165</v>
      </c>
      <c r="H2468" s="14" t="s">
        <v>1165</v>
      </c>
      <c r="I2468" s="14" t="s">
        <v>3033</v>
      </c>
      <c r="M2468" s="14" t="s">
        <v>3034</v>
      </c>
      <c r="O2468">
        <v>2004</v>
      </c>
      <c r="Q2468" t="s">
        <v>1329</v>
      </c>
      <c r="R2468">
        <v>14</v>
      </c>
      <c r="T2468" t="s">
        <v>3035</v>
      </c>
      <c r="U2468" s="14" t="s">
        <v>1246</v>
      </c>
      <c r="V2468" s="9" t="s">
        <v>3036</v>
      </c>
      <c r="W2468">
        <v>90</v>
      </c>
      <c r="X2468" s="9" t="s">
        <v>3037</v>
      </c>
      <c r="Z2468" s="5"/>
      <c r="AD2468" s="14" t="s">
        <v>1165</v>
      </c>
      <c r="AF2468" t="s">
        <v>1165</v>
      </c>
      <c r="AI2468" t="s">
        <v>1165</v>
      </c>
      <c r="AJ2468" s="15" t="s">
        <v>1148</v>
      </c>
      <c r="AK2468" s="15">
        <v>61.319000000000003</v>
      </c>
      <c r="AL2468" t="s">
        <v>1263</v>
      </c>
      <c r="AM2468">
        <f>67.708-61.319</f>
        <v>6.3889999999999958</v>
      </c>
      <c r="AP2468">
        <v>56</v>
      </c>
      <c r="AR2468" s="15" t="s">
        <v>1155</v>
      </c>
    </row>
    <row r="2469" spans="1:44" x14ac:dyDescent="0.2">
      <c r="A2469" t="s">
        <v>1378</v>
      </c>
      <c r="B2469" s="15" t="s">
        <v>1146</v>
      </c>
      <c r="C2469" s="15" t="s">
        <v>1149</v>
      </c>
      <c r="D2469" s="14" t="s">
        <v>475</v>
      </c>
      <c r="E2469" s="14" t="s">
        <v>3051</v>
      </c>
      <c r="G2469" s="15" t="s">
        <v>1165</v>
      </c>
      <c r="H2469" s="14" t="s">
        <v>1165</v>
      </c>
      <c r="I2469" s="14" t="s">
        <v>3033</v>
      </c>
      <c r="M2469" s="14" t="s">
        <v>3034</v>
      </c>
      <c r="O2469">
        <v>2004</v>
      </c>
      <c r="Q2469" t="s">
        <v>1329</v>
      </c>
      <c r="R2469">
        <v>14</v>
      </c>
      <c r="T2469" t="s">
        <v>3035</v>
      </c>
      <c r="U2469" s="14" t="s">
        <v>1246</v>
      </c>
      <c r="V2469" s="9" t="s">
        <v>3036</v>
      </c>
      <c r="W2469">
        <v>120</v>
      </c>
      <c r="X2469" s="9" t="s">
        <v>3037</v>
      </c>
      <c r="Z2469" s="5"/>
      <c r="AD2469" s="14" t="s">
        <v>1165</v>
      </c>
      <c r="AF2469" t="s">
        <v>1165</v>
      </c>
      <c r="AI2469" t="s">
        <v>1165</v>
      </c>
      <c r="AJ2469" s="15" t="s">
        <v>1148</v>
      </c>
      <c r="AK2469" s="15">
        <v>43.819000000000003</v>
      </c>
      <c r="AL2469" t="s">
        <v>1263</v>
      </c>
      <c r="AM2469">
        <f>51.319-43.819</f>
        <v>7.5</v>
      </c>
      <c r="AP2469">
        <v>28</v>
      </c>
      <c r="AR2469" s="15" t="s">
        <v>1155</v>
      </c>
    </row>
    <row r="2470" spans="1:44" x14ac:dyDescent="0.2">
      <c r="A2470" t="s">
        <v>1378</v>
      </c>
      <c r="B2470" s="15" t="s">
        <v>1146</v>
      </c>
      <c r="C2470" s="15" t="s">
        <v>1149</v>
      </c>
      <c r="D2470" s="14" t="s">
        <v>475</v>
      </c>
      <c r="E2470" s="14" t="s">
        <v>3051</v>
      </c>
      <c r="G2470" s="15" t="s">
        <v>1165</v>
      </c>
      <c r="H2470" s="14" t="s">
        <v>1165</v>
      </c>
      <c r="I2470" s="14" t="s">
        <v>3033</v>
      </c>
      <c r="M2470" s="14" t="s">
        <v>3034</v>
      </c>
      <c r="O2470">
        <v>2004</v>
      </c>
      <c r="Q2470" t="s">
        <v>1329</v>
      </c>
      <c r="R2470">
        <v>14</v>
      </c>
      <c r="T2470" t="s">
        <v>3035</v>
      </c>
      <c r="U2470" s="14" t="s">
        <v>1246</v>
      </c>
      <c r="V2470" s="9" t="s">
        <v>3036</v>
      </c>
      <c r="W2470">
        <v>120</v>
      </c>
      <c r="X2470" s="9" t="s">
        <v>3037</v>
      </c>
      <c r="Z2470" s="5"/>
      <c r="AD2470" s="14" t="s">
        <v>1165</v>
      </c>
      <c r="AF2470" t="s">
        <v>1165</v>
      </c>
      <c r="AI2470" t="s">
        <v>1165</v>
      </c>
      <c r="AJ2470" s="15" t="s">
        <v>1148</v>
      </c>
      <c r="AK2470" s="15">
        <v>53.264000000000003</v>
      </c>
      <c r="AL2470" t="s">
        <v>1263</v>
      </c>
      <c r="AM2470">
        <f>62.153-53.264</f>
        <v>8.8889999999999958</v>
      </c>
      <c r="AP2470">
        <v>56</v>
      </c>
      <c r="AR2470" s="15" t="s">
        <v>1155</v>
      </c>
    </row>
    <row r="2471" spans="1:44" x14ac:dyDescent="0.2">
      <c r="A2471" t="s">
        <v>1378</v>
      </c>
      <c r="B2471" s="15" t="s">
        <v>1146</v>
      </c>
      <c r="C2471" s="15" t="s">
        <v>1149</v>
      </c>
      <c r="D2471" s="14" t="s">
        <v>475</v>
      </c>
      <c r="E2471" s="14" t="s">
        <v>3051</v>
      </c>
      <c r="G2471" s="15" t="s">
        <v>1165</v>
      </c>
      <c r="H2471" s="14" t="s">
        <v>1165</v>
      </c>
      <c r="I2471" s="14" t="s">
        <v>3033</v>
      </c>
      <c r="M2471" s="14" t="s">
        <v>3034</v>
      </c>
      <c r="O2471">
        <v>2004</v>
      </c>
      <c r="Q2471" t="s">
        <v>1329</v>
      </c>
      <c r="R2471">
        <v>14</v>
      </c>
      <c r="T2471" t="s">
        <v>3035</v>
      </c>
      <c r="U2471" s="14" t="s">
        <v>1246</v>
      </c>
      <c r="V2471" s="9" t="s">
        <v>3036</v>
      </c>
      <c r="W2471">
        <v>150</v>
      </c>
      <c r="X2471" s="9" t="s">
        <v>3037</v>
      </c>
      <c r="Z2471" s="5"/>
      <c r="AD2471" s="14" t="s">
        <v>1165</v>
      </c>
      <c r="AF2471" t="s">
        <v>1165</v>
      </c>
      <c r="AI2471" t="s">
        <v>1165</v>
      </c>
      <c r="AJ2471" s="15" t="s">
        <v>1148</v>
      </c>
      <c r="AK2471" s="15">
        <v>26.318999999999999</v>
      </c>
      <c r="AL2471" t="s">
        <v>1263</v>
      </c>
      <c r="AM2471">
        <f>30.764-26.319</f>
        <v>4.4450000000000003</v>
      </c>
      <c r="AP2471">
        <v>28</v>
      </c>
      <c r="AR2471" s="15" t="s">
        <v>1155</v>
      </c>
    </row>
    <row r="2472" spans="1:44" x14ac:dyDescent="0.2">
      <c r="A2472" t="s">
        <v>1378</v>
      </c>
      <c r="B2472" s="15" t="s">
        <v>1146</v>
      </c>
      <c r="C2472" s="15" t="s">
        <v>1149</v>
      </c>
      <c r="D2472" s="14" t="s">
        <v>475</v>
      </c>
      <c r="E2472" s="14" t="s">
        <v>3051</v>
      </c>
      <c r="G2472" s="15" t="s">
        <v>1165</v>
      </c>
      <c r="H2472" s="14" t="s">
        <v>1165</v>
      </c>
      <c r="I2472" s="14" t="s">
        <v>3033</v>
      </c>
      <c r="M2472" s="14" t="s">
        <v>3034</v>
      </c>
      <c r="O2472">
        <v>2004</v>
      </c>
      <c r="Q2472" t="s">
        <v>1329</v>
      </c>
      <c r="R2472">
        <v>14</v>
      </c>
      <c r="T2472" t="s">
        <v>3035</v>
      </c>
      <c r="U2472" s="14" t="s">
        <v>1246</v>
      </c>
      <c r="V2472" s="9" t="s">
        <v>3036</v>
      </c>
      <c r="W2472">
        <v>150</v>
      </c>
      <c r="X2472" s="9" t="s">
        <v>3037</v>
      </c>
      <c r="Z2472" s="5"/>
      <c r="AD2472" s="14" t="s">
        <v>1165</v>
      </c>
      <c r="AF2472" t="s">
        <v>1165</v>
      </c>
      <c r="AI2472" t="s">
        <v>1165</v>
      </c>
      <c r="AJ2472" s="15" t="s">
        <v>1148</v>
      </c>
      <c r="AK2472" s="15">
        <v>35.207999999999998</v>
      </c>
      <c r="AL2472" t="s">
        <v>1263</v>
      </c>
      <c r="AM2472">
        <f>40.764-35.208</f>
        <v>5.5560000000000045</v>
      </c>
      <c r="AP2472">
        <v>56</v>
      </c>
      <c r="AR2472" s="15" t="s">
        <v>1155</v>
      </c>
    </row>
    <row r="2473" spans="1:44" x14ac:dyDescent="0.2">
      <c r="A2473" t="s">
        <v>1378</v>
      </c>
      <c r="B2473" s="15" t="s">
        <v>1146</v>
      </c>
      <c r="C2473" s="15" t="s">
        <v>1149</v>
      </c>
      <c r="D2473" s="14" t="s">
        <v>475</v>
      </c>
      <c r="E2473" s="14" t="s">
        <v>3051</v>
      </c>
      <c r="G2473" s="15" t="s">
        <v>1165</v>
      </c>
      <c r="H2473" s="14" t="s">
        <v>1165</v>
      </c>
      <c r="I2473" s="14" t="s">
        <v>3033</v>
      </c>
      <c r="M2473" s="14" t="s">
        <v>3034</v>
      </c>
      <c r="O2473">
        <v>2004</v>
      </c>
      <c r="Q2473" t="s">
        <v>1329</v>
      </c>
      <c r="R2473">
        <v>14</v>
      </c>
      <c r="T2473" t="s">
        <v>3035</v>
      </c>
      <c r="U2473" s="14" t="s">
        <v>1246</v>
      </c>
      <c r="V2473" s="9" t="s">
        <v>3036</v>
      </c>
      <c r="W2473">
        <v>180</v>
      </c>
      <c r="X2473" s="9" t="s">
        <v>3037</v>
      </c>
      <c r="Z2473" s="5"/>
      <c r="AD2473" s="14" t="s">
        <v>1165</v>
      </c>
      <c r="AF2473" t="s">
        <v>1165</v>
      </c>
      <c r="AI2473" t="s">
        <v>1165</v>
      </c>
      <c r="AJ2473" s="15" t="s">
        <v>1148</v>
      </c>
      <c r="AK2473" s="15">
        <v>33.819000000000003</v>
      </c>
      <c r="AL2473" t="s">
        <v>1263</v>
      </c>
      <c r="AM2473">
        <f>41.319-33.819</f>
        <v>7.5</v>
      </c>
      <c r="AP2473">
        <v>28</v>
      </c>
      <c r="AR2473" s="15" t="s">
        <v>1155</v>
      </c>
    </row>
    <row r="2474" spans="1:44" x14ac:dyDescent="0.2">
      <c r="A2474" t="s">
        <v>1378</v>
      </c>
      <c r="B2474" s="15" t="s">
        <v>1146</v>
      </c>
      <c r="C2474" s="15" t="s">
        <v>1149</v>
      </c>
      <c r="D2474" s="14" t="s">
        <v>475</v>
      </c>
      <c r="E2474" s="14" t="s">
        <v>3051</v>
      </c>
      <c r="G2474" s="15" t="s">
        <v>1165</v>
      </c>
      <c r="H2474" s="14" t="s">
        <v>1165</v>
      </c>
      <c r="I2474" s="14" t="s">
        <v>3033</v>
      </c>
      <c r="M2474" s="14" t="s">
        <v>3034</v>
      </c>
      <c r="O2474">
        <v>2004</v>
      </c>
      <c r="Q2474" t="s">
        <v>1329</v>
      </c>
      <c r="R2474">
        <v>14</v>
      </c>
      <c r="T2474" t="s">
        <v>3035</v>
      </c>
      <c r="U2474" s="14" t="s">
        <v>1246</v>
      </c>
      <c r="V2474" s="9" t="s">
        <v>3036</v>
      </c>
      <c r="W2474">
        <v>180</v>
      </c>
      <c r="X2474" s="9" t="s">
        <v>3037</v>
      </c>
      <c r="Z2474" s="5"/>
      <c r="AD2474" s="14" t="s">
        <v>1165</v>
      </c>
      <c r="AF2474" t="s">
        <v>1165</v>
      </c>
      <c r="AI2474" t="s">
        <v>1165</v>
      </c>
      <c r="AJ2474" s="15" t="s">
        <v>1148</v>
      </c>
      <c r="AK2474" s="15">
        <v>98.263999999999996</v>
      </c>
      <c r="AL2474" t="s">
        <v>1263</v>
      </c>
      <c r="AM2474">
        <f>103.264-98.264</f>
        <v>5</v>
      </c>
      <c r="AP2474">
        <v>56</v>
      </c>
      <c r="AR2474" s="15" t="s">
        <v>1155</v>
      </c>
    </row>
    <row r="2475" spans="1:44" x14ac:dyDescent="0.2">
      <c r="A2475" t="s">
        <v>1378</v>
      </c>
      <c r="B2475" s="15" t="s">
        <v>1146</v>
      </c>
      <c r="C2475" s="15" t="s">
        <v>1149</v>
      </c>
      <c r="D2475" s="14" t="s">
        <v>475</v>
      </c>
      <c r="E2475" s="14" t="s">
        <v>3051</v>
      </c>
      <c r="G2475" s="15" t="s">
        <v>1165</v>
      </c>
      <c r="H2475" s="14" t="s">
        <v>1165</v>
      </c>
      <c r="I2475" s="14" t="s">
        <v>3033</v>
      </c>
      <c r="M2475" s="14" t="s">
        <v>3034</v>
      </c>
      <c r="O2475">
        <v>2004</v>
      </c>
      <c r="Q2475" t="s">
        <v>1329</v>
      </c>
      <c r="R2475">
        <v>14</v>
      </c>
      <c r="T2475" t="s">
        <v>3035</v>
      </c>
      <c r="U2475" s="14" t="s">
        <v>1246</v>
      </c>
      <c r="V2475" s="9" t="s">
        <v>3036</v>
      </c>
      <c r="W2475">
        <v>0</v>
      </c>
      <c r="X2475" s="9" t="s">
        <v>3038</v>
      </c>
      <c r="Z2475" s="5"/>
      <c r="AD2475" s="14" t="s">
        <v>1165</v>
      </c>
      <c r="AF2475" t="s">
        <v>1165</v>
      </c>
      <c r="AI2475" t="s">
        <v>1165</v>
      </c>
      <c r="AJ2475" s="15" t="s">
        <v>1148</v>
      </c>
      <c r="AK2475" s="15">
        <v>0</v>
      </c>
      <c r="AL2475" t="s">
        <v>1263</v>
      </c>
      <c r="AM2475">
        <v>0</v>
      </c>
      <c r="AP2475">
        <v>28</v>
      </c>
      <c r="AR2475" s="15" t="s">
        <v>1155</v>
      </c>
    </row>
    <row r="2476" spans="1:44" x14ac:dyDescent="0.2">
      <c r="A2476" t="s">
        <v>1378</v>
      </c>
      <c r="B2476" s="15" t="s">
        <v>1146</v>
      </c>
      <c r="C2476" s="15" t="s">
        <v>1149</v>
      </c>
      <c r="D2476" s="14" t="s">
        <v>475</v>
      </c>
      <c r="E2476" s="14" t="s">
        <v>3051</v>
      </c>
      <c r="G2476" s="15" t="s">
        <v>1165</v>
      </c>
      <c r="H2476" s="14" t="s">
        <v>1165</v>
      </c>
      <c r="I2476" s="14" t="s">
        <v>3033</v>
      </c>
      <c r="M2476" s="14" t="s">
        <v>3034</v>
      </c>
      <c r="O2476">
        <v>2004</v>
      </c>
      <c r="Q2476" t="s">
        <v>1329</v>
      </c>
      <c r="R2476">
        <v>14</v>
      </c>
      <c r="T2476" t="s">
        <v>3035</v>
      </c>
      <c r="U2476" s="14" t="s">
        <v>1246</v>
      </c>
      <c r="V2476" s="9" t="s">
        <v>3036</v>
      </c>
      <c r="W2476">
        <v>0</v>
      </c>
      <c r="X2476" s="9" t="s">
        <v>3038</v>
      </c>
      <c r="Z2476" s="5"/>
      <c r="AD2476" s="14" t="s">
        <v>1165</v>
      </c>
      <c r="AF2476" t="s">
        <v>1165</v>
      </c>
      <c r="AI2476" t="s">
        <v>1165</v>
      </c>
      <c r="AJ2476" s="15" t="s">
        <v>1148</v>
      </c>
      <c r="AK2476" s="15">
        <v>2.0830000000000002</v>
      </c>
      <c r="AL2476" t="s">
        <v>1263</v>
      </c>
      <c r="AM2476">
        <v>0</v>
      </c>
      <c r="AP2476">
        <v>56</v>
      </c>
      <c r="AR2476" s="15" t="s">
        <v>1155</v>
      </c>
    </row>
    <row r="2477" spans="1:44" x14ac:dyDescent="0.2">
      <c r="A2477" t="s">
        <v>1378</v>
      </c>
      <c r="B2477" s="15" t="s">
        <v>1146</v>
      </c>
      <c r="C2477" s="15" t="s">
        <v>1149</v>
      </c>
      <c r="D2477" s="14" t="s">
        <v>475</v>
      </c>
      <c r="E2477" s="14" t="s">
        <v>3051</v>
      </c>
      <c r="G2477" s="15" t="s">
        <v>1165</v>
      </c>
      <c r="H2477" s="14" t="s">
        <v>1165</v>
      </c>
      <c r="I2477" s="14" t="s">
        <v>3033</v>
      </c>
      <c r="M2477" s="14" t="s">
        <v>3034</v>
      </c>
      <c r="O2477">
        <v>2004</v>
      </c>
      <c r="Q2477" t="s">
        <v>1329</v>
      </c>
      <c r="R2477">
        <v>14</v>
      </c>
      <c r="T2477" t="s">
        <v>3035</v>
      </c>
      <c r="U2477" s="14" t="s">
        <v>1246</v>
      </c>
      <c r="V2477" s="9" t="s">
        <v>3036</v>
      </c>
      <c r="W2477">
        <v>15</v>
      </c>
      <c r="X2477" s="9" t="s">
        <v>3038</v>
      </c>
      <c r="Z2477" s="5"/>
      <c r="AD2477" s="14" t="s">
        <v>1165</v>
      </c>
      <c r="AF2477" t="s">
        <v>1165</v>
      </c>
      <c r="AI2477" t="s">
        <v>1165</v>
      </c>
      <c r="AJ2477" s="15" t="s">
        <v>1148</v>
      </c>
      <c r="AK2477" s="15">
        <v>75.625</v>
      </c>
      <c r="AL2477" t="s">
        <v>1263</v>
      </c>
      <c r="AM2477">
        <f>78.125-75.625</f>
        <v>2.5</v>
      </c>
      <c r="AP2477">
        <v>28</v>
      </c>
      <c r="AR2477" s="15" t="s">
        <v>1155</v>
      </c>
    </row>
    <row r="2478" spans="1:44" x14ac:dyDescent="0.2">
      <c r="A2478" t="s">
        <v>1378</v>
      </c>
      <c r="B2478" s="15" t="s">
        <v>1146</v>
      </c>
      <c r="C2478" s="15" t="s">
        <v>1149</v>
      </c>
      <c r="D2478" s="14" t="s">
        <v>475</v>
      </c>
      <c r="E2478" s="14" t="s">
        <v>3051</v>
      </c>
      <c r="G2478" s="15" t="s">
        <v>1165</v>
      </c>
      <c r="H2478" s="14" t="s">
        <v>1165</v>
      </c>
      <c r="I2478" s="14" t="s">
        <v>3033</v>
      </c>
      <c r="M2478" s="14" t="s">
        <v>3034</v>
      </c>
      <c r="O2478">
        <v>2004</v>
      </c>
      <c r="Q2478" t="s">
        <v>1329</v>
      </c>
      <c r="R2478">
        <v>14</v>
      </c>
      <c r="T2478" t="s">
        <v>3035</v>
      </c>
      <c r="U2478" s="14" t="s">
        <v>1246</v>
      </c>
      <c r="V2478" s="9" t="s">
        <v>3036</v>
      </c>
      <c r="W2478">
        <v>15</v>
      </c>
      <c r="X2478" s="9" t="s">
        <v>3038</v>
      </c>
      <c r="Z2478" s="5"/>
      <c r="AD2478" s="14" t="s">
        <v>1165</v>
      </c>
      <c r="AF2478" t="s">
        <v>1165</v>
      </c>
      <c r="AI2478" t="s">
        <v>1165</v>
      </c>
      <c r="AJ2478" s="15" t="s">
        <v>1148</v>
      </c>
      <c r="AK2478" s="15">
        <v>84.375</v>
      </c>
      <c r="AL2478" t="s">
        <v>1263</v>
      </c>
      <c r="AM2478">
        <f>91.042-84.375</f>
        <v>6.6670000000000016</v>
      </c>
      <c r="AP2478">
        <v>56</v>
      </c>
      <c r="AR2478" s="15" t="s">
        <v>1155</v>
      </c>
    </row>
    <row r="2479" spans="1:44" x14ac:dyDescent="0.2">
      <c r="A2479" t="s">
        <v>1378</v>
      </c>
      <c r="B2479" s="15" t="s">
        <v>1146</v>
      </c>
      <c r="C2479" s="15" t="s">
        <v>1149</v>
      </c>
      <c r="D2479" s="14" t="s">
        <v>475</v>
      </c>
      <c r="E2479" s="14" t="s">
        <v>3051</v>
      </c>
      <c r="G2479" s="15" t="s">
        <v>1165</v>
      </c>
      <c r="H2479" s="14" t="s">
        <v>1165</v>
      </c>
      <c r="I2479" s="14" t="s">
        <v>3033</v>
      </c>
      <c r="M2479" s="14" t="s">
        <v>3034</v>
      </c>
      <c r="O2479">
        <v>2004</v>
      </c>
      <c r="Q2479" t="s">
        <v>1329</v>
      </c>
      <c r="R2479">
        <v>14</v>
      </c>
      <c r="T2479" t="s">
        <v>3035</v>
      </c>
      <c r="U2479" s="14" t="s">
        <v>1246</v>
      </c>
      <c r="V2479" s="9" t="s">
        <v>3036</v>
      </c>
      <c r="W2479">
        <v>30</v>
      </c>
      <c r="X2479" s="9" t="s">
        <v>3038</v>
      </c>
      <c r="Z2479" s="5"/>
      <c r="AD2479" s="14" t="s">
        <v>1165</v>
      </c>
      <c r="AF2479" t="s">
        <v>1165</v>
      </c>
      <c r="AI2479" t="s">
        <v>1165</v>
      </c>
      <c r="AJ2479" s="15" t="s">
        <v>1148</v>
      </c>
      <c r="AK2479" s="15">
        <v>83.957999999999998</v>
      </c>
      <c r="AL2479" t="s">
        <v>1263</v>
      </c>
      <c r="AM2479">
        <f>91.042-83.958</f>
        <v>7.0840000000000032</v>
      </c>
      <c r="AP2479">
        <v>28</v>
      </c>
      <c r="AR2479" s="15" t="s">
        <v>1155</v>
      </c>
    </row>
    <row r="2480" spans="1:44" x14ac:dyDescent="0.2">
      <c r="A2480" t="s">
        <v>1378</v>
      </c>
      <c r="B2480" s="15" t="s">
        <v>1146</v>
      </c>
      <c r="C2480" s="15" t="s">
        <v>1149</v>
      </c>
      <c r="D2480" s="14" t="s">
        <v>475</v>
      </c>
      <c r="E2480" s="14" t="s">
        <v>3051</v>
      </c>
      <c r="G2480" s="15" t="s">
        <v>1165</v>
      </c>
      <c r="H2480" s="14" t="s">
        <v>1165</v>
      </c>
      <c r="I2480" s="14" t="s">
        <v>3033</v>
      </c>
      <c r="M2480" s="14" t="s">
        <v>3034</v>
      </c>
      <c r="O2480">
        <v>2004</v>
      </c>
      <c r="Q2480" t="s">
        <v>1329</v>
      </c>
      <c r="R2480">
        <v>14</v>
      </c>
      <c r="T2480" t="s">
        <v>3035</v>
      </c>
      <c r="U2480" s="14" t="s">
        <v>1246</v>
      </c>
      <c r="V2480" s="9" t="s">
        <v>3036</v>
      </c>
      <c r="W2480">
        <v>30</v>
      </c>
      <c r="X2480" s="9" t="s">
        <v>3038</v>
      </c>
      <c r="Z2480" s="5"/>
      <c r="AD2480" s="14" t="s">
        <v>1165</v>
      </c>
      <c r="AF2480" t="s">
        <v>1165</v>
      </c>
      <c r="AI2480" t="s">
        <v>1165</v>
      </c>
      <c r="AJ2480" s="15" t="s">
        <v>1148</v>
      </c>
      <c r="AK2480" s="15">
        <v>85.207999999999998</v>
      </c>
      <c r="AL2480" t="s">
        <v>1263</v>
      </c>
      <c r="AM2480">
        <f>93.125-85.208</f>
        <v>7.9170000000000016</v>
      </c>
      <c r="AP2480">
        <v>56</v>
      </c>
      <c r="AR2480" s="15" t="s">
        <v>1155</v>
      </c>
    </row>
    <row r="2481" spans="1:44" x14ac:dyDescent="0.2">
      <c r="A2481" t="s">
        <v>1378</v>
      </c>
      <c r="B2481" s="15" t="s">
        <v>1146</v>
      </c>
      <c r="C2481" s="15" t="s">
        <v>1149</v>
      </c>
      <c r="D2481" s="14" t="s">
        <v>475</v>
      </c>
      <c r="E2481" s="14" t="s">
        <v>3051</v>
      </c>
      <c r="G2481" s="15" t="s">
        <v>1165</v>
      </c>
      <c r="H2481" s="14" t="s">
        <v>1165</v>
      </c>
      <c r="I2481" s="14" t="s">
        <v>3033</v>
      </c>
      <c r="M2481" s="14" t="s">
        <v>3034</v>
      </c>
      <c r="O2481">
        <v>2004</v>
      </c>
      <c r="Q2481" t="s">
        <v>1329</v>
      </c>
      <c r="R2481">
        <v>14</v>
      </c>
      <c r="T2481" t="s">
        <v>3035</v>
      </c>
      <c r="U2481" s="14" t="s">
        <v>1246</v>
      </c>
      <c r="V2481" s="9" t="s">
        <v>3036</v>
      </c>
      <c r="W2481">
        <v>60</v>
      </c>
      <c r="X2481" s="9" t="s">
        <v>3038</v>
      </c>
      <c r="Z2481" s="5"/>
      <c r="AD2481" s="14" t="s">
        <v>1165</v>
      </c>
      <c r="AF2481" t="s">
        <v>1165</v>
      </c>
      <c r="AI2481" t="s">
        <v>1165</v>
      </c>
      <c r="AJ2481" s="15" t="s">
        <v>1148</v>
      </c>
      <c r="AK2481" s="15">
        <v>94.792000000000002</v>
      </c>
      <c r="AL2481" t="s">
        <v>1263</v>
      </c>
      <c r="AM2481">
        <f>99.375-94.792</f>
        <v>4.5829999999999984</v>
      </c>
      <c r="AP2481">
        <v>28</v>
      </c>
      <c r="AR2481" s="15" t="s">
        <v>1155</v>
      </c>
    </row>
    <row r="2482" spans="1:44" x14ac:dyDescent="0.2">
      <c r="A2482" t="s">
        <v>1378</v>
      </c>
      <c r="B2482" s="15" t="s">
        <v>1146</v>
      </c>
      <c r="C2482" s="15" t="s">
        <v>1149</v>
      </c>
      <c r="D2482" s="14" t="s">
        <v>475</v>
      </c>
      <c r="E2482" s="14" t="s">
        <v>3051</v>
      </c>
      <c r="G2482" s="15" t="s">
        <v>1165</v>
      </c>
      <c r="H2482" s="14" t="s">
        <v>1165</v>
      </c>
      <c r="I2482" s="14" t="s">
        <v>3033</v>
      </c>
      <c r="M2482" s="14" t="s">
        <v>3034</v>
      </c>
      <c r="O2482">
        <v>2004</v>
      </c>
      <c r="Q2482" t="s">
        <v>1329</v>
      </c>
      <c r="R2482">
        <v>14</v>
      </c>
      <c r="T2482" t="s">
        <v>3035</v>
      </c>
      <c r="U2482" s="14" t="s">
        <v>1246</v>
      </c>
      <c r="V2482" s="9" t="s">
        <v>3036</v>
      </c>
      <c r="W2482">
        <v>60</v>
      </c>
      <c r="X2482" s="9" t="s">
        <v>3038</v>
      </c>
      <c r="Z2482" s="5"/>
      <c r="AD2482" s="14" t="s">
        <v>1165</v>
      </c>
      <c r="AF2482" t="s">
        <v>1165</v>
      </c>
      <c r="AI2482" t="s">
        <v>1165</v>
      </c>
      <c r="AJ2482" s="15" t="s">
        <v>1148</v>
      </c>
      <c r="AK2482" s="15">
        <v>96.042000000000002</v>
      </c>
      <c r="AL2482" t="s">
        <v>1263</v>
      </c>
      <c r="AM2482">
        <f>101.042-96.042</f>
        <v>5</v>
      </c>
      <c r="AP2482">
        <v>56</v>
      </c>
      <c r="AR2482" s="15" t="s">
        <v>1155</v>
      </c>
    </row>
    <row r="2483" spans="1:44" x14ac:dyDescent="0.2">
      <c r="A2483" t="s">
        <v>1378</v>
      </c>
      <c r="B2483" s="15" t="s">
        <v>1146</v>
      </c>
      <c r="C2483" s="15" t="s">
        <v>1149</v>
      </c>
      <c r="D2483" s="14" t="s">
        <v>475</v>
      </c>
      <c r="E2483" s="14" t="s">
        <v>3051</v>
      </c>
      <c r="G2483" s="15" t="s">
        <v>1165</v>
      </c>
      <c r="H2483" s="14" t="s">
        <v>1165</v>
      </c>
      <c r="I2483" s="14" t="s">
        <v>3033</v>
      </c>
      <c r="M2483" s="14" t="s">
        <v>3034</v>
      </c>
      <c r="O2483">
        <v>2004</v>
      </c>
      <c r="Q2483" t="s">
        <v>1329</v>
      </c>
      <c r="R2483">
        <v>14</v>
      </c>
      <c r="T2483" t="s">
        <v>3035</v>
      </c>
      <c r="U2483" s="14" t="s">
        <v>1246</v>
      </c>
      <c r="V2483" s="9" t="s">
        <v>3036</v>
      </c>
      <c r="W2483">
        <v>90</v>
      </c>
      <c r="X2483" s="9" t="s">
        <v>3038</v>
      </c>
      <c r="Z2483" s="5"/>
      <c r="AD2483" s="14" t="s">
        <v>1165</v>
      </c>
      <c r="AF2483" t="s">
        <v>1165</v>
      </c>
      <c r="AI2483" t="s">
        <v>1165</v>
      </c>
      <c r="AJ2483" s="15" t="s">
        <v>1148</v>
      </c>
      <c r="AK2483" s="15">
        <v>81.875</v>
      </c>
      <c r="AL2483" t="s">
        <v>1263</v>
      </c>
      <c r="AM2483">
        <f>88.958-81.875</f>
        <v>7.0829999999999984</v>
      </c>
      <c r="AP2483">
        <v>28</v>
      </c>
      <c r="AR2483" s="15" t="s">
        <v>1155</v>
      </c>
    </row>
    <row r="2484" spans="1:44" x14ac:dyDescent="0.2">
      <c r="A2484" t="s">
        <v>1378</v>
      </c>
      <c r="B2484" s="15" t="s">
        <v>1146</v>
      </c>
      <c r="C2484" s="15" t="s">
        <v>1149</v>
      </c>
      <c r="D2484" s="14" t="s">
        <v>475</v>
      </c>
      <c r="E2484" s="14" t="s">
        <v>3051</v>
      </c>
      <c r="G2484" s="15" t="s">
        <v>1165</v>
      </c>
      <c r="H2484" s="14" t="s">
        <v>1165</v>
      </c>
      <c r="I2484" s="14" t="s">
        <v>3033</v>
      </c>
      <c r="M2484" s="14" t="s">
        <v>3034</v>
      </c>
      <c r="O2484">
        <v>2004</v>
      </c>
      <c r="Q2484" t="s">
        <v>1329</v>
      </c>
      <c r="R2484">
        <v>14</v>
      </c>
      <c r="T2484" t="s">
        <v>3035</v>
      </c>
      <c r="U2484" s="14" t="s">
        <v>1246</v>
      </c>
      <c r="V2484" s="9" t="s">
        <v>3036</v>
      </c>
      <c r="W2484">
        <v>90</v>
      </c>
      <c r="X2484" s="9" t="s">
        <v>3038</v>
      </c>
      <c r="Z2484" s="5"/>
      <c r="AD2484" s="14" t="s">
        <v>1165</v>
      </c>
      <c r="AF2484" t="s">
        <v>1165</v>
      </c>
      <c r="AI2484" t="s">
        <v>1165</v>
      </c>
      <c r="AJ2484" s="15" t="s">
        <v>1148</v>
      </c>
      <c r="AK2484" s="15">
        <v>82.707999999999998</v>
      </c>
      <c r="AL2484" t="s">
        <v>1263</v>
      </c>
      <c r="AM2484">
        <f>89.792-82.708</f>
        <v>7.0840000000000032</v>
      </c>
      <c r="AP2484">
        <v>56</v>
      </c>
      <c r="AR2484" s="15" t="s">
        <v>1155</v>
      </c>
    </row>
    <row r="2485" spans="1:44" x14ac:dyDescent="0.2">
      <c r="A2485" t="s">
        <v>1378</v>
      </c>
      <c r="B2485" s="15" t="s">
        <v>1146</v>
      </c>
      <c r="C2485" s="15" t="s">
        <v>1149</v>
      </c>
      <c r="D2485" s="14" t="s">
        <v>475</v>
      </c>
      <c r="E2485" s="14" t="s">
        <v>3051</v>
      </c>
      <c r="G2485" s="15" t="s">
        <v>1165</v>
      </c>
      <c r="H2485" s="14" t="s">
        <v>1165</v>
      </c>
      <c r="I2485" s="14" t="s">
        <v>3033</v>
      </c>
      <c r="M2485" s="14" t="s">
        <v>3034</v>
      </c>
      <c r="O2485">
        <v>2004</v>
      </c>
      <c r="Q2485" t="s">
        <v>1329</v>
      </c>
      <c r="R2485">
        <v>14</v>
      </c>
      <c r="T2485" t="s">
        <v>3035</v>
      </c>
      <c r="U2485" s="14" t="s">
        <v>1246</v>
      </c>
      <c r="V2485" s="9" t="s">
        <v>3036</v>
      </c>
      <c r="W2485">
        <v>120</v>
      </c>
      <c r="X2485" s="9" t="s">
        <v>3038</v>
      </c>
      <c r="Z2485" s="5"/>
      <c r="AD2485" s="14" t="s">
        <v>1165</v>
      </c>
      <c r="AF2485" t="s">
        <v>1165</v>
      </c>
      <c r="AI2485" t="s">
        <v>1165</v>
      </c>
      <c r="AJ2485" s="15" t="s">
        <v>1148</v>
      </c>
      <c r="AK2485" s="15">
        <v>93.957999999999998</v>
      </c>
      <c r="AL2485" t="s">
        <v>1263</v>
      </c>
      <c r="AM2485">
        <f>97.292-93.958</f>
        <v>3.3340000000000032</v>
      </c>
      <c r="AP2485">
        <v>28</v>
      </c>
      <c r="AR2485" s="15" t="s">
        <v>1155</v>
      </c>
    </row>
    <row r="2486" spans="1:44" x14ac:dyDescent="0.2">
      <c r="A2486" t="s">
        <v>1378</v>
      </c>
      <c r="B2486" s="15" t="s">
        <v>1146</v>
      </c>
      <c r="C2486" s="15" t="s">
        <v>1149</v>
      </c>
      <c r="D2486" s="14" t="s">
        <v>475</v>
      </c>
      <c r="E2486" s="14" t="s">
        <v>3051</v>
      </c>
      <c r="G2486" s="15" t="s">
        <v>1165</v>
      </c>
      <c r="H2486" s="14" t="s">
        <v>1165</v>
      </c>
      <c r="I2486" s="14" t="s">
        <v>3033</v>
      </c>
      <c r="M2486" s="14" t="s">
        <v>3034</v>
      </c>
      <c r="O2486">
        <v>2004</v>
      </c>
      <c r="Q2486" t="s">
        <v>1329</v>
      </c>
      <c r="R2486">
        <v>14</v>
      </c>
      <c r="T2486" t="s">
        <v>3035</v>
      </c>
      <c r="U2486" s="14" t="s">
        <v>1246</v>
      </c>
      <c r="V2486" s="9" t="s">
        <v>3036</v>
      </c>
      <c r="W2486">
        <v>120</v>
      </c>
      <c r="X2486" s="9" t="s">
        <v>3038</v>
      </c>
      <c r="Z2486" s="5"/>
      <c r="AD2486" s="14" t="s">
        <v>1165</v>
      </c>
      <c r="AF2486" t="s">
        <v>1165</v>
      </c>
      <c r="AI2486" t="s">
        <v>1165</v>
      </c>
      <c r="AJ2486" s="15" t="s">
        <v>1148</v>
      </c>
      <c r="AK2486" s="15">
        <v>94.792000000000002</v>
      </c>
      <c r="AL2486" t="s">
        <v>1263</v>
      </c>
      <c r="AM2486">
        <f>98.958-94.792</f>
        <v>4.1659999999999968</v>
      </c>
      <c r="AP2486">
        <v>56</v>
      </c>
      <c r="AR2486" s="15" t="s">
        <v>1155</v>
      </c>
    </row>
    <row r="2487" spans="1:44" x14ac:dyDescent="0.2">
      <c r="A2487" t="s">
        <v>1378</v>
      </c>
      <c r="B2487" s="15" t="s">
        <v>1146</v>
      </c>
      <c r="C2487" s="15" t="s">
        <v>1149</v>
      </c>
      <c r="D2487" s="14" t="s">
        <v>475</v>
      </c>
      <c r="E2487" s="14" t="s">
        <v>3051</v>
      </c>
      <c r="G2487" s="15" t="s">
        <v>1165</v>
      </c>
      <c r="H2487" s="14" t="s">
        <v>1165</v>
      </c>
      <c r="I2487" s="14" t="s">
        <v>3033</v>
      </c>
      <c r="M2487" s="14" t="s">
        <v>3034</v>
      </c>
      <c r="O2487">
        <v>2004</v>
      </c>
      <c r="Q2487" t="s">
        <v>1329</v>
      </c>
      <c r="R2487">
        <v>14</v>
      </c>
      <c r="T2487" t="s">
        <v>3035</v>
      </c>
      <c r="U2487" s="14" t="s">
        <v>1246</v>
      </c>
      <c r="V2487" s="9" t="s">
        <v>3036</v>
      </c>
      <c r="W2487">
        <v>150</v>
      </c>
      <c r="X2487" s="9" t="s">
        <v>3038</v>
      </c>
      <c r="Z2487" s="5"/>
      <c r="AD2487" s="14" t="s">
        <v>1165</v>
      </c>
      <c r="AF2487" t="s">
        <v>1165</v>
      </c>
      <c r="AI2487" t="s">
        <v>1165</v>
      </c>
      <c r="AJ2487" s="15" t="s">
        <v>1148</v>
      </c>
      <c r="AK2487" s="15">
        <v>94.792000000000002</v>
      </c>
      <c r="AL2487" t="s">
        <v>1263</v>
      </c>
      <c r="AM2487">
        <f>100.208-94.792</f>
        <v>5.4159999999999968</v>
      </c>
      <c r="AP2487">
        <v>28</v>
      </c>
      <c r="AR2487" s="15" t="s">
        <v>1155</v>
      </c>
    </row>
    <row r="2488" spans="1:44" x14ac:dyDescent="0.2">
      <c r="A2488" t="s">
        <v>1378</v>
      </c>
      <c r="B2488" s="15" t="s">
        <v>1146</v>
      </c>
      <c r="C2488" s="15" t="s">
        <v>1149</v>
      </c>
      <c r="D2488" s="14" t="s">
        <v>475</v>
      </c>
      <c r="E2488" s="14" t="s">
        <v>3051</v>
      </c>
      <c r="G2488" s="15" t="s">
        <v>1165</v>
      </c>
      <c r="H2488" s="14" t="s">
        <v>1165</v>
      </c>
      <c r="I2488" s="14" t="s">
        <v>3033</v>
      </c>
      <c r="M2488" s="14" t="s">
        <v>3034</v>
      </c>
      <c r="O2488">
        <v>2004</v>
      </c>
      <c r="Q2488" t="s">
        <v>1329</v>
      </c>
      <c r="R2488">
        <v>14</v>
      </c>
      <c r="T2488" t="s">
        <v>3035</v>
      </c>
      <c r="U2488" s="14" t="s">
        <v>1246</v>
      </c>
      <c r="V2488" s="9" t="s">
        <v>3036</v>
      </c>
      <c r="W2488">
        <v>150</v>
      </c>
      <c r="X2488" s="9" t="s">
        <v>3038</v>
      </c>
      <c r="Z2488" s="5"/>
      <c r="AD2488" s="14" t="s">
        <v>1165</v>
      </c>
      <c r="AF2488" t="s">
        <v>1165</v>
      </c>
      <c r="AI2488" t="s">
        <v>1165</v>
      </c>
      <c r="AJ2488" s="15" t="s">
        <v>1148</v>
      </c>
      <c r="AK2488" s="15">
        <v>95.207999999999998</v>
      </c>
      <c r="AL2488" t="s">
        <v>1263</v>
      </c>
      <c r="AM2488">
        <f>100.208-95.208</f>
        <v>5</v>
      </c>
      <c r="AP2488">
        <v>56</v>
      </c>
      <c r="AR2488" s="15" t="s">
        <v>1155</v>
      </c>
    </row>
    <row r="2489" spans="1:44" x14ac:dyDescent="0.2">
      <c r="A2489" t="s">
        <v>1378</v>
      </c>
      <c r="B2489" s="15" t="s">
        <v>1146</v>
      </c>
      <c r="C2489" s="15" t="s">
        <v>1149</v>
      </c>
      <c r="D2489" s="14" t="s">
        <v>475</v>
      </c>
      <c r="E2489" s="14" t="s">
        <v>3051</v>
      </c>
      <c r="G2489" s="15" t="s">
        <v>1165</v>
      </c>
      <c r="H2489" s="14" t="s">
        <v>1165</v>
      </c>
      <c r="I2489" s="14" t="s">
        <v>3033</v>
      </c>
      <c r="M2489" s="14" t="s">
        <v>3034</v>
      </c>
      <c r="O2489">
        <v>2004</v>
      </c>
      <c r="Q2489" t="s">
        <v>1329</v>
      </c>
      <c r="R2489">
        <v>14</v>
      </c>
      <c r="T2489" t="s">
        <v>3035</v>
      </c>
      <c r="U2489" s="14" t="s">
        <v>1246</v>
      </c>
      <c r="V2489" s="9" t="s">
        <v>3036</v>
      </c>
      <c r="W2489">
        <v>180</v>
      </c>
      <c r="X2489" s="9" t="s">
        <v>3038</v>
      </c>
      <c r="Z2489" s="5"/>
      <c r="AD2489" s="14" t="s">
        <v>1165</v>
      </c>
      <c r="AF2489" t="s">
        <v>1165</v>
      </c>
      <c r="AI2489" t="s">
        <v>1165</v>
      </c>
      <c r="AJ2489" s="15" t="s">
        <v>1148</v>
      </c>
      <c r="AK2489" s="15">
        <v>86.042000000000002</v>
      </c>
      <c r="AL2489" t="s">
        <v>1263</v>
      </c>
      <c r="AM2489">
        <f>91.458-86.042</f>
        <v>5.4159999999999968</v>
      </c>
      <c r="AP2489">
        <v>28</v>
      </c>
      <c r="AR2489" s="15" t="s">
        <v>1155</v>
      </c>
    </row>
    <row r="2490" spans="1:44" x14ac:dyDescent="0.2">
      <c r="A2490" t="s">
        <v>1378</v>
      </c>
      <c r="B2490" s="15" t="s">
        <v>1146</v>
      </c>
      <c r="C2490" s="15" t="s">
        <v>1149</v>
      </c>
      <c r="D2490" s="14" t="s">
        <v>475</v>
      </c>
      <c r="E2490" s="14" t="s">
        <v>3051</v>
      </c>
      <c r="G2490" s="15" t="s">
        <v>1165</v>
      </c>
      <c r="H2490" s="14" t="s">
        <v>1165</v>
      </c>
      <c r="I2490" s="14" t="s">
        <v>3033</v>
      </c>
      <c r="M2490" s="14" t="s">
        <v>3034</v>
      </c>
      <c r="O2490">
        <v>2004</v>
      </c>
      <c r="Q2490" t="s">
        <v>1329</v>
      </c>
      <c r="R2490">
        <v>14</v>
      </c>
      <c r="T2490" t="s">
        <v>3035</v>
      </c>
      <c r="U2490" s="14" t="s">
        <v>1246</v>
      </c>
      <c r="V2490" s="9" t="s">
        <v>3036</v>
      </c>
      <c r="W2490">
        <v>180</v>
      </c>
      <c r="X2490" s="9" t="s">
        <v>3038</v>
      </c>
      <c r="Z2490" s="5"/>
      <c r="AD2490" s="14" t="s">
        <v>1165</v>
      </c>
      <c r="AF2490" t="s">
        <v>1165</v>
      </c>
      <c r="AI2490" t="s">
        <v>1165</v>
      </c>
      <c r="AJ2490" s="15" t="s">
        <v>1148</v>
      </c>
      <c r="AK2490" s="15">
        <v>86.875</v>
      </c>
      <c r="AL2490" t="s">
        <v>1263</v>
      </c>
      <c r="AM2490">
        <f>92.708-86.875</f>
        <v>5.8329999999999984</v>
      </c>
      <c r="AP2490">
        <v>56</v>
      </c>
      <c r="AR2490" s="15" t="s">
        <v>1155</v>
      </c>
    </row>
    <row r="2491" spans="1:44" x14ac:dyDescent="0.2">
      <c r="A2491" t="s">
        <v>1378</v>
      </c>
      <c r="B2491" s="15" t="s">
        <v>1146</v>
      </c>
      <c r="C2491" s="15" t="s">
        <v>1149</v>
      </c>
      <c r="D2491" s="14" t="s">
        <v>475</v>
      </c>
      <c r="E2491" s="14" t="s">
        <v>3051</v>
      </c>
      <c r="G2491" s="15" t="s">
        <v>1165</v>
      </c>
      <c r="H2491" s="14" t="s">
        <v>1165</v>
      </c>
      <c r="I2491" s="14" t="s">
        <v>3033</v>
      </c>
      <c r="M2491" s="14" t="s">
        <v>3034</v>
      </c>
      <c r="O2491">
        <v>2004</v>
      </c>
      <c r="Q2491" t="s">
        <v>1329</v>
      </c>
      <c r="R2491">
        <v>14</v>
      </c>
      <c r="T2491" t="s">
        <v>3035</v>
      </c>
      <c r="U2491" s="14" t="s">
        <v>1246</v>
      </c>
      <c r="V2491" s="9" t="s">
        <v>3036</v>
      </c>
      <c r="W2491">
        <v>0</v>
      </c>
      <c r="X2491" s="9" t="s">
        <v>3039</v>
      </c>
      <c r="Z2491" s="5"/>
      <c r="AD2491" s="14" t="s">
        <v>1165</v>
      </c>
      <c r="AF2491" t="s">
        <v>1165</v>
      </c>
      <c r="AI2491" t="s">
        <v>1165</v>
      </c>
      <c r="AJ2491" s="15" t="s">
        <v>1148</v>
      </c>
      <c r="AK2491" s="15">
        <v>98.483000000000004</v>
      </c>
      <c r="AL2491" t="s">
        <v>1263</v>
      </c>
      <c r="AM2491">
        <f>101.724-98.483</f>
        <v>3.2409999999999997</v>
      </c>
      <c r="AP2491">
        <v>28</v>
      </c>
      <c r="AR2491" s="15" t="s">
        <v>1155</v>
      </c>
    </row>
    <row r="2492" spans="1:44" x14ac:dyDescent="0.2">
      <c r="A2492" t="s">
        <v>1378</v>
      </c>
      <c r="B2492" s="15" t="s">
        <v>1146</v>
      </c>
      <c r="C2492" s="15" t="s">
        <v>1149</v>
      </c>
      <c r="D2492" s="14" t="s">
        <v>475</v>
      </c>
      <c r="E2492" s="14" t="s">
        <v>3051</v>
      </c>
      <c r="G2492" s="15" t="s">
        <v>1165</v>
      </c>
      <c r="H2492" s="14" t="s">
        <v>1165</v>
      </c>
      <c r="I2492" s="14" t="s">
        <v>3033</v>
      </c>
      <c r="M2492" s="14" t="s">
        <v>3034</v>
      </c>
      <c r="O2492">
        <v>2004</v>
      </c>
      <c r="Q2492" t="s">
        <v>1329</v>
      </c>
      <c r="R2492">
        <v>14</v>
      </c>
      <c r="T2492" t="s">
        <v>3035</v>
      </c>
      <c r="U2492" s="14" t="s">
        <v>1246</v>
      </c>
      <c r="V2492" s="9" t="s">
        <v>3036</v>
      </c>
      <c r="W2492">
        <v>0</v>
      </c>
      <c r="X2492" s="9" t="s">
        <v>3039</v>
      </c>
      <c r="Z2492" s="5"/>
      <c r="AD2492" s="14" t="s">
        <v>1165</v>
      </c>
      <c r="AF2492" t="s">
        <v>1165</v>
      </c>
      <c r="AI2492" t="s">
        <v>1165</v>
      </c>
      <c r="AJ2492" s="15" t="s">
        <v>1148</v>
      </c>
      <c r="AK2492" s="15">
        <v>100</v>
      </c>
      <c r="AL2492" t="s">
        <v>1263</v>
      </c>
      <c r="AM2492">
        <f>103.655-100.345</f>
        <v>3.3100000000000023</v>
      </c>
      <c r="AP2492">
        <v>56</v>
      </c>
      <c r="AR2492" s="15" t="s">
        <v>1155</v>
      </c>
    </row>
    <row r="2493" spans="1:44" x14ac:dyDescent="0.2">
      <c r="A2493" t="s">
        <v>1378</v>
      </c>
      <c r="B2493" s="15" t="s">
        <v>1146</v>
      </c>
      <c r="C2493" s="15" t="s">
        <v>1149</v>
      </c>
      <c r="D2493" s="14" t="s">
        <v>475</v>
      </c>
      <c r="E2493" s="14" t="s">
        <v>3051</v>
      </c>
      <c r="G2493" s="15" t="s">
        <v>1165</v>
      </c>
      <c r="H2493" s="14" t="s">
        <v>1165</v>
      </c>
      <c r="I2493" s="14" t="s">
        <v>3033</v>
      </c>
      <c r="M2493" s="14" t="s">
        <v>3034</v>
      </c>
      <c r="O2493">
        <v>2004</v>
      </c>
      <c r="Q2493" t="s">
        <v>1329</v>
      </c>
      <c r="R2493">
        <v>14</v>
      </c>
      <c r="T2493" t="s">
        <v>3035</v>
      </c>
      <c r="U2493" s="14" t="s">
        <v>1246</v>
      </c>
      <c r="V2493" s="9" t="s">
        <v>3036</v>
      </c>
      <c r="W2493">
        <v>15</v>
      </c>
      <c r="X2493" s="9" t="s">
        <v>3039</v>
      </c>
      <c r="Z2493" s="5"/>
      <c r="AD2493" s="14" t="s">
        <v>1165</v>
      </c>
      <c r="AF2493" t="s">
        <v>1165</v>
      </c>
      <c r="AI2493" t="s">
        <v>1165</v>
      </c>
      <c r="AJ2493" s="15" t="s">
        <v>1148</v>
      </c>
      <c r="AK2493" s="15">
        <v>92.344999999999999</v>
      </c>
      <c r="AL2493" t="s">
        <v>1263</v>
      </c>
      <c r="AM2493">
        <f>97.31-92.345</f>
        <v>4.9650000000000034</v>
      </c>
      <c r="AP2493">
        <v>28</v>
      </c>
      <c r="AR2493" s="15" t="s">
        <v>1155</v>
      </c>
    </row>
    <row r="2494" spans="1:44" x14ac:dyDescent="0.2">
      <c r="A2494" t="s">
        <v>1378</v>
      </c>
      <c r="B2494" s="15" t="s">
        <v>1146</v>
      </c>
      <c r="C2494" s="15" t="s">
        <v>1149</v>
      </c>
      <c r="D2494" s="14" t="s">
        <v>475</v>
      </c>
      <c r="E2494" s="14" t="s">
        <v>3051</v>
      </c>
      <c r="G2494" s="15" t="s">
        <v>1165</v>
      </c>
      <c r="H2494" s="14" t="s">
        <v>1165</v>
      </c>
      <c r="I2494" s="14" t="s">
        <v>3033</v>
      </c>
      <c r="M2494" s="14" t="s">
        <v>3034</v>
      </c>
      <c r="O2494">
        <v>2004</v>
      </c>
      <c r="Q2494" t="s">
        <v>1329</v>
      </c>
      <c r="R2494">
        <v>14</v>
      </c>
      <c r="T2494" t="s">
        <v>3035</v>
      </c>
      <c r="U2494" s="14" t="s">
        <v>1246</v>
      </c>
      <c r="V2494" s="9" t="s">
        <v>3036</v>
      </c>
      <c r="W2494">
        <v>15</v>
      </c>
      <c r="X2494" s="9" t="s">
        <v>3039</v>
      </c>
      <c r="Z2494" s="5"/>
      <c r="AD2494" s="14" t="s">
        <v>1165</v>
      </c>
      <c r="AF2494" t="s">
        <v>1165</v>
      </c>
      <c r="AI2494" t="s">
        <v>1165</v>
      </c>
      <c r="AJ2494" s="15" t="s">
        <v>1148</v>
      </c>
      <c r="AK2494" s="15">
        <v>92.344999999999999</v>
      </c>
      <c r="AL2494" t="s">
        <v>1263</v>
      </c>
      <c r="AM2494">
        <f>97.586-92.345</f>
        <v>5.2409999999999997</v>
      </c>
      <c r="AP2494">
        <v>56</v>
      </c>
      <c r="AR2494" s="15" t="s">
        <v>1155</v>
      </c>
    </row>
    <row r="2495" spans="1:44" x14ac:dyDescent="0.2">
      <c r="A2495" t="s">
        <v>1378</v>
      </c>
      <c r="B2495" s="15" t="s">
        <v>1146</v>
      </c>
      <c r="C2495" s="15" t="s">
        <v>1149</v>
      </c>
      <c r="D2495" s="14" t="s">
        <v>475</v>
      </c>
      <c r="E2495" s="14" t="s">
        <v>3051</v>
      </c>
      <c r="G2495" s="15" t="s">
        <v>1165</v>
      </c>
      <c r="H2495" s="14" t="s">
        <v>1165</v>
      </c>
      <c r="I2495" s="14" t="s">
        <v>3033</v>
      </c>
      <c r="M2495" s="14" t="s">
        <v>3034</v>
      </c>
      <c r="O2495">
        <v>2004</v>
      </c>
      <c r="Q2495" t="s">
        <v>1329</v>
      </c>
      <c r="R2495">
        <v>14</v>
      </c>
      <c r="T2495" t="s">
        <v>3035</v>
      </c>
      <c r="U2495" s="14" t="s">
        <v>1246</v>
      </c>
      <c r="V2495" s="9" t="s">
        <v>3036</v>
      </c>
      <c r="W2495">
        <v>30</v>
      </c>
      <c r="X2495" s="9" t="s">
        <v>3039</v>
      </c>
      <c r="Z2495" s="5"/>
      <c r="AD2495" s="14" t="s">
        <v>1165</v>
      </c>
      <c r="AF2495" t="s">
        <v>1165</v>
      </c>
      <c r="AI2495" t="s">
        <v>1165</v>
      </c>
      <c r="AJ2495" s="15" t="s">
        <v>1148</v>
      </c>
      <c r="AK2495" s="15">
        <v>99.516999999999996</v>
      </c>
      <c r="AL2495" t="s">
        <v>1263</v>
      </c>
      <c r="AM2495">
        <f>103.655-99.517</f>
        <v>4.1380000000000052</v>
      </c>
      <c r="AP2495">
        <v>28</v>
      </c>
      <c r="AR2495" s="15" t="s">
        <v>1155</v>
      </c>
    </row>
    <row r="2496" spans="1:44" x14ac:dyDescent="0.2">
      <c r="A2496" t="s">
        <v>1378</v>
      </c>
      <c r="B2496" s="15" t="s">
        <v>1146</v>
      </c>
      <c r="C2496" s="15" t="s">
        <v>1149</v>
      </c>
      <c r="D2496" s="14" t="s">
        <v>475</v>
      </c>
      <c r="E2496" s="14" t="s">
        <v>3051</v>
      </c>
      <c r="G2496" s="15" t="s">
        <v>1165</v>
      </c>
      <c r="H2496" s="14" t="s">
        <v>1165</v>
      </c>
      <c r="I2496" s="14" t="s">
        <v>3033</v>
      </c>
      <c r="M2496" s="14" t="s">
        <v>3034</v>
      </c>
      <c r="O2496">
        <v>2004</v>
      </c>
      <c r="Q2496" t="s">
        <v>1329</v>
      </c>
      <c r="R2496">
        <v>14</v>
      </c>
      <c r="T2496" t="s">
        <v>3035</v>
      </c>
      <c r="U2496" s="14" t="s">
        <v>1246</v>
      </c>
      <c r="V2496" s="9" t="s">
        <v>3036</v>
      </c>
      <c r="W2496">
        <v>30</v>
      </c>
      <c r="X2496" s="9" t="s">
        <v>3039</v>
      </c>
      <c r="Z2496" s="5"/>
      <c r="AD2496" s="14" t="s">
        <v>1165</v>
      </c>
      <c r="AF2496" t="s">
        <v>1165</v>
      </c>
      <c r="AI2496" t="s">
        <v>1165</v>
      </c>
      <c r="AJ2496" s="15" t="s">
        <v>1148</v>
      </c>
      <c r="AK2496" s="15">
        <v>99.793000000000006</v>
      </c>
      <c r="AL2496" t="s">
        <v>1263</v>
      </c>
      <c r="AM2496">
        <f>103.655-99.793</f>
        <v>3.8619999999999948</v>
      </c>
      <c r="AP2496">
        <v>56</v>
      </c>
      <c r="AR2496" s="15" t="s">
        <v>1155</v>
      </c>
    </row>
    <row r="2497" spans="1:44" x14ac:dyDescent="0.2">
      <c r="A2497" t="s">
        <v>1378</v>
      </c>
      <c r="B2497" s="15" t="s">
        <v>1146</v>
      </c>
      <c r="C2497" s="15" t="s">
        <v>1149</v>
      </c>
      <c r="D2497" s="14" t="s">
        <v>475</v>
      </c>
      <c r="E2497" s="14" t="s">
        <v>3051</v>
      </c>
      <c r="G2497" s="15" t="s">
        <v>1165</v>
      </c>
      <c r="H2497" s="14" t="s">
        <v>1165</v>
      </c>
      <c r="I2497" s="14" t="s">
        <v>3033</v>
      </c>
      <c r="M2497" s="14" t="s">
        <v>3034</v>
      </c>
      <c r="O2497">
        <v>2004</v>
      </c>
      <c r="Q2497" t="s">
        <v>1329</v>
      </c>
      <c r="R2497">
        <v>14</v>
      </c>
      <c r="T2497" t="s">
        <v>3035</v>
      </c>
      <c r="U2497" s="14" t="s">
        <v>1246</v>
      </c>
      <c r="V2497" s="9" t="s">
        <v>3036</v>
      </c>
      <c r="W2497">
        <v>60</v>
      </c>
      <c r="X2497" s="9" t="s">
        <v>3039</v>
      </c>
      <c r="Z2497" s="5"/>
      <c r="AD2497" s="14" t="s">
        <v>1165</v>
      </c>
      <c r="AF2497" t="s">
        <v>1165</v>
      </c>
      <c r="AI2497" t="s">
        <v>1165</v>
      </c>
      <c r="AJ2497" s="15" t="s">
        <v>1148</v>
      </c>
      <c r="AK2497" s="15">
        <v>94</v>
      </c>
      <c r="AL2497" t="s">
        <v>1263</v>
      </c>
      <c r="AM2497">
        <f>100.069-94</f>
        <v>6.0690000000000026</v>
      </c>
      <c r="AP2497">
        <v>28</v>
      </c>
      <c r="AR2497" s="15" t="s">
        <v>1155</v>
      </c>
    </row>
    <row r="2498" spans="1:44" x14ac:dyDescent="0.2">
      <c r="A2498" t="s">
        <v>1378</v>
      </c>
      <c r="B2498" s="15" t="s">
        <v>1146</v>
      </c>
      <c r="C2498" s="15" t="s">
        <v>1149</v>
      </c>
      <c r="D2498" s="14" t="s">
        <v>475</v>
      </c>
      <c r="E2498" s="14" t="s">
        <v>3051</v>
      </c>
      <c r="G2498" s="15" t="s">
        <v>1165</v>
      </c>
      <c r="H2498" s="14" t="s">
        <v>1165</v>
      </c>
      <c r="I2498" s="14" t="s">
        <v>3033</v>
      </c>
      <c r="M2498" s="14" t="s">
        <v>3034</v>
      </c>
      <c r="O2498">
        <v>2004</v>
      </c>
      <c r="Q2498" t="s">
        <v>1329</v>
      </c>
      <c r="R2498">
        <v>14</v>
      </c>
      <c r="T2498" t="s">
        <v>3035</v>
      </c>
      <c r="U2498" s="14" t="s">
        <v>1246</v>
      </c>
      <c r="V2498" s="9" t="s">
        <v>3036</v>
      </c>
      <c r="W2498">
        <v>60</v>
      </c>
      <c r="X2498" s="9" t="s">
        <v>3039</v>
      </c>
      <c r="Z2498" s="5"/>
      <c r="AD2498" s="14" t="s">
        <v>1165</v>
      </c>
      <c r="AF2498" t="s">
        <v>1165</v>
      </c>
      <c r="AI2498" t="s">
        <v>1165</v>
      </c>
      <c r="AJ2498" s="15" t="s">
        <v>1148</v>
      </c>
      <c r="AK2498" s="15">
        <v>94.828000000000003</v>
      </c>
      <c r="AL2498" t="s">
        <v>1263</v>
      </c>
      <c r="AM2498">
        <f>100.897-94.828</f>
        <v>6.0690000000000026</v>
      </c>
      <c r="AP2498">
        <v>56</v>
      </c>
      <c r="AR2498" s="15" t="s">
        <v>1155</v>
      </c>
    </row>
    <row r="2499" spans="1:44" x14ac:dyDescent="0.2">
      <c r="A2499" t="s">
        <v>1378</v>
      </c>
      <c r="B2499" s="15" t="s">
        <v>1146</v>
      </c>
      <c r="C2499" s="15" t="s">
        <v>1149</v>
      </c>
      <c r="D2499" s="14" t="s">
        <v>475</v>
      </c>
      <c r="E2499" s="14" t="s">
        <v>3051</v>
      </c>
      <c r="G2499" s="15" t="s">
        <v>1165</v>
      </c>
      <c r="H2499" s="14" t="s">
        <v>1165</v>
      </c>
      <c r="I2499" s="14" t="s">
        <v>3033</v>
      </c>
      <c r="M2499" s="14" t="s">
        <v>3034</v>
      </c>
      <c r="O2499">
        <v>2004</v>
      </c>
      <c r="Q2499" t="s">
        <v>1329</v>
      </c>
      <c r="R2499">
        <v>14</v>
      </c>
      <c r="T2499" t="s">
        <v>3035</v>
      </c>
      <c r="U2499" s="14" t="s">
        <v>1246</v>
      </c>
      <c r="V2499" s="9" t="s">
        <v>3036</v>
      </c>
      <c r="W2499">
        <v>90</v>
      </c>
      <c r="X2499" s="9" t="s">
        <v>3039</v>
      </c>
      <c r="Z2499" s="5"/>
      <c r="AD2499" s="14" t="s">
        <v>1165</v>
      </c>
      <c r="AF2499" t="s">
        <v>1165</v>
      </c>
      <c r="AI2499" t="s">
        <v>1165</v>
      </c>
      <c r="AJ2499" s="15" t="s">
        <v>1148</v>
      </c>
      <c r="AK2499" s="15">
        <v>94</v>
      </c>
      <c r="AL2499" t="s">
        <v>1263</v>
      </c>
      <c r="AM2499">
        <f>98.966-94</f>
        <v>4.965999999999994</v>
      </c>
      <c r="AP2499">
        <v>28</v>
      </c>
      <c r="AR2499" s="15" t="s">
        <v>1155</v>
      </c>
    </row>
    <row r="2500" spans="1:44" x14ac:dyDescent="0.2">
      <c r="A2500" t="s">
        <v>1378</v>
      </c>
      <c r="B2500" s="15" t="s">
        <v>1146</v>
      </c>
      <c r="C2500" s="15" t="s">
        <v>1149</v>
      </c>
      <c r="D2500" s="14" t="s">
        <v>475</v>
      </c>
      <c r="E2500" s="14" t="s">
        <v>3051</v>
      </c>
      <c r="G2500" s="15" t="s">
        <v>1165</v>
      </c>
      <c r="H2500" s="14" t="s">
        <v>1165</v>
      </c>
      <c r="I2500" s="14" t="s">
        <v>3033</v>
      </c>
      <c r="M2500" s="14" t="s">
        <v>3034</v>
      </c>
      <c r="O2500">
        <v>2004</v>
      </c>
      <c r="Q2500" t="s">
        <v>1329</v>
      </c>
      <c r="R2500">
        <v>14</v>
      </c>
      <c r="T2500" t="s">
        <v>3035</v>
      </c>
      <c r="U2500" s="14" t="s">
        <v>1246</v>
      </c>
      <c r="V2500" s="9" t="s">
        <v>3036</v>
      </c>
      <c r="W2500">
        <v>90</v>
      </c>
      <c r="X2500" s="9" t="s">
        <v>3039</v>
      </c>
      <c r="Z2500" s="5"/>
      <c r="AD2500" s="14" t="s">
        <v>1165</v>
      </c>
      <c r="AF2500" t="s">
        <v>1165</v>
      </c>
      <c r="AI2500" t="s">
        <v>1165</v>
      </c>
      <c r="AJ2500" s="15" t="s">
        <v>1148</v>
      </c>
      <c r="AK2500" s="15">
        <v>94.828000000000003</v>
      </c>
      <c r="AL2500" t="s">
        <v>1263</v>
      </c>
      <c r="AM2500">
        <f>99.793-94.828</f>
        <v>4.9650000000000034</v>
      </c>
      <c r="AP2500">
        <v>56</v>
      </c>
      <c r="AR2500" s="15" t="s">
        <v>1155</v>
      </c>
    </row>
    <row r="2501" spans="1:44" x14ac:dyDescent="0.2">
      <c r="A2501" t="s">
        <v>1378</v>
      </c>
      <c r="B2501" s="15" t="s">
        <v>1146</v>
      </c>
      <c r="C2501" s="15" t="s">
        <v>1149</v>
      </c>
      <c r="D2501" s="14" t="s">
        <v>475</v>
      </c>
      <c r="E2501" s="14" t="s">
        <v>3051</v>
      </c>
      <c r="G2501" s="15" t="s">
        <v>1165</v>
      </c>
      <c r="H2501" s="14" t="s">
        <v>1165</v>
      </c>
      <c r="I2501" s="14" t="s">
        <v>3033</v>
      </c>
      <c r="M2501" s="14" t="s">
        <v>3034</v>
      </c>
      <c r="O2501">
        <v>2004</v>
      </c>
      <c r="Q2501" t="s">
        <v>1329</v>
      </c>
      <c r="R2501">
        <v>14</v>
      </c>
      <c r="T2501" t="s">
        <v>3035</v>
      </c>
      <c r="U2501" s="14" t="s">
        <v>1246</v>
      </c>
      <c r="V2501" s="9" t="s">
        <v>3036</v>
      </c>
      <c r="W2501">
        <v>120</v>
      </c>
      <c r="X2501" s="9" t="s">
        <v>3039</v>
      </c>
      <c r="Z2501" s="5"/>
      <c r="AD2501" s="14" t="s">
        <v>1165</v>
      </c>
      <c r="AF2501" t="s">
        <v>1165</v>
      </c>
      <c r="AI2501" t="s">
        <v>1165</v>
      </c>
      <c r="AJ2501" s="15" t="s">
        <v>1148</v>
      </c>
      <c r="AK2501" s="15">
        <v>97.31</v>
      </c>
      <c r="AL2501" t="s">
        <v>1263</v>
      </c>
      <c r="AM2501">
        <f>103.655-97.31</f>
        <v>6.3449999999999989</v>
      </c>
      <c r="AP2501">
        <v>28</v>
      </c>
      <c r="AR2501" s="15" t="s">
        <v>1155</v>
      </c>
    </row>
    <row r="2502" spans="1:44" x14ac:dyDescent="0.2">
      <c r="A2502" t="s">
        <v>1378</v>
      </c>
      <c r="B2502" s="15" t="s">
        <v>1146</v>
      </c>
      <c r="C2502" s="15" t="s">
        <v>1149</v>
      </c>
      <c r="D2502" s="14" t="s">
        <v>475</v>
      </c>
      <c r="E2502" s="14" t="s">
        <v>3051</v>
      </c>
      <c r="G2502" s="15" t="s">
        <v>1165</v>
      </c>
      <c r="H2502" s="14" t="s">
        <v>1165</v>
      </c>
      <c r="I2502" s="14" t="s">
        <v>3033</v>
      </c>
      <c r="M2502" s="14" t="s">
        <v>3034</v>
      </c>
      <c r="O2502">
        <v>2004</v>
      </c>
      <c r="Q2502" t="s">
        <v>1329</v>
      </c>
      <c r="R2502">
        <v>14</v>
      </c>
      <c r="T2502" t="s">
        <v>3035</v>
      </c>
      <c r="U2502" s="14" t="s">
        <v>1246</v>
      </c>
      <c r="V2502" s="9" t="s">
        <v>3036</v>
      </c>
      <c r="W2502">
        <v>120</v>
      </c>
      <c r="X2502" s="9" t="s">
        <v>3039</v>
      </c>
      <c r="Z2502" s="5"/>
      <c r="AD2502" s="14" t="s">
        <v>1165</v>
      </c>
      <c r="AF2502" t="s">
        <v>1165</v>
      </c>
      <c r="AI2502" t="s">
        <v>1165</v>
      </c>
      <c r="AJ2502" s="15" t="s">
        <v>1148</v>
      </c>
      <c r="AK2502" s="15">
        <v>97.034000000000006</v>
      </c>
      <c r="AL2502" t="s">
        <v>1263</v>
      </c>
      <c r="AM2502">
        <f>103.655-97.034</f>
        <v>6.6209999999999951</v>
      </c>
      <c r="AP2502">
        <v>56</v>
      </c>
      <c r="AR2502" s="15" t="s">
        <v>1155</v>
      </c>
    </row>
    <row r="2503" spans="1:44" x14ac:dyDescent="0.2">
      <c r="A2503" t="s">
        <v>1378</v>
      </c>
      <c r="B2503" s="15" t="s">
        <v>1146</v>
      </c>
      <c r="C2503" s="15" t="s">
        <v>1149</v>
      </c>
      <c r="D2503" s="14" t="s">
        <v>475</v>
      </c>
      <c r="E2503" s="14" t="s">
        <v>3051</v>
      </c>
      <c r="G2503" s="15" t="s">
        <v>1165</v>
      </c>
      <c r="H2503" s="14" t="s">
        <v>1165</v>
      </c>
      <c r="I2503" s="14" t="s">
        <v>3033</v>
      </c>
      <c r="M2503" s="14" t="s">
        <v>3034</v>
      </c>
      <c r="O2503">
        <v>2004</v>
      </c>
      <c r="Q2503" t="s">
        <v>1329</v>
      </c>
      <c r="R2503">
        <v>14</v>
      </c>
      <c r="T2503" t="s">
        <v>3035</v>
      </c>
      <c r="U2503" s="14" t="s">
        <v>1246</v>
      </c>
      <c r="V2503" s="9" t="s">
        <v>3036</v>
      </c>
      <c r="W2503">
        <v>150</v>
      </c>
      <c r="X2503" s="9" t="s">
        <v>3039</v>
      </c>
      <c r="Z2503" s="5"/>
      <c r="AD2503" s="14" t="s">
        <v>1165</v>
      </c>
      <c r="AF2503" t="s">
        <v>1165</v>
      </c>
      <c r="AI2503" t="s">
        <v>1165</v>
      </c>
      <c r="AJ2503" s="15" t="s">
        <v>1148</v>
      </c>
      <c r="AK2503" s="15">
        <v>95.379000000000005</v>
      </c>
      <c r="AL2503" t="s">
        <v>1263</v>
      </c>
      <c r="AM2503">
        <f>101.172-95.379</f>
        <v>5.7929999999999922</v>
      </c>
      <c r="AP2503">
        <v>28</v>
      </c>
      <c r="AR2503" s="15" t="s">
        <v>1155</v>
      </c>
    </row>
    <row r="2504" spans="1:44" x14ac:dyDescent="0.2">
      <c r="A2504" t="s">
        <v>1378</v>
      </c>
      <c r="B2504" s="15" t="s">
        <v>1146</v>
      </c>
      <c r="C2504" s="15" t="s">
        <v>1149</v>
      </c>
      <c r="D2504" s="14" t="s">
        <v>475</v>
      </c>
      <c r="E2504" s="14" t="s">
        <v>3051</v>
      </c>
      <c r="G2504" s="15" t="s">
        <v>1165</v>
      </c>
      <c r="H2504" s="14" t="s">
        <v>1165</v>
      </c>
      <c r="I2504" s="14" t="s">
        <v>3033</v>
      </c>
      <c r="M2504" s="14" t="s">
        <v>3034</v>
      </c>
      <c r="O2504">
        <v>2004</v>
      </c>
      <c r="Q2504" t="s">
        <v>1329</v>
      </c>
      <c r="R2504">
        <v>14</v>
      </c>
      <c r="T2504" t="s">
        <v>3035</v>
      </c>
      <c r="U2504" s="14" t="s">
        <v>1246</v>
      </c>
      <c r="V2504" s="9" t="s">
        <v>3036</v>
      </c>
      <c r="W2504">
        <v>150</v>
      </c>
      <c r="X2504" s="9" t="s">
        <v>3039</v>
      </c>
      <c r="Z2504" s="5"/>
      <c r="AD2504" s="14" t="s">
        <v>1165</v>
      </c>
      <c r="AF2504" t="s">
        <v>1165</v>
      </c>
      <c r="AI2504" t="s">
        <v>1165</v>
      </c>
      <c r="AJ2504" s="15" t="s">
        <v>1148</v>
      </c>
      <c r="AK2504" s="15">
        <v>95.379000000000005</v>
      </c>
      <c r="AL2504" t="s">
        <v>1263</v>
      </c>
      <c r="AM2504">
        <f>101.172-95.379</f>
        <v>5.7929999999999922</v>
      </c>
      <c r="AP2504">
        <v>56</v>
      </c>
      <c r="AR2504" s="15" t="s">
        <v>1155</v>
      </c>
    </row>
    <row r="2505" spans="1:44" x14ac:dyDescent="0.2">
      <c r="A2505" t="s">
        <v>1378</v>
      </c>
      <c r="B2505" s="15" t="s">
        <v>1146</v>
      </c>
      <c r="C2505" s="15" t="s">
        <v>1149</v>
      </c>
      <c r="D2505" s="14" t="s">
        <v>475</v>
      </c>
      <c r="E2505" s="14" t="s">
        <v>3051</v>
      </c>
      <c r="G2505" s="15" t="s">
        <v>1165</v>
      </c>
      <c r="H2505" s="14" t="s">
        <v>1165</v>
      </c>
      <c r="I2505" s="14" t="s">
        <v>3033</v>
      </c>
      <c r="M2505" s="14" t="s">
        <v>3034</v>
      </c>
      <c r="O2505">
        <v>2004</v>
      </c>
      <c r="Q2505" t="s">
        <v>1329</v>
      </c>
      <c r="R2505">
        <v>14</v>
      </c>
      <c r="T2505" t="s">
        <v>3035</v>
      </c>
      <c r="U2505" s="14" t="s">
        <v>1246</v>
      </c>
      <c r="V2505" s="9" t="s">
        <v>3036</v>
      </c>
      <c r="W2505">
        <v>180</v>
      </c>
      <c r="X2505" s="9" t="s">
        <v>3039</v>
      </c>
      <c r="Z2505" s="5"/>
      <c r="AD2505" s="14" t="s">
        <v>1165</v>
      </c>
      <c r="AF2505" t="s">
        <v>1165</v>
      </c>
      <c r="AI2505" t="s">
        <v>1165</v>
      </c>
      <c r="AJ2505" s="15" t="s">
        <v>1148</v>
      </c>
      <c r="AK2505" s="15">
        <v>95.379000000000005</v>
      </c>
      <c r="AL2505" t="s">
        <v>1263</v>
      </c>
      <c r="AM2505">
        <f>102.276-95.379</f>
        <v>6.8969999999999914</v>
      </c>
      <c r="AP2505">
        <v>28</v>
      </c>
      <c r="AR2505" s="15" t="s">
        <v>1155</v>
      </c>
    </row>
    <row r="2506" spans="1:44" x14ac:dyDescent="0.2">
      <c r="A2506" t="s">
        <v>1378</v>
      </c>
      <c r="B2506" s="15" t="s">
        <v>1146</v>
      </c>
      <c r="C2506" s="15" t="s">
        <v>1149</v>
      </c>
      <c r="D2506" s="14" t="s">
        <v>475</v>
      </c>
      <c r="E2506" s="14" t="s">
        <v>3051</v>
      </c>
      <c r="G2506" s="15" t="s">
        <v>1165</v>
      </c>
      <c r="H2506" s="14" t="s">
        <v>1165</v>
      </c>
      <c r="I2506" s="14" t="s">
        <v>3033</v>
      </c>
      <c r="M2506" s="14" t="s">
        <v>3034</v>
      </c>
      <c r="O2506">
        <v>2004</v>
      </c>
      <c r="Q2506" t="s">
        <v>1329</v>
      </c>
      <c r="R2506">
        <v>14</v>
      </c>
      <c r="T2506" t="s">
        <v>3035</v>
      </c>
      <c r="U2506" s="14" t="s">
        <v>1246</v>
      </c>
      <c r="V2506" s="9" t="s">
        <v>3036</v>
      </c>
      <c r="W2506">
        <v>180</v>
      </c>
      <c r="X2506" s="9" t="s">
        <v>3039</v>
      </c>
      <c r="Z2506" s="5"/>
      <c r="AD2506" s="14" t="s">
        <v>1165</v>
      </c>
      <c r="AF2506" t="s">
        <v>1165</v>
      </c>
      <c r="AI2506" t="s">
        <v>1165</v>
      </c>
      <c r="AJ2506" s="15" t="s">
        <v>1148</v>
      </c>
      <c r="AK2506" s="15">
        <v>95.102999999999994</v>
      </c>
      <c r="AL2506" t="s">
        <v>1263</v>
      </c>
      <c r="AM2506">
        <f>102.276-95.103</f>
        <v>7.1730000000000018</v>
      </c>
      <c r="AP2506">
        <v>56</v>
      </c>
      <c r="AR2506" s="15" t="s">
        <v>1155</v>
      </c>
    </row>
    <row r="2507" spans="1:44" x14ac:dyDescent="0.2">
      <c r="A2507" t="s">
        <v>1378</v>
      </c>
      <c r="B2507" s="15" t="s">
        <v>1146</v>
      </c>
      <c r="C2507" s="15" t="s">
        <v>1149</v>
      </c>
      <c r="D2507" s="14" t="s">
        <v>475</v>
      </c>
      <c r="E2507" s="14" t="s">
        <v>3051</v>
      </c>
      <c r="G2507" s="15" t="s">
        <v>1165</v>
      </c>
      <c r="H2507" s="14" t="s">
        <v>1165</v>
      </c>
      <c r="I2507" s="14" t="s">
        <v>3033</v>
      </c>
      <c r="M2507" s="14" t="s">
        <v>3034</v>
      </c>
      <c r="O2507">
        <v>2004</v>
      </c>
      <c r="Q2507" t="s">
        <v>1329</v>
      </c>
      <c r="R2507">
        <v>14</v>
      </c>
      <c r="T2507" t="s">
        <v>3035</v>
      </c>
      <c r="U2507" s="14" t="s">
        <v>1246</v>
      </c>
      <c r="V2507" s="9" t="s">
        <v>3036</v>
      </c>
      <c r="W2507">
        <v>0</v>
      </c>
      <c r="X2507" s="9" t="s">
        <v>3040</v>
      </c>
      <c r="Z2507" s="5"/>
      <c r="AD2507" s="14" t="s">
        <v>1165</v>
      </c>
      <c r="AF2507" t="s">
        <v>1165</v>
      </c>
      <c r="AI2507" t="s">
        <v>1165</v>
      </c>
      <c r="AJ2507" s="15" t="s">
        <v>1148</v>
      </c>
      <c r="AK2507" s="15">
        <v>17.603000000000002</v>
      </c>
      <c r="AL2507" t="s">
        <v>1263</v>
      </c>
      <c r="AM2507">
        <f>21.438-17.603</f>
        <v>3.8349999999999973</v>
      </c>
      <c r="AP2507">
        <v>28</v>
      </c>
      <c r="AR2507" s="15" t="s">
        <v>1155</v>
      </c>
    </row>
    <row r="2508" spans="1:44" x14ac:dyDescent="0.2">
      <c r="A2508" t="s">
        <v>1378</v>
      </c>
      <c r="B2508" s="15" t="s">
        <v>1146</v>
      </c>
      <c r="C2508" s="15" t="s">
        <v>1149</v>
      </c>
      <c r="D2508" s="14" t="s">
        <v>475</v>
      </c>
      <c r="E2508" s="14" t="s">
        <v>3051</v>
      </c>
      <c r="G2508" s="15" t="s">
        <v>1165</v>
      </c>
      <c r="H2508" s="14" t="s">
        <v>1165</v>
      </c>
      <c r="I2508" s="14" t="s">
        <v>3033</v>
      </c>
      <c r="M2508" s="14" t="s">
        <v>3034</v>
      </c>
      <c r="O2508">
        <v>2004</v>
      </c>
      <c r="Q2508" t="s">
        <v>1329</v>
      </c>
      <c r="R2508">
        <v>14</v>
      </c>
      <c r="T2508" t="s">
        <v>3035</v>
      </c>
      <c r="U2508" s="14" t="s">
        <v>1246</v>
      </c>
      <c r="V2508" s="9" t="s">
        <v>3036</v>
      </c>
      <c r="W2508">
        <v>0</v>
      </c>
      <c r="X2508" s="9" t="s">
        <v>3040</v>
      </c>
      <c r="Z2508" s="5"/>
      <c r="AD2508" s="14" t="s">
        <v>1165</v>
      </c>
      <c r="AF2508" t="s">
        <v>1165</v>
      </c>
      <c r="AI2508" t="s">
        <v>1165</v>
      </c>
      <c r="AJ2508" s="15" t="s">
        <v>1148</v>
      </c>
      <c r="AK2508" s="15">
        <v>83.081999999999994</v>
      </c>
      <c r="AL2508" t="s">
        <v>1263</v>
      </c>
      <c r="AM2508">
        <f>89.384-83.082</f>
        <v>6.3020000000000067</v>
      </c>
      <c r="AP2508">
        <v>56</v>
      </c>
      <c r="AR2508" s="15" t="s">
        <v>1155</v>
      </c>
    </row>
    <row r="2509" spans="1:44" x14ac:dyDescent="0.2">
      <c r="A2509" t="s">
        <v>1378</v>
      </c>
      <c r="B2509" s="15" t="s">
        <v>1146</v>
      </c>
      <c r="C2509" s="15" t="s">
        <v>1149</v>
      </c>
      <c r="D2509" s="14" t="s">
        <v>475</v>
      </c>
      <c r="E2509" s="14" t="s">
        <v>3051</v>
      </c>
      <c r="G2509" s="15" t="s">
        <v>1165</v>
      </c>
      <c r="H2509" s="14" t="s">
        <v>1165</v>
      </c>
      <c r="I2509" s="14" t="s">
        <v>3033</v>
      </c>
      <c r="M2509" s="14" t="s">
        <v>3034</v>
      </c>
      <c r="O2509">
        <v>2004</v>
      </c>
      <c r="Q2509" t="s">
        <v>1329</v>
      </c>
      <c r="R2509">
        <v>14</v>
      </c>
      <c r="T2509" t="s">
        <v>3035</v>
      </c>
      <c r="U2509" s="14" t="s">
        <v>1246</v>
      </c>
      <c r="V2509" s="9" t="s">
        <v>3036</v>
      </c>
      <c r="W2509">
        <v>15</v>
      </c>
      <c r="X2509" s="9" t="s">
        <v>3040</v>
      </c>
      <c r="Z2509" s="5"/>
      <c r="AD2509" s="14" t="s">
        <v>1165</v>
      </c>
      <c r="AF2509" t="s">
        <v>1165</v>
      </c>
      <c r="AI2509" t="s">
        <v>1165</v>
      </c>
      <c r="AJ2509" s="15" t="s">
        <v>1148</v>
      </c>
      <c r="AK2509" s="15">
        <v>81.986000000000004</v>
      </c>
      <c r="AL2509" t="s">
        <v>1263</v>
      </c>
      <c r="AM2509">
        <f>88.562-81.986</f>
        <v>6.5759999999999934</v>
      </c>
      <c r="AP2509">
        <v>28</v>
      </c>
      <c r="AR2509" s="15" t="s">
        <v>1155</v>
      </c>
    </row>
    <row r="2510" spans="1:44" x14ac:dyDescent="0.2">
      <c r="A2510" t="s">
        <v>1378</v>
      </c>
      <c r="B2510" s="15" t="s">
        <v>1146</v>
      </c>
      <c r="C2510" s="15" t="s">
        <v>1149</v>
      </c>
      <c r="D2510" s="14" t="s">
        <v>475</v>
      </c>
      <c r="E2510" s="14" t="s">
        <v>3051</v>
      </c>
      <c r="G2510" s="15" t="s">
        <v>1165</v>
      </c>
      <c r="H2510" s="14" t="s">
        <v>1165</v>
      </c>
      <c r="I2510" s="14" t="s">
        <v>3033</v>
      </c>
      <c r="M2510" s="14" t="s">
        <v>3034</v>
      </c>
      <c r="O2510">
        <v>2004</v>
      </c>
      <c r="Q2510" t="s">
        <v>1329</v>
      </c>
      <c r="R2510">
        <v>14</v>
      </c>
      <c r="T2510" t="s">
        <v>3035</v>
      </c>
      <c r="U2510" s="14" t="s">
        <v>1246</v>
      </c>
      <c r="V2510" s="9" t="s">
        <v>3036</v>
      </c>
      <c r="W2510">
        <v>15</v>
      </c>
      <c r="X2510" s="9" t="s">
        <v>3040</v>
      </c>
      <c r="Z2510" s="5"/>
      <c r="AD2510" s="14" t="s">
        <v>1165</v>
      </c>
      <c r="AF2510" t="s">
        <v>1165</v>
      </c>
      <c r="AI2510" t="s">
        <v>1165</v>
      </c>
      <c r="AJ2510" s="15" t="s">
        <v>1148</v>
      </c>
      <c r="AK2510" s="15">
        <v>89.384</v>
      </c>
      <c r="AL2510" t="s">
        <v>1263</v>
      </c>
      <c r="AM2510">
        <f>95.411-89.384</f>
        <v>6.027000000000001</v>
      </c>
      <c r="AP2510">
        <v>56</v>
      </c>
      <c r="AR2510" s="15" t="s">
        <v>1155</v>
      </c>
    </row>
    <row r="2511" spans="1:44" x14ac:dyDescent="0.2">
      <c r="A2511" t="s">
        <v>1378</v>
      </c>
      <c r="B2511" s="15" t="s">
        <v>1146</v>
      </c>
      <c r="C2511" s="15" t="s">
        <v>1149</v>
      </c>
      <c r="D2511" s="14" t="s">
        <v>475</v>
      </c>
      <c r="E2511" s="14" t="s">
        <v>3051</v>
      </c>
      <c r="G2511" s="15" t="s">
        <v>1165</v>
      </c>
      <c r="H2511" s="14" t="s">
        <v>1165</v>
      </c>
      <c r="I2511" s="14" t="s">
        <v>3033</v>
      </c>
      <c r="M2511" s="14" t="s">
        <v>3034</v>
      </c>
      <c r="O2511">
        <v>2004</v>
      </c>
      <c r="Q2511" t="s">
        <v>1329</v>
      </c>
      <c r="R2511">
        <v>14</v>
      </c>
      <c r="T2511" t="s">
        <v>3035</v>
      </c>
      <c r="U2511" s="14" t="s">
        <v>1246</v>
      </c>
      <c r="V2511" s="9" t="s">
        <v>3036</v>
      </c>
      <c r="W2511">
        <v>30</v>
      </c>
      <c r="X2511" s="9" t="s">
        <v>3040</v>
      </c>
      <c r="Z2511" s="5"/>
      <c r="AD2511" s="14" t="s">
        <v>1165</v>
      </c>
      <c r="AF2511" t="s">
        <v>1165</v>
      </c>
      <c r="AI2511" t="s">
        <v>1165</v>
      </c>
      <c r="AJ2511" s="15" t="s">
        <v>1148</v>
      </c>
      <c r="AK2511" s="15">
        <v>71.849000000000004</v>
      </c>
      <c r="AL2511" t="s">
        <v>1263</v>
      </c>
      <c r="AM2511">
        <f>75.685-71.849</f>
        <v>3.8359999999999985</v>
      </c>
      <c r="AP2511">
        <v>28</v>
      </c>
      <c r="AR2511" s="15" t="s">
        <v>1155</v>
      </c>
    </row>
    <row r="2512" spans="1:44" x14ac:dyDescent="0.2">
      <c r="A2512" t="s">
        <v>1378</v>
      </c>
      <c r="B2512" s="15" t="s">
        <v>1146</v>
      </c>
      <c r="C2512" s="15" t="s">
        <v>1149</v>
      </c>
      <c r="D2512" s="14" t="s">
        <v>475</v>
      </c>
      <c r="E2512" s="14" t="s">
        <v>3051</v>
      </c>
      <c r="G2512" s="15" t="s">
        <v>1165</v>
      </c>
      <c r="H2512" s="14" t="s">
        <v>1165</v>
      </c>
      <c r="I2512" s="14" t="s">
        <v>3033</v>
      </c>
      <c r="M2512" s="14" t="s">
        <v>3034</v>
      </c>
      <c r="O2512">
        <v>2004</v>
      </c>
      <c r="Q2512" t="s">
        <v>1329</v>
      </c>
      <c r="R2512">
        <v>14</v>
      </c>
      <c r="T2512" t="s">
        <v>3035</v>
      </c>
      <c r="U2512" s="14" t="s">
        <v>1246</v>
      </c>
      <c r="V2512" s="9" t="s">
        <v>3036</v>
      </c>
      <c r="W2512">
        <v>30</v>
      </c>
      <c r="X2512" s="9" t="s">
        <v>3040</v>
      </c>
      <c r="Z2512" s="5"/>
      <c r="AD2512" s="14" t="s">
        <v>1165</v>
      </c>
      <c r="AF2512" t="s">
        <v>1165</v>
      </c>
      <c r="AI2512" t="s">
        <v>1165</v>
      </c>
      <c r="AJ2512" s="15" t="s">
        <v>1148</v>
      </c>
      <c r="AK2512" s="15">
        <v>78.150999999999996</v>
      </c>
      <c r="AL2512" t="s">
        <v>1263</v>
      </c>
      <c r="AM2512">
        <f>82.534-78.151</f>
        <v>4.3830000000000098</v>
      </c>
      <c r="AP2512">
        <v>56</v>
      </c>
      <c r="AR2512" s="15" t="s">
        <v>1155</v>
      </c>
    </row>
    <row r="2513" spans="1:44" x14ac:dyDescent="0.2">
      <c r="A2513" t="s">
        <v>1378</v>
      </c>
      <c r="B2513" s="15" t="s">
        <v>1146</v>
      </c>
      <c r="C2513" s="15" t="s">
        <v>1149</v>
      </c>
      <c r="D2513" s="14" t="s">
        <v>475</v>
      </c>
      <c r="E2513" s="14" t="s">
        <v>3051</v>
      </c>
      <c r="G2513" s="15" t="s">
        <v>1165</v>
      </c>
      <c r="H2513" s="14" t="s">
        <v>1165</v>
      </c>
      <c r="I2513" s="14" t="s">
        <v>3033</v>
      </c>
      <c r="M2513" s="14" t="s">
        <v>3034</v>
      </c>
      <c r="O2513">
        <v>2004</v>
      </c>
      <c r="Q2513" t="s">
        <v>1329</v>
      </c>
      <c r="R2513">
        <v>14</v>
      </c>
      <c r="T2513" t="s">
        <v>3035</v>
      </c>
      <c r="U2513" s="14" t="s">
        <v>1246</v>
      </c>
      <c r="V2513" s="9" t="s">
        <v>3036</v>
      </c>
      <c r="W2513">
        <v>60</v>
      </c>
      <c r="X2513" s="9" t="s">
        <v>3040</v>
      </c>
      <c r="Z2513" s="5"/>
      <c r="AD2513" s="14" t="s">
        <v>1165</v>
      </c>
      <c r="AF2513" t="s">
        <v>1165</v>
      </c>
      <c r="AI2513" t="s">
        <v>1165</v>
      </c>
      <c r="AJ2513" s="15" t="s">
        <v>1148</v>
      </c>
      <c r="AK2513" s="15">
        <v>85.822000000000003</v>
      </c>
      <c r="AL2513" t="s">
        <v>1263</v>
      </c>
      <c r="AM2513">
        <f>90.205-85.822</f>
        <v>4.3829999999999956</v>
      </c>
      <c r="AP2513">
        <v>28</v>
      </c>
      <c r="AR2513" s="15" t="s">
        <v>1155</v>
      </c>
    </row>
    <row r="2514" spans="1:44" x14ac:dyDescent="0.2">
      <c r="A2514" t="s">
        <v>1378</v>
      </c>
      <c r="B2514" s="15" t="s">
        <v>1146</v>
      </c>
      <c r="C2514" s="15" t="s">
        <v>1149</v>
      </c>
      <c r="D2514" s="14" t="s">
        <v>475</v>
      </c>
      <c r="E2514" s="14" t="s">
        <v>3051</v>
      </c>
      <c r="G2514" s="15" t="s">
        <v>1165</v>
      </c>
      <c r="H2514" s="14" t="s">
        <v>1165</v>
      </c>
      <c r="I2514" s="14" t="s">
        <v>3033</v>
      </c>
      <c r="M2514" s="14" t="s">
        <v>3034</v>
      </c>
      <c r="O2514">
        <v>2004</v>
      </c>
      <c r="Q2514" t="s">
        <v>1329</v>
      </c>
      <c r="R2514">
        <v>14</v>
      </c>
      <c r="T2514" t="s">
        <v>3035</v>
      </c>
      <c r="U2514" s="14" t="s">
        <v>1246</v>
      </c>
      <c r="V2514" s="9" t="s">
        <v>3036</v>
      </c>
      <c r="W2514">
        <v>60</v>
      </c>
      <c r="X2514" s="9" t="s">
        <v>3040</v>
      </c>
      <c r="Z2514" s="5"/>
      <c r="AD2514" s="14" t="s">
        <v>1165</v>
      </c>
      <c r="AF2514" t="s">
        <v>1165</v>
      </c>
      <c r="AI2514" t="s">
        <v>1165</v>
      </c>
      <c r="AJ2514" s="15" t="s">
        <v>1148</v>
      </c>
      <c r="AK2514" s="15">
        <v>89.11</v>
      </c>
      <c r="AL2514" t="s">
        <v>1263</v>
      </c>
      <c r="AM2514">
        <f>92.671-89.11</f>
        <v>3.561000000000007</v>
      </c>
      <c r="AP2514">
        <v>56</v>
      </c>
      <c r="AR2514" s="15" t="s">
        <v>1155</v>
      </c>
    </row>
    <row r="2515" spans="1:44" x14ac:dyDescent="0.2">
      <c r="A2515" t="s">
        <v>1378</v>
      </c>
      <c r="B2515" s="15" t="s">
        <v>1146</v>
      </c>
      <c r="C2515" s="15" t="s">
        <v>1149</v>
      </c>
      <c r="D2515" s="14" t="s">
        <v>475</v>
      </c>
      <c r="E2515" s="14" t="s">
        <v>3051</v>
      </c>
      <c r="G2515" s="15" t="s">
        <v>1165</v>
      </c>
      <c r="H2515" s="14" t="s">
        <v>1165</v>
      </c>
      <c r="I2515" s="14" t="s">
        <v>3033</v>
      </c>
      <c r="M2515" s="14" t="s">
        <v>3034</v>
      </c>
      <c r="O2515">
        <v>2004</v>
      </c>
      <c r="Q2515" t="s">
        <v>1329</v>
      </c>
      <c r="R2515">
        <v>14</v>
      </c>
      <c r="T2515" t="s">
        <v>3035</v>
      </c>
      <c r="U2515" s="14" t="s">
        <v>1246</v>
      </c>
      <c r="V2515" s="9" t="s">
        <v>3036</v>
      </c>
      <c r="W2515">
        <v>90</v>
      </c>
      <c r="X2515" s="9" t="s">
        <v>3040</v>
      </c>
      <c r="Z2515" s="5"/>
      <c r="AD2515" s="14" t="s">
        <v>1165</v>
      </c>
      <c r="AF2515" t="s">
        <v>1165</v>
      </c>
      <c r="AI2515" t="s">
        <v>1165</v>
      </c>
      <c r="AJ2515" s="15" t="s">
        <v>1148</v>
      </c>
      <c r="AK2515" s="15">
        <v>74.314999999999998</v>
      </c>
      <c r="AL2515" t="s">
        <v>1263</v>
      </c>
      <c r="AM2515">
        <f>78.699-74.315</f>
        <v>4.3840000000000003</v>
      </c>
      <c r="AP2515">
        <v>28</v>
      </c>
      <c r="AR2515" s="15" t="s">
        <v>1155</v>
      </c>
    </row>
    <row r="2516" spans="1:44" x14ac:dyDescent="0.2">
      <c r="A2516" t="s">
        <v>1378</v>
      </c>
      <c r="B2516" s="15" t="s">
        <v>1146</v>
      </c>
      <c r="C2516" s="15" t="s">
        <v>1149</v>
      </c>
      <c r="D2516" s="14" t="s">
        <v>475</v>
      </c>
      <c r="E2516" s="14" t="s">
        <v>3051</v>
      </c>
      <c r="G2516" s="15" t="s">
        <v>1165</v>
      </c>
      <c r="H2516" s="14" t="s">
        <v>1165</v>
      </c>
      <c r="I2516" s="14" t="s">
        <v>3033</v>
      </c>
      <c r="M2516" s="14" t="s">
        <v>3034</v>
      </c>
      <c r="O2516">
        <v>2004</v>
      </c>
      <c r="Q2516" t="s">
        <v>1329</v>
      </c>
      <c r="R2516">
        <v>14</v>
      </c>
      <c r="T2516" t="s">
        <v>3035</v>
      </c>
      <c r="U2516" s="14" t="s">
        <v>1246</v>
      </c>
      <c r="V2516" s="9" t="s">
        <v>3036</v>
      </c>
      <c r="W2516">
        <v>90</v>
      </c>
      <c r="X2516" s="9" t="s">
        <v>3040</v>
      </c>
      <c r="Z2516" s="5"/>
      <c r="AD2516" s="14" t="s">
        <v>1165</v>
      </c>
      <c r="AF2516" t="s">
        <v>1165</v>
      </c>
      <c r="AI2516" t="s">
        <v>1165</v>
      </c>
      <c r="AJ2516" s="15" t="s">
        <v>1148</v>
      </c>
      <c r="AK2516" s="15">
        <v>75.411000000000001</v>
      </c>
      <c r="AL2516" t="s">
        <v>1263</v>
      </c>
      <c r="AM2516">
        <f>79.521-75.411</f>
        <v>4.1099999999999994</v>
      </c>
      <c r="AP2516">
        <v>56</v>
      </c>
      <c r="AR2516" s="15" t="s">
        <v>1155</v>
      </c>
    </row>
    <row r="2517" spans="1:44" x14ac:dyDescent="0.2">
      <c r="A2517" t="s">
        <v>1378</v>
      </c>
      <c r="B2517" s="15" t="s">
        <v>1146</v>
      </c>
      <c r="C2517" s="15" t="s">
        <v>1149</v>
      </c>
      <c r="D2517" s="14" t="s">
        <v>475</v>
      </c>
      <c r="E2517" s="14" t="s">
        <v>3051</v>
      </c>
      <c r="G2517" s="15" t="s">
        <v>1165</v>
      </c>
      <c r="H2517" s="14" t="s">
        <v>1165</v>
      </c>
      <c r="I2517" s="14" t="s">
        <v>3033</v>
      </c>
      <c r="M2517" s="14" t="s">
        <v>3034</v>
      </c>
      <c r="O2517">
        <v>2004</v>
      </c>
      <c r="Q2517" t="s">
        <v>1329</v>
      </c>
      <c r="R2517">
        <v>14</v>
      </c>
      <c r="T2517" t="s">
        <v>3035</v>
      </c>
      <c r="U2517" s="14" t="s">
        <v>1246</v>
      </c>
      <c r="V2517" s="9" t="s">
        <v>3036</v>
      </c>
      <c r="W2517">
        <v>120</v>
      </c>
      <c r="X2517" s="9" t="s">
        <v>3040</v>
      </c>
      <c r="Z2517" s="5"/>
      <c r="AD2517" s="14" t="s">
        <v>1165</v>
      </c>
      <c r="AF2517" t="s">
        <v>1165</v>
      </c>
      <c r="AI2517" t="s">
        <v>1165</v>
      </c>
      <c r="AJ2517" s="15" t="s">
        <v>1148</v>
      </c>
      <c r="AK2517" s="15">
        <v>91.849000000000004</v>
      </c>
      <c r="AL2517" t="s">
        <v>1263</v>
      </c>
      <c r="AM2517">
        <f>97.877-91.849</f>
        <v>6.0279999999999916</v>
      </c>
      <c r="AP2517">
        <v>28</v>
      </c>
      <c r="AR2517" s="15" t="s">
        <v>1155</v>
      </c>
    </row>
    <row r="2518" spans="1:44" x14ac:dyDescent="0.2">
      <c r="A2518" t="s">
        <v>1378</v>
      </c>
      <c r="B2518" s="15" t="s">
        <v>1146</v>
      </c>
      <c r="C2518" s="15" t="s">
        <v>1149</v>
      </c>
      <c r="D2518" s="14" t="s">
        <v>475</v>
      </c>
      <c r="E2518" s="14" t="s">
        <v>3051</v>
      </c>
      <c r="G2518" s="15" t="s">
        <v>1165</v>
      </c>
      <c r="H2518" s="14" t="s">
        <v>1165</v>
      </c>
      <c r="I2518" s="14" t="s">
        <v>3033</v>
      </c>
      <c r="M2518" s="14" t="s">
        <v>3034</v>
      </c>
      <c r="O2518">
        <v>2004</v>
      </c>
      <c r="Q2518" t="s">
        <v>1329</v>
      </c>
      <c r="R2518">
        <v>14</v>
      </c>
      <c r="T2518" t="s">
        <v>3035</v>
      </c>
      <c r="U2518" s="14" t="s">
        <v>1246</v>
      </c>
      <c r="V2518" s="9" t="s">
        <v>3036</v>
      </c>
      <c r="W2518">
        <v>120</v>
      </c>
      <c r="X2518" s="9" t="s">
        <v>3040</v>
      </c>
      <c r="Z2518" s="5"/>
      <c r="AD2518" s="14" t="s">
        <v>1165</v>
      </c>
      <c r="AF2518" t="s">
        <v>1165</v>
      </c>
      <c r="AI2518" t="s">
        <v>1165</v>
      </c>
      <c r="AJ2518" s="15" t="s">
        <v>1148</v>
      </c>
      <c r="AK2518" s="15">
        <v>92.123000000000005</v>
      </c>
      <c r="AL2518" t="s">
        <v>1263</v>
      </c>
      <c r="AM2518">
        <f>97.877-92.123</f>
        <v>5.7539999999999907</v>
      </c>
      <c r="AP2518">
        <v>56</v>
      </c>
      <c r="AR2518" s="15" t="s">
        <v>1155</v>
      </c>
    </row>
    <row r="2519" spans="1:44" x14ac:dyDescent="0.2">
      <c r="A2519" t="s">
        <v>1378</v>
      </c>
      <c r="B2519" s="15" t="s">
        <v>1146</v>
      </c>
      <c r="C2519" s="15" t="s">
        <v>1149</v>
      </c>
      <c r="D2519" s="14" t="s">
        <v>475</v>
      </c>
      <c r="E2519" s="14" t="s">
        <v>3051</v>
      </c>
      <c r="G2519" s="15" t="s">
        <v>1165</v>
      </c>
      <c r="H2519" s="14" t="s">
        <v>1165</v>
      </c>
      <c r="I2519" s="14" t="s">
        <v>3033</v>
      </c>
      <c r="M2519" s="14" t="s">
        <v>3034</v>
      </c>
      <c r="O2519">
        <v>2004</v>
      </c>
      <c r="Q2519" t="s">
        <v>1329</v>
      </c>
      <c r="R2519">
        <v>14</v>
      </c>
      <c r="T2519" t="s">
        <v>3035</v>
      </c>
      <c r="U2519" s="14" t="s">
        <v>1246</v>
      </c>
      <c r="V2519" s="9" t="s">
        <v>3036</v>
      </c>
      <c r="W2519">
        <v>150</v>
      </c>
      <c r="X2519" s="9" t="s">
        <v>3040</v>
      </c>
      <c r="Z2519" s="5"/>
      <c r="AD2519" s="14" t="s">
        <v>1165</v>
      </c>
      <c r="AF2519" t="s">
        <v>1165</v>
      </c>
      <c r="AI2519" t="s">
        <v>1165</v>
      </c>
      <c r="AJ2519" s="15" t="s">
        <v>1148</v>
      </c>
      <c r="AK2519" s="15">
        <v>80.89</v>
      </c>
      <c r="AL2519" t="s">
        <v>1263</v>
      </c>
      <c r="AM2519">
        <f>88.288-80.89</f>
        <v>7.3979999999999961</v>
      </c>
      <c r="AP2519">
        <v>28</v>
      </c>
      <c r="AR2519" s="15" t="s">
        <v>1155</v>
      </c>
    </row>
    <row r="2520" spans="1:44" x14ac:dyDescent="0.2">
      <c r="A2520" t="s">
        <v>1378</v>
      </c>
      <c r="B2520" s="15" t="s">
        <v>1146</v>
      </c>
      <c r="C2520" s="15" t="s">
        <v>1149</v>
      </c>
      <c r="D2520" s="14" t="s">
        <v>475</v>
      </c>
      <c r="E2520" s="14" t="s">
        <v>3051</v>
      </c>
      <c r="G2520" s="15" t="s">
        <v>1165</v>
      </c>
      <c r="H2520" s="14" t="s">
        <v>1165</v>
      </c>
      <c r="I2520" s="14" t="s">
        <v>3033</v>
      </c>
      <c r="M2520" s="14" t="s">
        <v>3034</v>
      </c>
      <c r="O2520">
        <v>2004</v>
      </c>
      <c r="Q2520" t="s">
        <v>1329</v>
      </c>
      <c r="R2520">
        <v>14</v>
      </c>
      <c r="T2520" t="s">
        <v>3035</v>
      </c>
      <c r="U2520" s="14" t="s">
        <v>1246</v>
      </c>
      <c r="V2520" s="9" t="s">
        <v>3036</v>
      </c>
      <c r="W2520">
        <v>150</v>
      </c>
      <c r="X2520" s="9" t="s">
        <v>3040</v>
      </c>
      <c r="Z2520" s="5"/>
      <c r="AD2520" s="14" t="s">
        <v>1165</v>
      </c>
      <c r="AF2520" t="s">
        <v>1165</v>
      </c>
      <c r="AI2520" t="s">
        <v>1165</v>
      </c>
      <c r="AJ2520" s="15" t="s">
        <v>1148</v>
      </c>
      <c r="AK2520" s="15">
        <v>81.438000000000002</v>
      </c>
      <c r="AL2520" t="s">
        <v>1263</v>
      </c>
      <c r="AM2520">
        <f>88.562-81.438</f>
        <v>7.1239999999999952</v>
      </c>
      <c r="AP2520">
        <v>56</v>
      </c>
      <c r="AR2520" s="15" t="s">
        <v>1155</v>
      </c>
    </row>
    <row r="2521" spans="1:44" x14ac:dyDescent="0.2">
      <c r="A2521" t="s">
        <v>1378</v>
      </c>
      <c r="B2521" s="15" t="s">
        <v>1146</v>
      </c>
      <c r="C2521" s="15" t="s">
        <v>1149</v>
      </c>
      <c r="D2521" s="14" t="s">
        <v>475</v>
      </c>
      <c r="E2521" s="14" t="s">
        <v>3051</v>
      </c>
      <c r="G2521" s="15" t="s">
        <v>1165</v>
      </c>
      <c r="H2521" s="14" t="s">
        <v>1165</v>
      </c>
      <c r="I2521" s="14" t="s">
        <v>3033</v>
      </c>
      <c r="M2521" s="14" t="s">
        <v>3034</v>
      </c>
      <c r="O2521">
        <v>2004</v>
      </c>
      <c r="Q2521" t="s">
        <v>1329</v>
      </c>
      <c r="R2521">
        <v>14</v>
      </c>
      <c r="T2521" t="s">
        <v>3035</v>
      </c>
      <c r="U2521" s="14" t="s">
        <v>1246</v>
      </c>
      <c r="V2521" s="9" t="s">
        <v>3036</v>
      </c>
      <c r="W2521">
        <v>180</v>
      </c>
      <c r="X2521" s="9" t="s">
        <v>3040</v>
      </c>
      <c r="Z2521" s="5"/>
      <c r="AD2521" s="14" t="s">
        <v>1165</v>
      </c>
      <c r="AF2521" t="s">
        <v>1165</v>
      </c>
      <c r="AI2521" t="s">
        <v>1165</v>
      </c>
      <c r="AJ2521" s="15" t="s">
        <v>1148</v>
      </c>
      <c r="AK2521" s="15">
        <v>56.232999999999997</v>
      </c>
      <c r="AL2521" t="s">
        <v>1263</v>
      </c>
      <c r="AM2521">
        <f>61.986-56.233</f>
        <v>5.7530000000000001</v>
      </c>
      <c r="AP2521">
        <v>28</v>
      </c>
      <c r="AR2521" s="15" t="s">
        <v>1155</v>
      </c>
    </row>
    <row r="2522" spans="1:44" x14ac:dyDescent="0.2">
      <c r="A2522" t="s">
        <v>1378</v>
      </c>
      <c r="B2522" s="15" t="s">
        <v>1146</v>
      </c>
      <c r="C2522" s="15" t="s">
        <v>1149</v>
      </c>
      <c r="D2522" s="14" t="s">
        <v>475</v>
      </c>
      <c r="E2522" s="14" t="s">
        <v>3051</v>
      </c>
      <c r="G2522" s="15" t="s">
        <v>1165</v>
      </c>
      <c r="H2522" s="14" t="s">
        <v>1165</v>
      </c>
      <c r="I2522" s="14" t="s">
        <v>3033</v>
      </c>
      <c r="M2522" s="14" t="s">
        <v>3034</v>
      </c>
      <c r="O2522">
        <v>2004</v>
      </c>
      <c r="Q2522" t="s">
        <v>1329</v>
      </c>
      <c r="R2522">
        <v>14</v>
      </c>
      <c r="T2522" t="s">
        <v>3035</v>
      </c>
      <c r="U2522" s="14" t="s">
        <v>1246</v>
      </c>
      <c r="V2522" s="9" t="s">
        <v>3036</v>
      </c>
      <c r="W2522">
        <v>180</v>
      </c>
      <c r="X2522" s="9" t="s">
        <v>3040</v>
      </c>
      <c r="Z2522" s="5"/>
      <c r="AD2522" s="14" t="s">
        <v>1165</v>
      </c>
      <c r="AF2522" t="s">
        <v>1165</v>
      </c>
      <c r="AI2522" t="s">
        <v>1165</v>
      </c>
      <c r="AJ2522" s="15" t="s">
        <v>1148</v>
      </c>
      <c r="AK2522" s="15">
        <v>58.151000000000003</v>
      </c>
      <c r="AL2522" t="s">
        <v>1263</v>
      </c>
      <c r="AM2522">
        <f>63.356-58.151</f>
        <v>5.2049999999999983</v>
      </c>
      <c r="AP2522">
        <v>56</v>
      </c>
      <c r="AR2522" s="15" t="s">
        <v>1155</v>
      </c>
    </row>
    <row r="2523" spans="1:44" x14ac:dyDescent="0.2">
      <c r="A2523" t="s">
        <v>1663</v>
      </c>
      <c r="B2523" s="15" t="s">
        <v>1146</v>
      </c>
      <c r="C2523" s="15" t="s">
        <v>1149</v>
      </c>
      <c r="D2523" s="14" t="s">
        <v>660</v>
      </c>
      <c r="E2523" s="14" t="s">
        <v>661</v>
      </c>
      <c r="G2523" s="15" t="s">
        <v>1165</v>
      </c>
      <c r="H2523" s="14" t="s">
        <v>1165</v>
      </c>
      <c r="I2523" s="14" t="s">
        <v>3054</v>
      </c>
      <c r="J2523">
        <v>41.033333333333303</v>
      </c>
      <c r="K2523">
        <v>17.033333333333299</v>
      </c>
      <c r="M2523" s="14" t="s">
        <v>1157</v>
      </c>
      <c r="O2523">
        <v>2017</v>
      </c>
      <c r="Q2523" t="s">
        <v>3056</v>
      </c>
      <c r="R2523" t="s">
        <v>3057</v>
      </c>
      <c r="T2523">
        <v>65</v>
      </c>
      <c r="U2523" s="14" t="s">
        <v>1340</v>
      </c>
      <c r="V2523" s="9" t="s">
        <v>1201</v>
      </c>
      <c r="W2523">
        <v>60</v>
      </c>
      <c r="X2523" s="20">
        <v>10</v>
      </c>
      <c r="AD2523" s="14" t="s">
        <v>1165</v>
      </c>
      <c r="AF2523" t="s">
        <v>1165</v>
      </c>
      <c r="AI2523" t="s">
        <v>153</v>
      </c>
      <c r="AJ2523" s="15" t="s">
        <v>1148</v>
      </c>
      <c r="AK2523" s="15">
        <v>52.140999999999998</v>
      </c>
      <c r="AL2523" t="s">
        <v>1277</v>
      </c>
      <c r="AM2523">
        <f>53.554-51.435</f>
        <v>2.1189999999999998</v>
      </c>
      <c r="AN2523">
        <v>3</v>
      </c>
      <c r="AO2523">
        <v>30</v>
      </c>
      <c r="AP2523">
        <f>3*30</f>
        <v>90</v>
      </c>
      <c r="AR2523" s="15" t="s">
        <v>1335</v>
      </c>
    </row>
    <row r="2524" spans="1:44" x14ac:dyDescent="0.2">
      <c r="A2524" s="21" t="s">
        <v>1663</v>
      </c>
      <c r="B2524" s="21" t="s">
        <v>1146</v>
      </c>
      <c r="C2524" s="21" t="s">
        <v>1149</v>
      </c>
      <c r="D2524" s="21" t="s">
        <v>660</v>
      </c>
      <c r="E2524" s="21" t="s">
        <v>661</v>
      </c>
      <c r="F2524" s="22"/>
      <c r="G2524" s="21" t="s">
        <v>1165</v>
      </c>
      <c r="H2524" s="21" t="s">
        <v>1165</v>
      </c>
      <c r="I2524" s="21" t="s">
        <v>3055</v>
      </c>
      <c r="J2524" s="21">
        <v>41.033333300000002</v>
      </c>
      <c r="K2524" s="21">
        <v>17.033333299999999</v>
      </c>
      <c r="L2524" s="22"/>
      <c r="M2524" s="21" t="s">
        <v>1157</v>
      </c>
      <c r="N2524" s="22"/>
      <c r="O2524" s="21">
        <v>2017</v>
      </c>
      <c r="P2524" s="22"/>
      <c r="Q2524" s="21" t="s">
        <v>3056</v>
      </c>
      <c r="R2524" s="21" t="s">
        <v>3057</v>
      </c>
      <c r="T2524" s="21">
        <v>65</v>
      </c>
      <c r="U2524" s="22"/>
      <c r="V2524" s="22"/>
      <c r="W2524" s="22"/>
      <c r="X2524" s="21">
        <v>10</v>
      </c>
      <c r="Y2524" s="22"/>
      <c r="Z2524" s="22"/>
      <c r="AA2524" s="22"/>
      <c r="AB2524" s="22"/>
      <c r="AC2524" s="22"/>
      <c r="AD2524" s="22" t="s">
        <v>1165</v>
      </c>
      <c r="AE2524" s="22"/>
      <c r="AF2524" s="22" t="s">
        <v>1165</v>
      </c>
      <c r="AG2524" s="22"/>
      <c r="AH2524" s="22"/>
      <c r="AI2524" s="21" t="s">
        <v>153</v>
      </c>
      <c r="AJ2524" s="21" t="s">
        <v>1148</v>
      </c>
      <c r="AK2524" s="21">
        <v>10.066000000000001</v>
      </c>
      <c r="AL2524" s="21" t="s">
        <v>1277</v>
      </c>
      <c r="AM2524" s="21">
        <v>3.1789999999999998</v>
      </c>
      <c r="AN2524" s="21">
        <v>3</v>
      </c>
      <c r="AO2524" s="21">
        <v>30</v>
      </c>
      <c r="AP2524" s="21">
        <v>90</v>
      </c>
      <c r="AQ2524" s="22"/>
      <c r="AR2524" s="21" t="s">
        <v>1207</v>
      </c>
    </row>
    <row r="2525" spans="1:44" x14ac:dyDescent="0.2">
      <c r="A2525" s="21" t="s">
        <v>1663</v>
      </c>
      <c r="B2525" s="21" t="s">
        <v>1146</v>
      </c>
      <c r="C2525" s="21" t="s">
        <v>1149</v>
      </c>
      <c r="D2525" s="21" t="s">
        <v>660</v>
      </c>
      <c r="E2525" s="21" t="s">
        <v>661</v>
      </c>
      <c r="F2525" s="22"/>
      <c r="G2525" s="21" t="s">
        <v>1165</v>
      </c>
      <c r="H2525" s="21" t="s">
        <v>1165</v>
      </c>
      <c r="I2525" s="21" t="s">
        <v>3055</v>
      </c>
      <c r="J2525" s="21">
        <v>41.033333300000002</v>
      </c>
      <c r="K2525" s="21">
        <v>17.033333299999999</v>
      </c>
      <c r="L2525" s="22"/>
      <c r="M2525" s="21" t="s">
        <v>1157</v>
      </c>
      <c r="N2525" s="22"/>
      <c r="O2525" s="21">
        <v>2017</v>
      </c>
      <c r="P2525" s="22"/>
      <c r="Q2525" s="21" t="s">
        <v>3056</v>
      </c>
      <c r="R2525" s="21" t="s">
        <v>3057</v>
      </c>
      <c r="T2525" s="21">
        <v>65</v>
      </c>
      <c r="U2525" s="21" t="s">
        <v>1340</v>
      </c>
      <c r="V2525" s="21">
        <v>25</v>
      </c>
      <c r="W2525" s="21">
        <v>60</v>
      </c>
      <c r="X2525" s="21">
        <v>10</v>
      </c>
      <c r="Y2525" s="22"/>
      <c r="Z2525" s="22"/>
      <c r="AA2525" s="22"/>
      <c r="AB2525" s="22"/>
      <c r="AC2525" s="22"/>
      <c r="AD2525" s="22" t="s">
        <v>1165</v>
      </c>
      <c r="AE2525" s="22"/>
      <c r="AF2525" s="22" t="s">
        <v>1165</v>
      </c>
      <c r="AG2525" s="22"/>
      <c r="AH2525" s="22"/>
      <c r="AI2525" s="21" t="s">
        <v>153</v>
      </c>
      <c r="AJ2525" s="21" t="s">
        <v>1148</v>
      </c>
      <c r="AK2525" s="21">
        <v>55.363999999999997</v>
      </c>
      <c r="AL2525" s="21" t="s">
        <v>1277</v>
      </c>
      <c r="AM2525" s="21">
        <v>1.8540000000000001</v>
      </c>
      <c r="AN2525" s="21">
        <v>3</v>
      </c>
      <c r="AO2525" s="21">
        <v>30</v>
      </c>
      <c r="AP2525" s="21">
        <v>180</v>
      </c>
      <c r="AQ2525" s="22"/>
      <c r="AR2525" s="21" t="s">
        <v>1207</v>
      </c>
    </row>
    <row r="2526" spans="1:44" x14ac:dyDescent="0.2">
      <c r="A2526" s="21" t="s">
        <v>1663</v>
      </c>
      <c r="B2526" s="21" t="s">
        <v>1146</v>
      </c>
      <c r="C2526" s="21" t="s">
        <v>1149</v>
      </c>
      <c r="D2526" s="21" t="s">
        <v>660</v>
      </c>
      <c r="E2526" s="21" t="s">
        <v>661</v>
      </c>
      <c r="F2526" s="22"/>
      <c r="G2526" s="21" t="s">
        <v>1165</v>
      </c>
      <c r="H2526" s="21" t="s">
        <v>1165</v>
      </c>
      <c r="I2526" s="21" t="s">
        <v>3055</v>
      </c>
      <c r="J2526" s="21">
        <v>41.033333300000002</v>
      </c>
      <c r="K2526" s="21">
        <v>17.033333299999999</v>
      </c>
      <c r="L2526" s="22"/>
      <c r="M2526" s="21" t="s">
        <v>1157</v>
      </c>
      <c r="N2526" s="22"/>
      <c r="O2526" s="21">
        <v>2017</v>
      </c>
      <c r="P2526" s="22"/>
      <c r="Q2526" s="21" t="s">
        <v>3056</v>
      </c>
      <c r="R2526" s="21" t="s">
        <v>3057</v>
      </c>
      <c r="T2526" s="21">
        <v>65</v>
      </c>
      <c r="U2526" s="22"/>
      <c r="V2526" s="22"/>
      <c r="W2526" s="22"/>
      <c r="X2526" s="21">
        <v>10</v>
      </c>
      <c r="Y2526" s="22"/>
      <c r="Z2526" s="22"/>
      <c r="AA2526" s="22"/>
      <c r="AB2526" s="22"/>
      <c r="AC2526" s="22"/>
      <c r="AD2526" s="22" t="s">
        <v>1165</v>
      </c>
      <c r="AE2526" s="22"/>
      <c r="AF2526" s="22" t="s">
        <v>1165</v>
      </c>
      <c r="AG2526" s="22"/>
      <c r="AH2526" s="22"/>
      <c r="AI2526" s="21" t="s">
        <v>153</v>
      </c>
      <c r="AJ2526" s="21" t="s">
        <v>1148</v>
      </c>
      <c r="AK2526" s="21">
        <v>12.318</v>
      </c>
      <c r="AL2526" s="21" t="s">
        <v>1277</v>
      </c>
      <c r="AM2526" s="21">
        <v>6.093</v>
      </c>
      <c r="AN2526" s="21">
        <v>3</v>
      </c>
      <c r="AO2526" s="21">
        <v>30</v>
      </c>
      <c r="AP2526" s="21">
        <v>180</v>
      </c>
      <c r="AQ2526" s="22"/>
      <c r="AR2526" s="21" t="s">
        <v>1207</v>
      </c>
    </row>
    <row r="2527" spans="1:44" x14ac:dyDescent="0.2">
      <c r="A2527" s="21" t="s">
        <v>1663</v>
      </c>
      <c r="B2527" s="21" t="s">
        <v>1146</v>
      </c>
      <c r="C2527" s="21" t="s">
        <v>1149</v>
      </c>
      <c r="D2527" s="21" t="s">
        <v>660</v>
      </c>
      <c r="E2527" s="21" t="s">
        <v>661</v>
      </c>
      <c r="F2527" s="22"/>
      <c r="G2527" s="21" t="s">
        <v>1165</v>
      </c>
      <c r="H2527" s="21" t="s">
        <v>1165</v>
      </c>
      <c r="I2527" s="21" t="s">
        <v>3055</v>
      </c>
      <c r="J2527" s="21">
        <v>41.033333300000002</v>
      </c>
      <c r="K2527" s="21">
        <v>17.033333299999999</v>
      </c>
      <c r="L2527" s="22"/>
      <c r="M2527" s="21" t="s">
        <v>1157</v>
      </c>
      <c r="N2527" s="22"/>
      <c r="O2527" s="21">
        <v>2017</v>
      </c>
      <c r="P2527" s="22"/>
      <c r="Q2527" s="21" t="s">
        <v>3056</v>
      </c>
      <c r="R2527" s="21" t="s">
        <v>3057</v>
      </c>
      <c r="T2527" s="21">
        <v>65</v>
      </c>
      <c r="U2527" s="21" t="s">
        <v>1340</v>
      </c>
      <c r="V2527" s="21">
        <v>25</v>
      </c>
      <c r="W2527" s="21">
        <v>60</v>
      </c>
      <c r="X2527" s="21">
        <v>10</v>
      </c>
      <c r="Y2527" s="22"/>
      <c r="Z2527" s="22"/>
      <c r="AA2527" s="22"/>
      <c r="AB2527" s="22"/>
      <c r="AC2527" s="22"/>
      <c r="AD2527" s="22" t="s">
        <v>1165</v>
      </c>
      <c r="AE2527" s="22"/>
      <c r="AF2527" s="22" t="s">
        <v>1165</v>
      </c>
      <c r="AG2527" s="22"/>
      <c r="AH2527" s="22"/>
      <c r="AI2527" s="21" t="s">
        <v>153</v>
      </c>
      <c r="AJ2527" s="21" t="s">
        <v>1148</v>
      </c>
      <c r="AK2527" s="21">
        <v>58.674999999999997</v>
      </c>
      <c r="AL2527" s="21" t="s">
        <v>1277</v>
      </c>
      <c r="AM2527" s="21">
        <v>2.3839999999999999</v>
      </c>
      <c r="AN2527" s="21">
        <v>3</v>
      </c>
      <c r="AO2527" s="21">
        <v>30</v>
      </c>
      <c r="AP2527" s="21">
        <v>270</v>
      </c>
      <c r="AQ2527" s="22"/>
      <c r="AR2527" s="21" t="s">
        <v>1207</v>
      </c>
    </row>
    <row r="2528" spans="1:44" x14ac:dyDescent="0.2">
      <c r="A2528" s="21" t="s">
        <v>1663</v>
      </c>
      <c r="B2528" s="21" t="s">
        <v>1146</v>
      </c>
      <c r="C2528" s="21" t="s">
        <v>1149</v>
      </c>
      <c r="D2528" s="21" t="s">
        <v>660</v>
      </c>
      <c r="E2528" s="21" t="s">
        <v>661</v>
      </c>
      <c r="F2528" s="22"/>
      <c r="G2528" s="21" t="s">
        <v>1165</v>
      </c>
      <c r="H2528" s="21" t="s">
        <v>1165</v>
      </c>
      <c r="I2528" s="21" t="s">
        <v>3055</v>
      </c>
      <c r="J2528" s="21">
        <v>41.033333300000002</v>
      </c>
      <c r="K2528" s="21">
        <v>17.033333299999999</v>
      </c>
      <c r="L2528" s="22"/>
      <c r="M2528" s="21" t="s">
        <v>1157</v>
      </c>
      <c r="N2528" s="22"/>
      <c r="O2528" s="21">
        <v>2017</v>
      </c>
      <c r="P2528" s="22"/>
      <c r="Q2528" s="21" t="s">
        <v>3056</v>
      </c>
      <c r="R2528" s="21" t="s">
        <v>3057</v>
      </c>
      <c r="T2528" s="21">
        <v>65</v>
      </c>
      <c r="U2528" s="22"/>
      <c r="V2528" s="22"/>
      <c r="W2528" s="22"/>
      <c r="X2528" s="21">
        <v>10</v>
      </c>
      <c r="Y2528" s="22"/>
      <c r="Z2528" s="22"/>
      <c r="AA2528" s="22"/>
      <c r="AB2528" s="22"/>
      <c r="AC2528" s="22"/>
      <c r="AD2528" s="22" t="s">
        <v>1165</v>
      </c>
      <c r="AE2528" s="22"/>
      <c r="AF2528" s="22" t="s">
        <v>1165</v>
      </c>
      <c r="AG2528" s="22"/>
      <c r="AH2528" s="22"/>
      <c r="AI2528" s="21" t="s">
        <v>153</v>
      </c>
      <c r="AJ2528" s="21" t="s">
        <v>1148</v>
      </c>
      <c r="AK2528" s="21">
        <v>14.967000000000001</v>
      </c>
      <c r="AL2528" s="21" t="s">
        <v>1277</v>
      </c>
      <c r="AM2528" s="21">
        <v>4.2380000000000004</v>
      </c>
      <c r="AN2528" s="21">
        <v>3</v>
      </c>
      <c r="AO2528" s="21">
        <v>30</v>
      </c>
      <c r="AP2528" s="21">
        <v>270</v>
      </c>
      <c r="AQ2528" s="22"/>
      <c r="AR2528" s="21" t="s">
        <v>1207</v>
      </c>
    </row>
    <row r="2529" spans="1:44" x14ac:dyDescent="0.2">
      <c r="A2529" t="s">
        <v>1663</v>
      </c>
      <c r="B2529" s="15" t="s">
        <v>1146</v>
      </c>
      <c r="C2529" s="15" t="s">
        <v>1149</v>
      </c>
      <c r="D2529" s="14" t="s">
        <v>660</v>
      </c>
      <c r="E2529" s="14" t="s">
        <v>661</v>
      </c>
      <c r="G2529" s="15" t="s">
        <v>1165</v>
      </c>
      <c r="H2529" s="14" t="s">
        <v>1165</v>
      </c>
      <c r="I2529" s="14" t="s">
        <v>3054</v>
      </c>
      <c r="J2529">
        <v>41.033333333333303</v>
      </c>
      <c r="K2529">
        <v>17.033333333333299</v>
      </c>
      <c r="M2529" s="14" t="s">
        <v>1157</v>
      </c>
      <c r="O2529">
        <v>2017</v>
      </c>
      <c r="Q2529" t="s">
        <v>3056</v>
      </c>
      <c r="R2529" t="s">
        <v>3057</v>
      </c>
      <c r="T2529">
        <v>65</v>
      </c>
      <c r="U2529" s="14" t="s">
        <v>1340</v>
      </c>
      <c r="V2529" s="9" t="s">
        <v>1201</v>
      </c>
      <c r="W2529">
        <v>60</v>
      </c>
      <c r="X2529" s="23">
        <v>15</v>
      </c>
      <c r="AD2529" s="14" t="s">
        <v>1165</v>
      </c>
      <c r="AF2529" t="s">
        <v>1165</v>
      </c>
      <c r="AI2529" t="s">
        <v>153</v>
      </c>
      <c r="AJ2529" s="15" t="s">
        <v>1148</v>
      </c>
      <c r="AK2529" s="15">
        <v>65</v>
      </c>
      <c r="AL2529" t="s">
        <v>1277</v>
      </c>
      <c r="AM2529">
        <f>69.444-61.239</f>
        <v>8.2050000000000054</v>
      </c>
      <c r="AN2529">
        <v>3</v>
      </c>
      <c r="AO2529">
        <v>30</v>
      </c>
      <c r="AP2529">
        <f>3*30</f>
        <v>90</v>
      </c>
      <c r="AR2529" s="15" t="s">
        <v>1335</v>
      </c>
    </row>
    <row r="2530" spans="1:44" x14ac:dyDescent="0.2">
      <c r="A2530" s="21" t="s">
        <v>1663</v>
      </c>
      <c r="B2530" s="21" t="s">
        <v>1146</v>
      </c>
      <c r="C2530" s="21" t="s">
        <v>1149</v>
      </c>
      <c r="D2530" s="21" t="s">
        <v>660</v>
      </c>
      <c r="E2530" s="21" t="s">
        <v>661</v>
      </c>
      <c r="F2530" s="22"/>
      <c r="G2530" s="21" t="s">
        <v>1165</v>
      </c>
      <c r="H2530" s="21" t="s">
        <v>1165</v>
      </c>
      <c r="I2530" s="21" t="s">
        <v>3055</v>
      </c>
      <c r="J2530" s="21">
        <v>41.033333300000002</v>
      </c>
      <c r="K2530" s="21">
        <v>17.033333299999999</v>
      </c>
      <c r="L2530" s="22"/>
      <c r="M2530" s="21" t="s">
        <v>1157</v>
      </c>
      <c r="N2530" s="22"/>
      <c r="O2530" s="21">
        <v>2017</v>
      </c>
      <c r="P2530" s="22"/>
      <c r="Q2530" s="21" t="s">
        <v>3056</v>
      </c>
      <c r="R2530" s="21" t="s">
        <v>3057</v>
      </c>
      <c r="T2530" s="21">
        <v>65</v>
      </c>
      <c r="U2530" s="22"/>
      <c r="V2530" s="22"/>
      <c r="W2530" s="22"/>
      <c r="X2530" s="23">
        <v>15</v>
      </c>
      <c r="Y2530" s="22"/>
      <c r="Z2530" s="22"/>
      <c r="AA2530" s="22"/>
      <c r="AB2530" s="22"/>
      <c r="AC2530" s="22"/>
      <c r="AD2530" s="22" t="s">
        <v>1165</v>
      </c>
      <c r="AE2530" s="22"/>
      <c r="AF2530" s="22" t="s">
        <v>1165</v>
      </c>
      <c r="AG2530" s="22"/>
      <c r="AH2530" s="22"/>
      <c r="AI2530" s="21" t="s">
        <v>153</v>
      </c>
      <c r="AJ2530" s="21" t="s">
        <v>1148</v>
      </c>
      <c r="AK2530" s="21">
        <v>0</v>
      </c>
      <c r="AL2530" s="21" t="s">
        <v>1277</v>
      </c>
      <c r="AM2530" s="21">
        <v>0</v>
      </c>
      <c r="AN2530" s="21">
        <v>3</v>
      </c>
      <c r="AO2530" s="21">
        <v>30</v>
      </c>
      <c r="AP2530" s="21">
        <v>90</v>
      </c>
      <c r="AQ2530" s="22"/>
      <c r="AR2530" s="21" t="s">
        <v>1207</v>
      </c>
    </row>
    <row r="2531" spans="1:44" x14ac:dyDescent="0.2">
      <c r="A2531" s="21" t="s">
        <v>1663</v>
      </c>
      <c r="B2531" s="21" t="s">
        <v>1146</v>
      </c>
      <c r="C2531" s="21" t="s">
        <v>1149</v>
      </c>
      <c r="D2531" s="21" t="s">
        <v>660</v>
      </c>
      <c r="E2531" s="21" t="s">
        <v>661</v>
      </c>
      <c r="F2531" s="22"/>
      <c r="G2531" s="21" t="s">
        <v>1165</v>
      </c>
      <c r="H2531" s="21" t="s">
        <v>1165</v>
      </c>
      <c r="I2531" s="21" t="s">
        <v>3055</v>
      </c>
      <c r="J2531" s="21">
        <v>41.033333300000002</v>
      </c>
      <c r="K2531" s="21">
        <v>17.033333299999999</v>
      </c>
      <c r="L2531" s="22"/>
      <c r="M2531" s="21" t="s">
        <v>1157</v>
      </c>
      <c r="N2531" s="22"/>
      <c r="O2531" s="21">
        <v>2017</v>
      </c>
      <c r="P2531" s="22"/>
      <c r="Q2531" s="21" t="s">
        <v>3056</v>
      </c>
      <c r="R2531" s="21" t="s">
        <v>3057</v>
      </c>
      <c r="T2531" s="21">
        <v>65</v>
      </c>
      <c r="U2531" s="21" t="s">
        <v>1340</v>
      </c>
      <c r="V2531" s="21">
        <v>25</v>
      </c>
      <c r="W2531" s="21">
        <v>60</v>
      </c>
      <c r="X2531" s="23">
        <v>15</v>
      </c>
      <c r="Y2531" s="22"/>
      <c r="Z2531" s="22"/>
      <c r="AA2531" s="22"/>
      <c r="AB2531" s="22"/>
      <c r="AC2531" s="22"/>
      <c r="AD2531" s="22" t="s">
        <v>1165</v>
      </c>
      <c r="AE2531" s="22"/>
      <c r="AF2531" s="22" t="s">
        <v>1165</v>
      </c>
      <c r="AG2531" s="22"/>
      <c r="AH2531" s="22"/>
      <c r="AI2531" s="21" t="s">
        <v>153</v>
      </c>
      <c r="AJ2531" s="21" t="s">
        <v>1148</v>
      </c>
      <c r="AK2531" s="21">
        <v>65</v>
      </c>
      <c r="AL2531" s="21" t="s">
        <v>1277</v>
      </c>
      <c r="AM2531">
        <f>70.812-59.53</f>
        <v>11.281999999999996</v>
      </c>
      <c r="AN2531" s="21">
        <v>3</v>
      </c>
      <c r="AO2531" s="21">
        <v>30</v>
      </c>
      <c r="AP2531" s="21">
        <v>180</v>
      </c>
      <c r="AQ2531" s="22"/>
      <c r="AR2531" s="21" t="s">
        <v>1207</v>
      </c>
    </row>
    <row r="2532" spans="1:44" x14ac:dyDescent="0.2">
      <c r="A2532" s="21" t="s">
        <v>1663</v>
      </c>
      <c r="B2532" s="21" t="s">
        <v>1146</v>
      </c>
      <c r="C2532" s="21" t="s">
        <v>1149</v>
      </c>
      <c r="D2532" s="21" t="s">
        <v>660</v>
      </c>
      <c r="E2532" s="21" t="s">
        <v>661</v>
      </c>
      <c r="F2532" s="22"/>
      <c r="G2532" s="21" t="s">
        <v>1165</v>
      </c>
      <c r="H2532" s="21" t="s">
        <v>1165</v>
      </c>
      <c r="I2532" s="21" t="s">
        <v>3055</v>
      </c>
      <c r="J2532" s="21">
        <v>41.033333300000002</v>
      </c>
      <c r="K2532" s="21">
        <v>17.033333299999999</v>
      </c>
      <c r="L2532" s="22"/>
      <c r="M2532" s="21" t="s">
        <v>1157</v>
      </c>
      <c r="N2532" s="22"/>
      <c r="O2532" s="21">
        <v>2017</v>
      </c>
      <c r="P2532" s="22"/>
      <c r="Q2532" s="21" t="s">
        <v>3056</v>
      </c>
      <c r="R2532" s="21" t="s">
        <v>3057</v>
      </c>
      <c r="T2532" s="21">
        <v>65</v>
      </c>
      <c r="U2532" s="22"/>
      <c r="V2532" s="22"/>
      <c r="W2532" s="22"/>
      <c r="X2532" s="23">
        <v>15</v>
      </c>
      <c r="Y2532" s="22"/>
      <c r="Z2532" s="22"/>
      <c r="AA2532" s="22"/>
      <c r="AB2532" s="22"/>
      <c r="AC2532" s="22"/>
      <c r="AD2532" s="22" t="s">
        <v>1165</v>
      </c>
      <c r="AE2532" s="22"/>
      <c r="AF2532" s="22" t="s">
        <v>1165</v>
      </c>
      <c r="AG2532" s="22"/>
      <c r="AH2532" s="22"/>
      <c r="AI2532" s="21" t="s">
        <v>153</v>
      </c>
      <c r="AJ2532" s="21" t="s">
        <v>1148</v>
      </c>
      <c r="AK2532" s="21">
        <v>11.282</v>
      </c>
      <c r="AL2532" s="21" t="s">
        <v>1277</v>
      </c>
      <c r="AM2532" s="21">
        <f>14.402-8.248</f>
        <v>6.1539999999999999</v>
      </c>
      <c r="AN2532" s="21">
        <v>3</v>
      </c>
      <c r="AO2532" s="21">
        <v>30</v>
      </c>
      <c r="AP2532" s="21">
        <v>180</v>
      </c>
      <c r="AQ2532" s="22"/>
      <c r="AR2532" s="21" t="s">
        <v>1207</v>
      </c>
    </row>
    <row r="2533" spans="1:44" x14ac:dyDescent="0.2">
      <c r="A2533" s="21" t="s">
        <v>1663</v>
      </c>
      <c r="B2533" s="21" t="s">
        <v>1146</v>
      </c>
      <c r="C2533" s="21" t="s">
        <v>1149</v>
      </c>
      <c r="D2533" s="21" t="s">
        <v>660</v>
      </c>
      <c r="E2533" s="21" t="s">
        <v>661</v>
      </c>
      <c r="F2533" s="22"/>
      <c r="G2533" s="21" t="s">
        <v>1165</v>
      </c>
      <c r="H2533" s="21" t="s">
        <v>1165</v>
      </c>
      <c r="I2533" s="21" t="s">
        <v>3055</v>
      </c>
      <c r="J2533" s="21">
        <v>41.033333300000002</v>
      </c>
      <c r="K2533" s="21">
        <v>17.033333299999999</v>
      </c>
      <c r="L2533" s="22"/>
      <c r="M2533" s="21" t="s">
        <v>1157</v>
      </c>
      <c r="N2533" s="22"/>
      <c r="O2533" s="21">
        <v>2017</v>
      </c>
      <c r="P2533" s="22"/>
      <c r="Q2533" s="21" t="s">
        <v>3056</v>
      </c>
      <c r="R2533" s="21" t="s">
        <v>3057</v>
      </c>
      <c r="T2533" s="21">
        <v>65</v>
      </c>
      <c r="U2533" s="21" t="s">
        <v>1340</v>
      </c>
      <c r="V2533" s="21">
        <v>25</v>
      </c>
      <c r="W2533" s="21">
        <v>60</v>
      </c>
      <c r="X2533" s="23">
        <v>15</v>
      </c>
      <c r="Y2533" s="22"/>
      <c r="Z2533" s="22"/>
      <c r="AA2533" s="22"/>
      <c r="AB2533" s="22"/>
      <c r="AC2533" s="22"/>
      <c r="AD2533" s="22" t="s">
        <v>1165</v>
      </c>
      <c r="AE2533" s="22"/>
      <c r="AF2533" s="22" t="s">
        <v>1165</v>
      </c>
      <c r="AG2533" s="22"/>
      <c r="AH2533" s="22"/>
      <c r="AI2533" s="21" t="s">
        <v>153</v>
      </c>
      <c r="AJ2533" s="21" t="s">
        <v>1148</v>
      </c>
      <c r="AK2533" s="21">
        <v>68.076999999999998</v>
      </c>
      <c r="AL2533" s="21" t="s">
        <v>1277</v>
      </c>
      <c r="AM2533" s="21">
        <f>73.205-62.949</f>
        <v>10.256</v>
      </c>
      <c r="AN2533" s="21">
        <v>3</v>
      </c>
      <c r="AO2533" s="21">
        <v>30</v>
      </c>
      <c r="AP2533" s="21">
        <v>270</v>
      </c>
      <c r="AQ2533" s="22"/>
      <c r="AR2533" s="21" t="s">
        <v>1207</v>
      </c>
    </row>
    <row r="2534" spans="1:44" ht="15" customHeight="1" x14ac:dyDescent="0.2">
      <c r="A2534" s="21" t="s">
        <v>1663</v>
      </c>
      <c r="B2534" s="21" t="s">
        <v>1146</v>
      </c>
      <c r="C2534" s="21" t="s">
        <v>1149</v>
      </c>
      <c r="D2534" s="21" t="s">
        <v>660</v>
      </c>
      <c r="E2534" s="21" t="s">
        <v>661</v>
      </c>
      <c r="F2534" s="22"/>
      <c r="G2534" s="21" t="s">
        <v>1165</v>
      </c>
      <c r="H2534" s="21" t="s">
        <v>1165</v>
      </c>
      <c r="I2534" s="21" t="s">
        <v>3055</v>
      </c>
      <c r="J2534" s="21">
        <v>41.033333300000002</v>
      </c>
      <c r="K2534" s="21">
        <v>17.033333299999999</v>
      </c>
      <c r="L2534" s="22"/>
      <c r="M2534" s="21" t="s">
        <v>1157</v>
      </c>
      <c r="N2534" s="22"/>
      <c r="O2534" s="21">
        <v>2017</v>
      </c>
      <c r="P2534" s="22"/>
      <c r="Q2534" s="21" t="s">
        <v>3056</v>
      </c>
      <c r="R2534" s="21" t="s">
        <v>3057</v>
      </c>
      <c r="T2534" s="21">
        <v>65</v>
      </c>
      <c r="U2534" s="22"/>
      <c r="V2534" s="22"/>
      <c r="W2534" s="22"/>
      <c r="X2534" s="23">
        <v>15</v>
      </c>
      <c r="Y2534" s="22"/>
      <c r="Z2534" s="22"/>
      <c r="AA2534" s="22"/>
      <c r="AB2534" s="22"/>
      <c r="AC2534" s="22"/>
      <c r="AD2534" s="22" t="s">
        <v>1165</v>
      </c>
      <c r="AE2534" s="22"/>
      <c r="AF2534" s="22" t="s">
        <v>1165</v>
      </c>
      <c r="AG2534" s="22"/>
      <c r="AH2534" s="22"/>
      <c r="AI2534" s="21" t="s">
        <v>153</v>
      </c>
      <c r="AJ2534" s="21" t="s">
        <v>1148</v>
      </c>
      <c r="AK2534" s="21">
        <v>63.973999999999997</v>
      </c>
      <c r="AL2534" s="21" t="s">
        <v>1277</v>
      </c>
      <c r="AM2534" s="21">
        <f>66.026-61.923</f>
        <v>4.1029999999999944</v>
      </c>
      <c r="AN2534" s="21">
        <v>3</v>
      </c>
      <c r="AO2534" s="21">
        <v>30</v>
      </c>
      <c r="AP2534" s="21">
        <v>270</v>
      </c>
      <c r="AQ2534" s="22"/>
      <c r="AR2534" s="21" t="s">
        <v>1207</v>
      </c>
    </row>
    <row r="2535" spans="1:44" x14ac:dyDescent="0.2">
      <c r="A2535" t="s">
        <v>1663</v>
      </c>
      <c r="B2535" s="15" t="s">
        <v>1146</v>
      </c>
      <c r="C2535" s="15" t="s">
        <v>1149</v>
      </c>
      <c r="D2535" s="14" t="s">
        <v>660</v>
      </c>
      <c r="E2535" s="14" t="s">
        <v>661</v>
      </c>
      <c r="G2535" s="15" t="s">
        <v>1165</v>
      </c>
      <c r="H2535" s="14" t="s">
        <v>1165</v>
      </c>
      <c r="I2535" s="14" t="s">
        <v>3054</v>
      </c>
      <c r="J2535">
        <v>41.033333333333303</v>
      </c>
      <c r="K2535">
        <v>17.033333333333299</v>
      </c>
      <c r="M2535" s="14" t="s">
        <v>1157</v>
      </c>
      <c r="O2535">
        <v>2017</v>
      </c>
      <c r="Q2535" t="s">
        <v>3056</v>
      </c>
      <c r="R2535" t="s">
        <v>3057</v>
      </c>
      <c r="T2535">
        <v>65</v>
      </c>
      <c r="U2535" s="14" t="s">
        <v>1340</v>
      </c>
      <c r="V2535" s="9" t="s">
        <v>1201</v>
      </c>
      <c r="W2535">
        <v>60</v>
      </c>
      <c r="X2535" s="23">
        <v>20</v>
      </c>
      <c r="AD2535" s="14" t="s">
        <v>1165</v>
      </c>
      <c r="AF2535" t="s">
        <v>1165</v>
      </c>
      <c r="AI2535" t="s">
        <v>153</v>
      </c>
      <c r="AJ2535" s="15" t="s">
        <v>1148</v>
      </c>
      <c r="AK2535" s="15">
        <v>34.362000000000002</v>
      </c>
      <c r="AL2535" t="s">
        <v>1277</v>
      </c>
      <c r="AM2535">
        <f>37.629-34.362</f>
        <v>3.2669999999999959</v>
      </c>
      <c r="AN2535">
        <v>3</v>
      </c>
      <c r="AO2535">
        <v>30</v>
      </c>
      <c r="AP2535">
        <f>3*30</f>
        <v>90</v>
      </c>
      <c r="AR2535" s="15" t="s">
        <v>1335</v>
      </c>
    </row>
    <row r="2536" spans="1:44" x14ac:dyDescent="0.2">
      <c r="A2536" s="21" t="s">
        <v>1663</v>
      </c>
      <c r="B2536" s="21" t="s">
        <v>1146</v>
      </c>
      <c r="C2536" s="21" t="s">
        <v>1149</v>
      </c>
      <c r="D2536" s="21" t="s">
        <v>660</v>
      </c>
      <c r="E2536" s="21" t="s">
        <v>661</v>
      </c>
      <c r="F2536" s="22"/>
      <c r="G2536" s="21" t="s">
        <v>1165</v>
      </c>
      <c r="H2536" s="21" t="s">
        <v>1165</v>
      </c>
      <c r="I2536" s="21" t="s">
        <v>3055</v>
      </c>
      <c r="J2536" s="21">
        <v>41.033333300000002</v>
      </c>
      <c r="K2536" s="21">
        <v>17.033333299999999</v>
      </c>
      <c r="L2536" s="22"/>
      <c r="M2536" s="21" t="s">
        <v>1157</v>
      </c>
      <c r="N2536" s="22"/>
      <c r="O2536" s="21">
        <v>2017</v>
      </c>
      <c r="P2536" s="22"/>
      <c r="Q2536" s="21" t="s">
        <v>3056</v>
      </c>
      <c r="R2536" s="21" t="s">
        <v>3057</v>
      </c>
      <c r="T2536" s="21">
        <v>65</v>
      </c>
      <c r="U2536" s="22"/>
      <c r="V2536" s="22"/>
      <c r="W2536" s="22"/>
      <c r="X2536" s="23">
        <v>20</v>
      </c>
      <c r="Y2536" s="22"/>
      <c r="Z2536" s="22"/>
      <c r="AA2536" s="22"/>
      <c r="AB2536" s="22"/>
      <c r="AC2536" s="22"/>
      <c r="AD2536" s="22" t="s">
        <v>1165</v>
      </c>
      <c r="AE2536" s="22"/>
      <c r="AF2536" s="22" t="s">
        <v>1165</v>
      </c>
      <c r="AG2536" s="22"/>
      <c r="AH2536" s="22"/>
      <c r="AI2536" s="21" t="s">
        <v>153</v>
      </c>
      <c r="AJ2536" s="21" t="s">
        <v>1148</v>
      </c>
      <c r="AK2536" s="21">
        <v>0</v>
      </c>
      <c r="AL2536" s="21" t="s">
        <v>1277</v>
      </c>
      <c r="AM2536" s="21">
        <v>0</v>
      </c>
      <c r="AN2536" s="21">
        <v>3</v>
      </c>
      <c r="AO2536" s="21">
        <v>30</v>
      </c>
      <c r="AP2536" s="21">
        <v>90</v>
      </c>
      <c r="AQ2536" s="22"/>
      <c r="AR2536" s="21" t="s">
        <v>1207</v>
      </c>
    </row>
    <row r="2537" spans="1:44" x14ac:dyDescent="0.2">
      <c r="A2537" s="21" t="s">
        <v>1663</v>
      </c>
      <c r="B2537" s="21" t="s">
        <v>1146</v>
      </c>
      <c r="C2537" s="21" t="s">
        <v>1149</v>
      </c>
      <c r="D2537" s="21" t="s">
        <v>660</v>
      </c>
      <c r="E2537" s="21" t="s">
        <v>661</v>
      </c>
      <c r="F2537" s="22"/>
      <c r="G2537" s="21" t="s">
        <v>1165</v>
      </c>
      <c r="H2537" s="21" t="s">
        <v>1165</v>
      </c>
      <c r="I2537" s="21" t="s">
        <v>3055</v>
      </c>
      <c r="J2537" s="21">
        <v>41.033333300000002</v>
      </c>
      <c r="K2537" s="21">
        <v>17.033333299999999</v>
      </c>
      <c r="L2537" s="22"/>
      <c r="M2537" s="21" t="s">
        <v>1157</v>
      </c>
      <c r="N2537" s="22"/>
      <c r="O2537" s="21">
        <v>2017</v>
      </c>
      <c r="P2537" s="22"/>
      <c r="Q2537" s="21" t="s">
        <v>3056</v>
      </c>
      <c r="R2537" s="21" t="s">
        <v>3057</v>
      </c>
      <c r="T2537" s="21">
        <v>65</v>
      </c>
      <c r="U2537" s="21" t="s">
        <v>1340</v>
      </c>
      <c r="V2537" s="21">
        <v>25</v>
      </c>
      <c r="W2537" s="21">
        <v>60</v>
      </c>
      <c r="X2537" s="23">
        <v>20</v>
      </c>
      <c r="Y2537" s="22"/>
      <c r="Z2537" s="22"/>
      <c r="AA2537" s="22"/>
      <c r="AB2537" s="22"/>
      <c r="AC2537" s="22"/>
      <c r="AD2537" s="22" t="s">
        <v>1165</v>
      </c>
      <c r="AE2537" s="22"/>
      <c r="AF2537" s="22" t="s">
        <v>1165</v>
      </c>
      <c r="AG2537" s="22"/>
      <c r="AH2537" s="22"/>
      <c r="AI2537" s="21" t="s">
        <v>153</v>
      </c>
      <c r="AJ2537" s="21" t="s">
        <v>1148</v>
      </c>
      <c r="AK2537" s="21">
        <v>36.197000000000003</v>
      </c>
      <c r="AL2537" s="21" t="s">
        <v>1277</v>
      </c>
      <c r="AM2537">
        <f>40.492-36.197</f>
        <v>4.2949999999999946</v>
      </c>
      <c r="AN2537" s="21">
        <v>3</v>
      </c>
      <c r="AO2537" s="21">
        <v>30</v>
      </c>
      <c r="AP2537" s="21">
        <v>180</v>
      </c>
      <c r="AQ2537" s="22"/>
      <c r="AR2537" s="21" t="s">
        <v>1207</v>
      </c>
    </row>
    <row r="2538" spans="1:44" x14ac:dyDescent="0.2">
      <c r="A2538" s="21" t="s">
        <v>1663</v>
      </c>
      <c r="B2538" s="21" t="s">
        <v>1146</v>
      </c>
      <c r="C2538" s="21" t="s">
        <v>1149</v>
      </c>
      <c r="D2538" s="21" t="s">
        <v>660</v>
      </c>
      <c r="E2538" s="21" t="s">
        <v>661</v>
      </c>
      <c r="F2538" s="22"/>
      <c r="G2538" s="21" t="s">
        <v>1165</v>
      </c>
      <c r="H2538" s="21" t="s">
        <v>1165</v>
      </c>
      <c r="I2538" s="21" t="s">
        <v>3055</v>
      </c>
      <c r="J2538" s="21">
        <v>41.033333300000002</v>
      </c>
      <c r="K2538" s="21">
        <v>17.033333299999999</v>
      </c>
      <c r="L2538" s="22"/>
      <c r="M2538" s="21" t="s">
        <v>1157</v>
      </c>
      <c r="N2538" s="22"/>
      <c r="O2538" s="21">
        <v>2017</v>
      </c>
      <c r="P2538" s="22"/>
      <c r="Q2538" s="21" t="s">
        <v>3056</v>
      </c>
      <c r="R2538" s="21" t="s">
        <v>3057</v>
      </c>
      <c r="T2538" s="21">
        <v>65</v>
      </c>
      <c r="U2538" s="22"/>
      <c r="V2538" s="22"/>
      <c r="W2538" s="22"/>
      <c r="X2538" s="23">
        <v>20</v>
      </c>
      <c r="Y2538" s="22"/>
      <c r="Z2538" s="22"/>
      <c r="AA2538" s="22"/>
      <c r="AB2538" s="22"/>
      <c r="AC2538" s="22"/>
      <c r="AD2538" s="22" t="s">
        <v>1165</v>
      </c>
      <c r="AE2538" s="22"/>
      <c r="AF2538" s="22" t="s">
        <v>1165</v>
      </c>
      <c r="AG2538" s="22"/>
      <c r="AH2538" s="22"/>
      <c r="AI2538" s="21" t="s">
        <v>153</v>
      </c>
      <c r="AJ2538" s="21" t="s">
        <v>1148</v>
      </c>
      <c r="AK2538" s="21">
        <v>22.236999999999998</v>
      </c>
      <c r="AL2538" s="21" t="s">
        <v>1277</v>
      </c>
      <c r="AM2538">
        <f>25.459-22.237</f>
        <v>3.2220000000000013</v>
      </c>
      <c r="AN2538" s="21">
        <v>3</v>
      </c>
      <c r="AO2538" s="21">
        <v>30</v>
      </c>
      <c r="AP2538" s="21">
        <v>180</v>
      </c>
      <c r="AQ2538" s="22"/>
      <c r="AR2538" s="21" t="s">
        <v>1207</v>
      </c>
    </row>
    <row r="2539" spans="1:44" x14ac:dyDescent="0.2">
      <c r="A2539" s="21" t="s">
        <v>1663</v>
      </c>
      <c r="B2539" s="21" t="s">
        <v>1146</v>
      </c>
      <c r="C2539" s="21" t="s">
        <v>1149</v>
      </c>
      <c r="D2539" s="21" t="s">
        <v>660</v>
      </c>
      <c r="E2539" s="21" t="s">
        <v>661</v>
      </c>
      <c r="F2539" s="22"/>
      <c r="G2539" s="21" t="s">
        <v>1165</v>
      </c>
      <c r="H2539" s="21" t="s">
        <v>1165</v>
      </c>
      <c r="I2539" s="21" t="s">
        <v>3055</v>
      </c>
      <c r="J2539" s="21">
        <v>41.033333300000002</v>
      </c>
      <c r="K2539" s="21">
        <v>17.033333299999999</v>
      </c>
      <c r="L2539" s="22"/>
      <c r="M2539" s="21" t="s">
        <v>1157</v>
      </c>
      <c r="N2539" s="22"/>
      <c r="O2539" s="21">
        <v>2017</v>
      </c>
      <c r="P2539" s="22"/>
      <c r="Q2539" s="21" t="s">
        <v>3056</v>
      </c>
      <c r="R2539" s="21" t="s">
        <v>3057</v>
      </c>
      <c r="T2539" s="21">
        <v>65</v>
      </c>
      <c r="U2539" s="21" t="s">
        <v>1340</v>
      </c>
      <c r="V2539" s="21">
        <v>25</v>
      </c>
      <c r="W2539" s="21">
        <v>60</v>
      </c>
      <c r="X2539" s="23">
        <v>20</v>
      </c>
      <c r="Y2539" s="22"/>
      <c r="Z2539" s="22"/>
      <c r="AA2539" s="22"/>
      <c r="AB2539" s="22"/>
      <c r="AC2539" s="22"/>
      <c r="AD2539" s="22" t="s">
        <v>1165</v>
      </c>
      <c r="AE2539" s="22"/>
      <c r="AF2539" s="22" t="s">
        <v>1165</v>
      </c>
      <c r="AG2539" s="22"/>
      <c r="AH2539" s="22"/>
      <c r="AI2539" s="21" t="s">
        <v>153</v>
      </c>
      <c r="AJ2539" s="21" t="s">
        <v>1148</v>
      </c>
      <c r="AK2539" s="21">
        <v>36.197000000000003</v>
      </c>
      <c r="AL2539" s="21" t="s">
        <v>1277</v>
      </c>
      <c r="AM2539" s="21">
        <f>39.776-36.197</f>
        <v>3.5790000000000006</v>
      </c>
      <c r="AN2539" s="21">
        <v>3</v>
      </c>
      <c r="AO2539" s="21">
        <v>30</v>
      </c>
      <c r="AP2539" s="21">
        <v>270</v>
      </c>
      <c r="AQ2539" s="22"/>
      <c r="AR2539" s="21" t="s">
        <v>1207</v>
      </c>
    </row>
    <row r="2540" spans="1:44" ht="15" customHeight="1" x14ac:dyDescent="0.2">
      <c r="A2540" s="21" t="s">
        <v>1663</v>
      </c>
      <c r="B2540" s="21" t="s">
        <v>1146</v>
      </c>
      <c r="C2540" s="21" t="s">
        <v>1149</v>
      </c>
      <c r="D2540" s="21" t="s">
        <v>660</v>
      </c>
      <c r="E2540" s="21" t="s">
        <v>661</v>
      </c>
      <c r="F2540" s="22"/>
      <c r="G2540" s="21" t="s">
        <v>1165</v>
      </c>
      <c r="H2540" s="21" t="s">
        <v>1165</v>
      </c>
      <c r="I2540" s="21" t="s">
        <v>3055</v>
      </c>
      <c r="J2540" s="21">
        <v>41.033333300000002</v>
      </c>
      <c r="K2540" s="21">
        <v>17.033333299999999</v>
      </c>
      <c r="L2540" s="22"/>
      <c r="M2540" s="21" t="s">
        <v>1157</v>
      </c>
      <c r="N2540" s="22"/>
      <c r="O2540" s="21">
        <v>2017</v>
      </c>
      <c r="P2540" s="22"/>
      <c r="Q2540" s="21" t="s">
        <v>3056</v>
      </c>
      <c r="R2540" s="21" t="s">
        <v>3057</v>
      </c>
      <c r="T2540" s="21">
        <v>65</v>
      </c>
      <c r="U2540" s="22"/>
      <c r="V2540" s="22"/>
      <c r="W2540" s="22"/>
      <c r="X2540" s="23">
        <v>20</v>
      </c>
      <c r="Y2540" s="22"/>
      <c r="Z2540" s="22"/>
      <c r="AA2540" s="22"/>
      <c r="AB2540" s="22"/>
      <c r="AC2540" s="22"/>
      <c r="AD2540" s="22" t="s">
        <v>1165</v>
      </c>
      <c r="AE2540" s="22"/>
      <c r="AF2540" s="22" t="s">
        <v>1165</v>
      </c>
      <c r="AG2540" s="22"/>
      <c r="AH2540" s="22"/>
      <c r="AI2540" s="21" t="s">
        <v>153</v>
      </c>
      <c r="AJ2540" s="21" t="s">
        <v>1148</v>
      </c>
      <c r="AK2540" s="21">
        <v>24.027000000000001</v>
      </c>
      <c r="AL2540" s="21" t="s">
        <v>1277</v>
      </c>
      <c r="AM2540" s="21">
        <f>26.174-22.237</f>
        <v>3.9370000000000012</v>
      </c>
      <c r="AN2540" s="21">
        <v>3</v>
      </c>
      <c r="AO2540" s="21">
        <v>30</v>
      </c>
      <c r="AP2540" s="21">
        <v>270</v>
      </c>
      <c r="AQ2540" s="22"/>
      <c r="AR2540" s="21" t="s">
        <v>1207</v>
      </c>
    </row>
    <row r="2541" spans="1:44" ht="15" customHeight="1" x14ac:dyDescent="0.2">
      <c r="A2541" s="21" t="s">
        <v>1663</v>
      </c>
      <c r="B2541" s="21" t="s">
        <v>1146</v>
      </c>
      <c r="C2541" s="21" t="s">
        <v>1149</v>
      </c>
      <c r="D2541" s="21" t="s">
        <v>660</v>
      </c>
      <c r="E2541" s="21" t="s">
        <v>661</v>
      </c>
      <c r="F2541" s="22"/>
      <c r="G2541" s="21" t="s">
        <v>1165</v>
      </c>
      <c r="H2541" s="21" t="s">
        <v>1165</v>
      </c>
      <c r="I2541" s="21" t="s">
        <v>3055</v>
      </c>
      <c r="J2541" s="21">
        <v>41.033333300000002</v>
      </c>
      <c r="K2541" s="21">
        <v>17.033333299999999</v>
      </c>
      <c r="L2541" s="22"/>
      <c r="M2541" s="21" t="s">
        <v>1157</v>
      </c>
      <c r="N2541" s="22"/>
      <c r="O2541" s="21">
        <v>2018</v>
      </c>
      <c r="P2541" s="22"/>
      <c r="Q2541" s="21" t="s">
        <v>3056</v>
      </c>
      <c r="R2541" s="21" t="s">
        <v>3057</v>
      </c>
      <c r="T2541" s="21">
        <v>65</v>
      </c>
      <c r="U2541" s="21" t="s">
        <v>1340</v>
      </c>
      <c r="V2541" s="21">
        <v>25</v>
      </c>
      <c r="W2541" s="21">
        <v>60</v>
      </c>
      <c r="X2541" s="23">
        <v>15</v>
      </c>
      <c r="Y2541" s="22"/>
      <c r="Z2541" s="22">
        <v>0</v>
      </c>
      <c r="AA2541" s="22"/>
      <c r="AB2541" s="22"/>
      <c r="AC2541" s="22"/>
      <c r="AD2541" s="22" t="s">
        <v>1165</v>
      </c>
      <c r="AE2541" s="22"/>
      <c r="AF2541" s="22" t="s">
        <v>1165</v>
      </c>
      <c r="AG2541" s="22"/>
      <c r="AH2541" s="22"/>
      <c r="AI2541" s="21" t="s">
        <v>153</v>
      </c>
      <c r="AJ2541" s="21" t="s">
        <v>1148</v>
      </c>
      <c r="AK2541" s="21">
        <v>64.447999999999993</v>
      </c>
      <c r="AL2541" s="21" t="s">
        <v>1277</v>
      </c>
      <c r="AM2541" s="21" t="s">
        <v>3003</v>
      </c>
      <c r="AN2541" s="21">
        <v>3</v>
      </c>
      <c r="AO2541" s="21">
        <v>30</v>
      </c>
      <c r="AP2541" s="21">
        <v>60</v>
      </c>
      <c r="AQ2541" s="22" t="s">
        <v>3060</v>
      </c>
      <c r="AR2541" s="21" t="s">
        <v>3058</v>
      </c>
    </row>
    <row r="2542" spans="1:44" ht="15" customHeight="1" x14ac:dyDescent="0.2">
      <c r="A2542" s="21" t="s">
        <v>1663</v>
      </c>
      <c r="B2542" s="21" t="s">
        <v>1146</v>
      </c>
      <c r="C2542" s="21" t="s">
        <v>1149</v>
      </c>
      <c r="D2542" s="21" t="s">
        <v>660</v>
      </c>
      <c r="E2542" s="21" t="s">
        <v>661</v>
      </c>
      <c r="F2542" s="22"/>
      <c r="G2542" s="21" t="s">
        <v>1165</v>
      </c>
      <c r="H2542" s="21" t="s">
        <v>1165</v>
      </c>
      <c r="I2542" s="21" t="s">
        <v>3055</v>
      </c>
      <c r="J2542" s="21">
        <v>41.033333300000002</v>
      </c>
      <c r="K2542" s="21">
        <v>17.033333299999999</v>
      </c>
      <c r="L2542" s="22"/>
      <c r="M2542" s="21" t="s">
        <v>1157</v>
      </c>
      <c r="N2542" s="22"/>
      <c r="O2542" s="21">
        <v>2018</v>
      </c>
      <c r="P2542" s="22"/>
      <c r="Q2542" s="21" t="s">
        <v>3056</v>
      </c>
      <c r="R2542" s="21" t="s">
        <v>3057</v>
      </c>
      <c r="T2542" s="21">
        <v>65</v>
      </c>
      <c r="U2542" s="21" t="s">
        <v>1340</v>
      </c>
      <c r="V2542" s="21">
        <v>25</v>
      </c>
      <c r="W2542" s="21">
        <v>60</v>
      </c>
      <c r="X2542" s="23">
        <v>15</v>
      </c>
      <c r="Y2542" s="22"/>
      <c r="Z2542" s="22">
        <v>0</v>
      </c>
      <c r="AA2542" s="22"/>
      <c r="AB2542" s="22"/>
      <c r="AC2542" s="22"/>
      <c r="AD2542" s="22" t="s">
        <v>1165</v>
      </c>
      <c r="AE2542" s="22"/>
      <c r="AF2542" s="22" t="s">
        <v>1165</v>
      </c>
      <c r="AG2542" s="22"/>
      <c r="AH2542" s="22"/>
      <c r="AI2542" s="21" t="s">
        <v>153</v>
      </c>
      <c r="AJ2542" s="21" t="s">
        <v>1148</v>
      </c>
      <c r="AK2542" s="21">
        <v>64.691999999999993</v>
      </c>
      <c r="AL2542" s="21" t="s">
        <v>1277</v>
      </c>
      <c r="AM2542" s="21" t="s">
        <v>3003</v>
      </c>
      <c r="AN2542" s="21">
        <v>3</v>
      </c>
      <c r="AO2542" s="21">
        <v>30</v>
      </c>
      <c r="AP2542" s="21">
        <v>90</v>
      </c>
      <c r="AQ2542" s="22" t="s">
        <v>3060</v>
      </c>
      <c r="AR2542" s="21" t="s">
        <v>3058</v>
      </c>
    </row>
    <row r="2543" spans="1:44" ht="15" customHeight="1" x14ac:dyDescent="0.2">
      <c r="A2543" s="21" t="s">
        <v>1663</v>
      </c>
      <c r="B2543" s="21" t="s">
        <v>1146</v>
      </c>
      <c r="C2543" s="21" t="s">
        <v>1149</v>
      </c>
      <c r="D2543" s="21" t="s">
        <v>660</v>
      </c>
      <c r="E2543" s="21" t="s">
        <v>661</v>
      </c>
      <c r="F2543" s="22"/>
      <c r="G2543" s="21" t="s">
        <v>1165</v>
      </c>
      <c r="H2543" s="21" t="s">
        <v>1165</v>
      </c>
      <c r="I2543" s="21" t="s">
        <v>3055</v>
      </c>
      <c r="J2543" s="21">
        <v>41.033333300000002</v>
      </c>
      <c r="K2543" s="21">
        <v>17.033333299999999</v>
      </c>
      <c r="L2543" s="22"/>
      <c r="M2543" s="21" t="s">
        <v>1157</v>
      </c>
      <c r="N2543" s="22"/>
      <c r="O2543" s="21">
        <v>2018</v>
      </c>
      <c r="P2543" s="22"/>
      <c r="Q2543" s="21" t="s">
        <v>3056</v>
      </c>
      <c r="R2543" s="21" t="s">
        <v>3057</v>
      </c>
      <c r="T2543" s="21">
        <v>65</v>
      </c>
      <c r="U2543" s="21" t="s">
        <v>1340</v>
      </c>
      <c r="V2543" s="21">
        <v>25</v>
      </c>
      <c r="W2543" s="21">
        <v>60</v>
      </c>
      <c r="X2543" s="23">
        <v>15</v>
      </c>
      <c r="Y2543" s="22"/>
      <c r="Z2543" s="22">
        <v>0</v>
      </c>
      <c r="AA2543" s="22"/>
      <c r="AB2543" s="22"/>
      <c r="AC2543" s="22"/>
      <c r="AD2543" s="22" t="s">
        <v>1165</v>
      </c>
      <c r="AE2543" s="22"/>
      <c r="AF2543" s="22" t="s">
        <v>1165</v>
      </c>
      <c r="AG2543" s="22"/>
      <c r="AH2543" s="22"/>
      <c r="AI2543" s="21" t="s">
        <v>153</v>
      </c>
      <c r="AJ2543" s="21" t="s">
        <v>1148</v>
      </c>
      <c r="AK2543" s="21">
        <v>64.691999999999993</v>
      </c>
      <c r="AL2543" s="21" t="s">
        <v>1277</v>
      </c>
      <c r="AM2543" s="21" t="s">
        <v>3003</v>
      </c>
      <c r="AN2543" s="21">
        <v>3</v>
      </c>
      <c r="AO2543" s="21">
        <v>30</v>
      </c>
      <c r="AP2543" s="21">
        <v>120</v>
      </c>
      <c r="AQ2543" s="22" t="s">
        <v>3060</v>
      </c>
      <c r="AR2543" s="21" t="s">
        <v>3058</v>
      </c>
    </row>
    <row r="2544" spans="1:44" ht="15" customHeight="1" x14ac:dyDescent="0.2">
      <c r="A2544" s="21" t="s">
        <v>1663</v>
      </c>
      <c r="B2544" s="21" t="s">
        <v>1146</v>
      </c>
      <c r="C2544" s="21" t="s">
        <v>1149</v>
      </c>
      <c r="D2544" s="21" t="s">
        <v>660</v>
      </c>
      <c r="E2544" s="21" t="s">
        <v>661</v>
      </c>
      <c r="F2544" s="22"/>
      <c r="G2544" s="21" t="s">
        <v>1165</v>
      </c>
      <c r="H2544" s="21" t="s">
        <v>1165</v>
      </c>
      <c r="I2544" s="21" t="s">
        <v>3055</v>
      </c>
      <c r="J2544" s="21">
        <v>41.033333300000002</v>
      </c>
      <c r="K2544" s="21">
        <v>17.033333299999999</v>
      </c>
      <c r="L2544" s="22"/>
      <c r="M2544" s="21" t="s">
        <v>1157</v>
      </c>
      <c r="N2544" s="22"/>
      <c r="O2544" s="21">
        <v>2018</v>
      </c>
      <c r="P2544" s="22"/>
      <c r="Q2544" s="21" t="s">
        <v>3056</v>
      </c>
      <c r="R2544" s="21" t="s">
        <v>3057</v>
      </c>
      <c r="T2544" s="21">
        <v>65</v>
      </c>
      <c r="U2544" s="21" t="s">
        <v>1340</v>
      </c>
      <c r="V2544" s="21">
        <v>25</v>
      </c>
      <c r="W2544" s="21">
        <v>60</v>
      </c>
      <c r="X2544" s="23">
        <v>15</v>
      </c>
      <c r="Y2544" s="22"/>
      <c r="Z2544" s="22">
        <v>0</v>
      </c>
      <c r="AA2544" s="22"/>
      <c r="AB2544" s="22"/>
      <c r="AC2544" s="22"/>
      <c r="AD2544" s="22" t="s">
        <v>1165</v>
      </c>
      <c r="AE2544" s="22"/>
      <c r="AF2544" s="22" t="s">
        <v>1165</v>
      </c>
      <c r="AG2544" s="22"/>
      <c r="AH2544" s="22"/>
      <c r="AI2544" s="21" t="s">
        <v>153</v>
      </c>
      <c r="AJ2544" s="21" t="s">
        <v>1148</v>
      </c>
      <c r="AK2544" s="21">
        <v>64.528999999999996</v>
      </c>
      <c r="AL2544" s="21" t="s">
        <v>1277</v>
      </c>
      <c r="AM2544" s="21" t="s">
        <v>3003</v>
      </c>
      <c r="AN2544" s="21">
        <v>3</v>
      </c>
      <c r="AO2544" s="21">
        <v>30</v>
      </c>
      <c r="AP2544" s="21">
        <v>150</v>
      </c>
      <c r="AQ2544" s="22" t="s">
        <v>3060</v>
      </c>
      <c r="AR2544" s="21" t="s">
        <v>3058</v>
      </c>
    </row>
    <row r="2545" spans="1:45" ht="15" customHeight="1" x14ac:dyDescent="0.2">
      <c r="A2545" s="21" t="s">
        <v>1663</v>
      </c>
      <c r="B2545" s="21" t="s">
        <v>1146</v>
      </c>
      <c r="C2545" s="21" t="s">
        <v>1149</v>
      </c>
      <c r="D2545" s="21" t="s">
        <v>660</v>
      </c>
      <c r="E2545" s="21" t="s">
        <v>661</v>
      </c>
      <c r="F2545" s="22"/>
      <c r="G2545" s="21" t="s">
        <v>1165</v>
      </c>
      <c r="H2545" s="21" t="s">
        <v>1165</v>
      </c>
      <c r="I2545" s="21" t="s">
        <v>3055</v>
      </c>
      <c r="J2545" s="21">
        <v>41.033333300000002</v>
      </c>
      <c r="K2545" s="21">
        <v>17.033333299999999</v>
      </c>
      <c r="L2545" s="22"/>
      <c r="M2545" s="21" t="s">
        <v>1157</v>
      </c>
      <c r="N2545" s="22"/>
      <c r="O2545" s="21">
        <v>2018</v>
      </c>
      <c r="P2545" s="22"/>
      <c r="Q2545" s="21" t="s">
        <v>3056</v>
      </c>
      <c r="R2545" s="21" t="s">
        <v>3057</v>
      </c>
      <c r="T2545" s="21">
        <v>65</v>
      </c>
      <c r="U2545" s="21" t="s">
        <v>1340</v>
      </c>
      <c r="V2545" s="21">
        <v>25</v>
      </c>
      <c r="W2545" s="21">
        <v>60</v>
      </c>
      <c r="X2545" s="23">
        <v>15</v>
      </c>
      <c r="Y2545" s="22"/>
      <c r="Z2545" s="22">
        <v>0</v>
      </c>
      <c r="AA2545" s="22"/>
      <c r="AB2545" s="22"/>
      <c r="AC2545" s="22"/>
      <c r="AD2545" s="22" t="s">
        <v>1165</v>
      </c>
      <c r="AE2545" s="22"/>
      <c r="AF2545" s="22" t="s">
        <v>153</v>
      </c>
      <c r="AG2545" s="22" t="s">
        <v>3059</v>
      </c>
      <c r="AH2545" s="22">
        <v>180</v>
      </c>
      <c r="AI2545" s="21" t="s">
        <v>153</v>
      </c>
      <c r="AJ2545" s="21" t="s">
        <v>1148</v>
      </c>
      <c r="AK2545" s="21">
        <v>69.885999999999996</v>
      </c>
      <c r="AL2545" s="21" t="s">
        <v>1277</v>
      </c>
      <c r="AM2545" s="21" t="s">
        <v>3003</v>
      </c>
      <c r="AN2545" s="21">
        <v>3</v>
      </c>
      <c r="AO2545" s="21">
        <v>30</v>
      </c>
      <c r="AP2545" s="21">
        <v>90</v>
      </c>
      <c r="AQ2545" s="22" t="s">
        <v>3060</v>
      </c>
      <c r="AR2545" s="21" t="s">
        <v>3058</v>
      </c>
    </row>
    <row r="2546" spans="1:45" ht="15" customHeight="1" x14ac:dyDescent="0.2">
      <c r="A2546" s="21" t="s">
        <v>1663</v>
      </c>
      <c r="B2546" s="21" t="s">
        <v>1146</v>
      </c>
      <c r="C2546" s="21" t="s">
        <v>1149</v>
      </c>
      <c r="D2546" s="21" t="s">
        <v>660</v>
      </c>
      <c r="E2546" s="21" t="s">
        <v>661</v>
      </c>
      <c r="F2546" s="22"/>
      <c r="G2546" s="21" t="s">
        <v>1165</v>
      </c>
      <c r="H2546" s="21" t="s">
        <v>1165</v>
      </c>
      <c r="I2546" s="21" t="s">
        <v>3055</v>
      </c>
      <c r="J2546" s="21">
        <v>41.033333300000002</v>
      </c>
      <c r="K2546" s="21">
        <v>17.033333299999999</v>
      </c>
      <c r="L2546" s="22"/>
      <c r="M2546" s="21" t="s">
        <v>1157</v>
      </c>
      <c r="N2546" s="22"/>
      <c r="O2546" s="21">
        <v>2018</v>
      </c>
      <c r="P2546" s="22"/>
      <c r="Q2546" s="21" t="s">
        <v>3056</v>
      </c>
      <c r="R2546" s="21" t="s">
        <v>3057</v>
      </c>
      <c r="T2546" s="21">
        <v>65</v>
      </c>
      <c r="U2546" s="21" t="s">
        <v>1340</v>
      </c>
      <c r="V2546" s="21">
        <v>25</v>
      </c>
      <c r="W2546" s="21">
        <v>60</v>
      </c>
      <c r="X2546" s="23">
        <v>15</v>
      </c>
      <c r="Y2546" s="22"/>
      <c r="Z2546" s="22">
        <v>0</v>
      </c>
      <c r="AA2546" s="22"/>
      <c r="AB2546" s="22"/>
      <c r="AC2546" s="22"/>
      <c r="AD2546" s="22" t="s">
        <v>1165</v>
      </c>
      <c r="AE2546" s="22"/>
      <c r="AF2546" s="22" t="s">
        <v>153</v>
      </c>
      <c r="AG2546" s="22" t="s">
        <v>3059</v>
      </c>
      <c r="AH2546" s="22">
        <v>180</v>
      </c>
      <c r="AI2546" s="21" t="s">
        <v>153</v>
      </c>
      <c r="AJ2546" s="21" t="s">
        <v>1148</v>
      </c>
      <c r="AK2546" s="21">
        <v>73.349999999999994</v>
      </c>
      <c r="AL2546" s="21" t="s">
        <v>1277</v>
      </c>
      <c r="AM2546" s="21" t="s">
        <v>3003</v>
      </c>
      <c r="AN2546" s="21">
        <v>3</v>
      </c>
      <c r="AO2546" s="21">
        <v>30</v>
      </c>
      <c r="AP2546" s="21">
        <v>120</v>
      </c>
      <c r="AQ2546" s="22" t="s">
        <v>3060</v>
      </c>
      <c r="AR2546" s="21" t="s">
        <v>3058</v>
      </c>
    </row>
    <row r="2547" spans="1:45" ht="15" customHeight="1" x14ac:dyDescent="0.2">
      <c r="A2547" s="21" t="s">
        <v>1663</v>
      </c>
      <c r="B2547" s="21" t="s">
        <v>1146</v>
      </c>
      <c r="C2547" s="21" t="s">
        <v>1149</v>
      </c>
      <c r="D2547" s="21" t="s">
        <v>660</v>
      </c>
      <c r="E2547" s="21" t="s">
        <v>661</v>
      </c>
      <c r="F2547" s="22"/>
      <c r="G2547" s="21" t="s">
        <v>1165</v>
      </c>
      <c r="H2547" s="21" t="s">
        <v>1165</v>
      </c>
      <c r="I2547" s="21" t="s">
        <v>3055</v>
      </c>
      <c r="J2547" s="21">
        <v>41.033333300000002</v>
      </c>
      <c r="K2547" s="21">
        <v>17.033333299999999</v>
      </c>
      <c r="L2547" s="22"/>
      <c r="M2547" s="21" t="s">
        <v>1157</v>
      </c>
      <c r="N2547" s="22"/>
      <c r="O2547" s="21">
        <v>2018</v>
      </c>
      <c r="P2547" s="22"/>
      <c r="Q2547" s="21" t="s">
        <v>3056</v>
      </c>
      <c r="R2547" s="21" t="s">
        <v>3057</v>
      </c>
      <c r="T2547" s="21">
        <v>65</v>
      </c>
      <c r="U2547" s="21" t="s">
        <v>1340</v>
      </c>
      <c r="V2547" s="21">
        <v>25</v>
      </c>
      <c r="W2547" s="21">
        <v>60</v>
      </c>
      <c r="X2547" s="23">
        <v>15</v>
      </c>
      <c r="Y2547" s="22"/>
      <c r="Z2547" s="22">
        <v>0</v>
      </c>
      <c r="AA2547" s="22"/>
      <c r="AB2547" s="22"/>
      <c r="AC2547" s="22"/>
      <c r="AD2547" s="22" t="s">
        <v>1165</v>
      </c>
      <c r="AE2547" s="22"/>
      <c r="AF2547" s="22" t="s">
        <v>153</v>
      </c>
      <c r="AG2547" s="22" t="s">
        <v>3059</v>
      </c>
      <c r="AH2547" s="22">
        <v>180</v>
      </c>
      <c r="AI2547" s="21" t="s">
        <v>153</v>
      </c>
      <c r="AJ2547" s="21" t="s">
        <v>1148</v>
      </c>
      <c r="AK2547" s="21">
        <v>75.081000000000003</v>
      </c>
      <c r="AL2547" s="21" t="s">
        <v>1277</v>
      </c>
      <c r="AM2547" s="21">
        <f>80.195-69.562</f>
        <v>10.632999999999996</v>
      </c>
      <c r="AN2547" s="21">
        <v>3</v>
      </c>
      <c r="AO2547" s="21">
        <v>30</v>
      </c>
      <c r="AP2547" s="21">
        <v>150</v>
      </c>
      <c r="AQ2547" s="22" t="s">
        <v>3060</v>
      </c>
      <c r="AR2547" s="21" t="s">
        <v>3058</v>
      </c>
    </row>
    <row r="2548" spans="1:45" ht="15" customHeight="1" x14ac:dyDescent="0.2">
      <c r="A2548" s="21" t="s">
        <v>1663</v>
      </c>
      <c r="B2548" s="21" t="s">
        <v>1146</v>
      </c>
      <c r="C2548" s="21" t="s">
        <v>1149</v>
      </c>
      <c r="D2548" s="21" t="s">
        <v>660</v>
      </c>
      <c r="E2548" s="21" t="s">
        <v>661</v>
      </c>
      <c r="F2548" s="22"/>
      <c r="G2548" s="21" t="s">
        <v>1165</v>
      </c>
      <c r="H2548" s="21" t="s">
        <v>1165</v>
      </c>
      <c r="I2548" s="21" t="s">
        <v>3055</v>
      </c>
      <c r="J2548" s="21">
        <v>41.033333300000002</v>
      </c>
      <c r="K2548" s="21">
        <v>17.033333299999999</v>
      </c>
      <c r="L2548" s="22"/>
      <c r="M2548" s="21" t="s">
        <v>1157</v>
      </c>
      <c r="N2548" s="22"/>
      <c r="O2548" s="21">
        <v>2018</v>
      </c>
      <c r="P2548" s="22"/>
      <c r="Q2548" s="21" t="s">
        <v>3056</v>
      </c>
      <c r="R2548" s="21" t="s">
        <v>3057</v>
      </c>
      <c r="T2548" s="21">
        <v>65</v>
      </c>
      <c r="U2548" s="21" t="s">
        <v>1340</v>
      </c>
      <c r="V2548" s="21">
        <v>25</v>
      </c>
      <c r="W2548" s="21">
        <v>60</v>
      </c>
      <c r="X2548" s="23">
        <v>15</v>
      </c>
      <c r="Y2548" s="22"/>
      <c r="Z2548" s="22">
        <v>0</v>
      </c>
      <c r="AA2548" s="22"/>
      <c r="AB2548" s="22"/>
      <c r="AC2548" s="22"/>
      <c r="AD2548" s="22" t="s">
        <v>1165</v>
      </c>
      <c r="AE2548" s="22"/>
      <c r="AF2548" s="22" t="s">
        <v>153</v>
      </c>
      <c r="AG2548" s="22" t="s">
        <v>3061</v>
      </c>
      <c r="AH2548" s="22">
        <v>180</v>
      </c>
      <c r="AI2548" s="21" t="s">
        <v>153</v>
      </c>
      <c r="AJ2548" s="21" t="s">
        <v>1148</v>
      </c>
      <c r="AK2548" s="21">
        <v>60.957999999999998</v>
      </c>
      <c r="AL2548" s="21" t="s">
        <v>1277</v>
      </c>
      <c r="AM2548" s="21" t="s">
        <v>3003</v>
      </c>
      <c r="AN2548" s="21">
        <v>3</v>
      </c>
      <c r="AO2548" s="21">
        <v>30</v>
      </c>
      <c r="AP2548" s="21">
        <v>90</v>
      </c>
      <c r="AQ2548" s="22" t="s">
        <v>3060</v>
      </c>
      <c r="AR2548" s="21" t="s">
        <v>3058</v>
      </c>
    </row>
    <row r="2549" spans="1:45" ht="15" customHeight="1" x14ac:dyDescent="0.2">
      <c r="A2549" s="21" t="s">
        <v>1663</v>
      </c>
      <c r="B2549" s="21" t="s">
        <v>1146</v>
      </c>
      <c r="C2549" s="21" t="s">
        <v>1149</v>
      </c>
      <c r="D2549" s="21" t="s">
        <v>660</v>
      </c>
      <c r="E2549" s="21" t="s">
        <v>661</v>
      </c>
      <c r="F2549" s="22"/>
      <c r="G2549" s="21" t="s">
        <v>1165</v>
      </c>
      <c r="H2549" s="21" t="s">
        <v>1165</v>
      </c>
      <c r="I2549" s="21" t="s">
        <v>3055</v>
      </c>
      <c r="J2549" s="21">
        <v>41.033333300000002</v>
      </c>
      <c r="K2549" s="21">
        <v>17.033333299999999</v>
      </c>
      <c r="L2549" s="22"/>
      <c r="M2549" s="21" t="s">
        <v>1157</v>
      </c>
      <c r="N2549" s="22"/>
      <c r="O2549" s="21">
        <v>2018</v>
      </c>
      <c r="P2549" s="22"/>
      <c r="Q2549" s="21" t="s">
        <v>3056</v>
      </c>
      <c r="R2549" s="21" t="s">
        <v>3057</v>
      </c>
      <c r="T2549" s="21">
        <v>65</v>
      </c>
      <c r="U2549" s="21" t="s">
        <v>1340</v>
      </c>
      <c r="V2549" s="21">
        <v>25</v>
      </c>
      <c r="W2549" s="21">
        <v>60</v>
      </c>
      <c r="X2549" s="23">
        <v>15</v>
      </c>
      <c r="Y2549" s="22"/>
      <c r="Z2549" s="22">
        <v>0</v>
      </c>
      <c r="AA2549" s="22"/>
      <c r="AB2549" s="22"/>
      <c r="AC2549" s="22"/>
      <c r="AD2549" s="22" t="s">
        <v>1165</v>
      </c>
      <c r="AE2549" s="22"/>
      <c r="AF2549" s="22" t="s">
        <v>153</v>
      </c>
      <c r="AG2549" s="22" t="s">
        <v>3061</v>
      </c>
      <c r="AH2549" s="22">
        <v>180</v>
      </c>
      <c r="AI2549" s="21" t="s">
        <v>153</v>
      </c>
      <c r="AJ2549" s="21" t="s">
        <v>1148</v>
      </c>
      <c r="AK2549" s="21">
        <v>61.173999999999999</v>
      </c>
      <c r="AL2549" s="21" t="s">
        <v>1277</v>
      </c>
      <c r="AM2549" s="21" t="s">
        <v>3003</v>
      </c>
      <c r="AN2549" s="21">
        <v>3</v>
      </c>
      <c r="AO2549" s="21">
        <v>30</v>
      </c>
      <c r="AP2549" s="21">
        <v>120</v>
      </c>
      <c r="AQ2549" s="22" t="s">
        <v>3060</v>
      </c>
      <c r="AR2549" s="21" t="s">
        <v>3058</v>
      </c>
    </row>
    <row r="2550" spans="1:45" ht="15" customHeight="1" x14ac:dyDescent="0.2">
      <c r="A2550" s="21" t="s">
        <v>1663</v>
      </c>
      <c r="B2550" s="21" t="s">
        <v>1146</v>
      </c>
      <c r="C2550" s="21" t="s">
        <v>1149</v>
      </c>
      <c r="D2550" s="21" t="s">
        <v>660</v>
      </c>
      <c r="E2550" s="21" t="s">
        <v>661</v>
      </c>
      <c r="F2550" s="22"/>
      <c r="G2550" s="21" t="s">
        <v>1165</v>
      </c>
      <c r="H2550" s="21" t="s">
        <v>1165</v>
      </c>
      <c r="I2550" s="21" t="s">
        <v>3055</v>
      </c>
      <c r="J2550" s="21">
        <v>41.033333300000002</v>
      </c>
      <c r="K2550" s="21">
        <v>17.033333299999999</v>
      </c>
      <c r="L2550" s="22"/>
      <c r="M2550" s="21" t="s">
        <v>1157</v>
      </c>
      <c r="N2550" s="22"/>
      <c r="O2550" s="21">
        <v>2018</v>
      </c>
      <c r="P2550" s="22"/>
      <c r="Q2550" s="21" t="s">
        <v>3056</v>
      </c>
      <c r="R2550" s="21" t="s">
        <v>3057</v>
      </c>
      <c r="T2550" s="21">
        <v>65</v>
      </c>
      <c r="U2550" s="21" t="s">
        <v>1340</v>
      </c>
      <c r="V2550" s="21">
        <v>25</v>
      </c>
      <c r="W2550" s="21">
        <v>60</v>
      </c>
      <c r="X2550" s="23">
        <v>15</v>
      </c>
      <c r="Y2550" s="22"/>
      <c r="Z2550" s="22">
        <v>0</v>
      </c>
      <c r="AA2550" s="22"/>
      <c r="AB2550" s="22"/>
      <c r="AC2550" s="22"/>
      <c r="AD2550" s="22" t="s">
        <v>1165</v>
      </c>
      <c r="AE2550" s="22"/>
      <c r="AF2550" s="22" t="s">
        <v>153</v>
      </c>
      <c r="AG2550" s="22" t="s">
        <v>3061</v>
      </c>
      <c r="AH2550" s="22">
        <v>180</v>
      </c>
      <c r="AI2550" s="21" t="s">
        <v>153</v>
      </c>
      <c r="AJ2550" s="21" t="s">
        <v>1148</v>
      </c>
      <c r="AK2550" s="21">
        <v>61.173999999999999</v>
      </c>
      <c r="AL2550" s="21" t="s">
        <v>1277</v>
      </c>
      <c r="AM2550" s="21" t="s">
        <v>3003</v>
      </c>
      <c r="AN2550" s="21">
        <v>3</v>
      </c>
      <c r="AO2550" s="21">
        <v>30</v>
      </c>
      <c r="AP2550" s="21">
        <v>150</v>
      </c>
      <c r="AQ2550" s="22" t="s">
        <v>3060</v>
      </c>
      <c r="AR2550" s="21" t="s">
        <v>3058</v>
      </c>
    </row>
    <row r="2551" spans="1:45" ht="15" customHeight="1" x14ac:dyDescent="0.2">
      <c r="A2551" s="21" t="s">
        <v>1663</v>
      </c>
      <c r="B2551" s="21" t="s">
        <v>1146</v>
      </c>
      <c r="C2551" s="21" t="s">
        <v>1149</v>
      </c>
      <c r="D2551" s="21" t="s">
        <v>660</v>
      </c>
      <c r="E2551" s="21" t="s">
        <v>661</v>
      </c>
      <c r="F2551" s="22"/>
      <c r="G2551" s="21" t="s">
        <v>1165</v>
      </c>
      <c r="H2551" s="21" t="s">
        <v>1165</v>
      </c>
      <c r="I2551" s="21" t="s">
        <v>3055</v>
      </c>
      <c r="J2551" s="21">
        <v>41.033333300000002</v>
      </c>
      <c r="K2551" s="21">
        <v>17.033333299999999</v>
      </c>
      <c r="L2551" s="22"/>
      <c r="M2551" s="21" t="s">
        <v>1157</v>
      </c>
      <c r="N2551" s="22"/>
      <c r="O2551" s="21">
        <v>2018</v>
      </c>
      <c r="P2551" s="22"/>
      <c r="Q2551" s="21" t="s">
        <v>3056</v>
      </c>
      <c r="R2551" s="21" t="s">
        <v>3057</v>
      </c>
      <c r="T2551" s="21">
        <v>65</v>
      </c>
      <c r="U2551" s="21" t="s">
        <v>1340</v>
      </c>
      <c r="V2551" s="21">
        <v>25</v>
      </c>
      <c r="W2551" s="21">
        <v>60</v>
      </c>
      <c r="X2551" s="23">
        <v>15</v>
      </c>
      <c r="Y2551" s="22"/>
      <c r="Z2551" s="22">
        <v>0</v>
      </c>
      <c r="AA2551" s="22" t="s">
        <v>1159</v>
      </c>
      <c r="AB2551" s="22">
        <v>300</v>
      </c>
      <c r="AC2551" s="22">
        <v>0.125</v>
      </c>
      <c r="AD2551" s="22" t="s">
        <v>1165</v>
      </c>
      <c r="AE2551" s="22"/>
      <c r="AF2551" s="22" t="s">
        <v>153</v>
      </c>
      <c r="AG2551" s="22"/>
      <c r="AH2551" s="22"/>
      <c r="AI2551" s="21" t="s">
        <v>153</v>
      </c>
      <c r="AJ2551" s="21" t="s">
        <v>1148</v>
      </c>
      <c r="AK2551" s="21">
        <v>28.408999999999999</v>
      </c>
      <c r="AL2551" s="21" t="s">
        <v>1277</v>
      </c>
      <c r="AM2551" s="21" t="s">
        <v>3003</v>
      </c>
      <c r="AN2551" s="21">
        <v>3</v>
      </c>
      <c r="AO2551" s="21">
        <v>30</v>
      </c>
      <c r="AP2551" s="21">
        <v>30</v>
      </c>
      <c r="AQ2551" s="22" t="s">
        <v>3060</v>
      </c>
      <c r="AR2551" s="21" t="s">
        <v>3058</v>
      </c>
    </row>
    <row r="2552" spans="1:45" ht="15" customHeight="1" x14ac:dyDescent="0.2">
      <c r="A2552" s="21" t="s">
        <v>1663</v>
      </c>
      <c r="B2552" s="21" t="s">
        <v>1146</v>
      </c>
      <c r="C2552" s="21" t="s">
        <v>1149</v>
      </c>
      <c r="D2552" s="21" t="s">
        <v>660</v>
      </c>
      <c r="E2552" s="21" t="s">
        <v>661</v>
      </c>
      <c r="F2552" s="22"/>
      <c r="G2552" s="21" t="s">
        <v>1165</v>
      </c>
      <c r="H2552" s="21" t="s">
        <v>1165</v>
      </c>
      <c r="I2552" s="21" t="s">
        <v>3055</v>
      </c>
      <c r="J2552" s="21">
        <v>41.033333300000002</v>
      </c>
      <c r="K2552" s="21">
        <v>17.033333299999999</v>
      </c>
      <c r="L2552" s="22"/>
      <c r="M2552" s="21" t="s">
        <v>1157</v>
      </c>
      <c r="N2552" s="22"/>
      <c r="O2552" s="21">
        <v>2018</v>
      </c>
      <c r="P2552" s="22"/>
      <c r="Q2552" s="21" t="s">
        <v>3056</v>
      </c>
      <c r="R2552" s="21" t="s">
        <v>3057</v>
      </c>
      <c r="T2552" s="21">
        <v>65</v>
      </c>
      <c r="U2552" s="21" t="s">
        <v>1340</v>
      </c>
      <c r="V2552" s="21">
        <v>25</v>
      </c>
      <c r="W2552" s="21">
        <v>60</v>
      </c>
      <c r="X2552" s="23">
        <v>15</v>
      </c>
      <c r="Y2552" s="22"/>
      <c r="Z2552" s="22">
        <v>0</v>
      </c>
      <c r="AA2552" s="22" t="s">
        <v>1159</v>
      </c>
      <c r="AB2552" s="22">
        <v>300</v>
      </c>
      <c r="AC2552" s="22">
        <v>0.125</v>
      </c>
      <c r="AD2552" s="22" t="s">
        <v>1165</v>
      </c>
      <c r="AE2552" s="22"/>
      <c r="AF2552" s="22" t="s">
        <v>153</v>
      </c>
      <c r="AG2552" s="22"/>
      <c r="AH2552" s="22"/>
      <c r="AI2552" s="21" t="s">
        <v>153</v>
      </c>
      <c r="AJ2552" s="21" t="s">
        <v>1148</v>
      </c>
      <c r="AK2552" s="21">
        <v>48.566000000000003</v>
      </c>
      <c r="AL2552" s="21" t="s">
        <v>1277</v>
      </c>
      <c r="AM2552" s="21" t="s">
        <v>3003</v>
      </c>
      <c r="AN2552" s="21">
        <v>3</v>
      </c>
      <c r="AO2552" s="21">
        <v>30</v>
      </c>
      <c r="AP2552" s="21">
        <v>60</v>
      </c>
      <c r="AQ2552" s="22" t="s">
        <v>3060</v>
      </c>
      <c r="AR2552" s="21" t="s">
        <v>3058</v>
      </c>
    </row>
    <row r="2553" spans="1:45" ht="15" customHeight="1" x14ac:dyDescent="0.2">
      <c r="A2553" s="21" t="s">
        <v>1663</v>
      </c>
      <c r="B2553" s="21" t="s">
        <v>1146</v>
      </c>
      <c r="C2553" s="21" t="s">
        <v>1149</v>
      </c>
      <c r="D2553" s="21" t="s">
        <v>660</v>
      </c>
      <c r="E2553" s="21" t="s">
        <v>661</v>
      </c>
      <c r="F2553" s="22"/>
      <c r="G2553" s="21" t="s">
        <v>1165</v>
      </c>
      <c r="H2553" s="21" t="s">
        <v>1165</v>
      </c>
      <c r="I2553" s="21" t="s">
        <v>3055</v>
      </c>
      <c r="J2553" s="21">
        <v>41.033333300000002</v>
      </c>
      <c r="K2553" s="21">
        <v>17.033333299999999</v>
      </c>
      <c r="L2553" s="22"/>
      <c r="M2553" s="21" t="s">
        <v>1157</v>
      </c>
      <c r="N2553" s="22"/>
      <c r="O2553" s="21">
        <v>2018</v>
      </c>
      <c r="P2553" s="22"/>
      <c r="Q2553" s="21" t="s">
        <v>3056</v>
      </c>
      <c r="R2553" s="21" t="s">
        <v>3057</v>
      </c>
      <c r="T2553" s="21">
        <v>65</v>
      </c>
      <c r="U2553" s="21" t="s">
        <v>1340</v>
      </c>
      <c r="V2553" s="21">
        <v>25</v>
      </c>
      <c r="W2553" s="21">
        <v>60</v>
      </c>
      <c r="X2553" s="23">
        <v>15</v>
      </c>
      <c r="Y2553" s="22"/>
      <c r="Z2553" s="22">
        <v>0</v>
      </c>
      <c r="AA2553" s="22" t="s">
        <v>1159</v>
      </c>
      <c r="AB2553" s="22">
        <v>300</v>
      </c>
      <c r="AC2553" s="22">
        <v>0.125</v>
      </c>
      <c r="AD2553" s="22" t="s">
        <v>1165</v>
      </c>
      <c r="AE2553" s="22"/>
      <c r="AF2553" s="22" t="s">
        <v>153</v>
      </c>
      <c r="AG2553" s="22"/>
      <c r="AH2553" s="22"/>
      <c r="AI2553" s="21" t="s">
        <v>153</v>
      </c>
      <c r="AJ2553" s="21" t="s">
        <v>1148</v>
      </c>
      <c r="AK2553" s="21">
        <v>53.436</v>
      </c>
      <c r="AL2553" s="21" t="s">
        <v>1277</v>
      </c>
      <c r="AM2553" s="21" t="s">
        <v>3003</v>
      </c>
      <c r="AN2553" s="21">
        <v>3</v>
      </c>
      <c r="AO2553" s="21">
        <v>30</v>
      </c>
      <c r="AP2553" s="21">
        <v>90</v>
      </c>
      <c r="AQ2553" s="22" t="s">
        <v>3060</v>
      </c>
      <c r="AR2553" s="21" t="s">
        <v>3058</v>
      </c>
    </row>
    <row r="2554" spans="1:45" ht="15" customHeight="1" x14ac:dyDescent="0.2">
      <c r="A2554" s="21" t="s">
        <v>1663</v>
      </c>
      <c r="B2554" s="21" t="s">
        <v>1146</v>
      </c>
      <c r="C2554" s="21" t="s">
        <v>1149</v>
      </c>
      <c r="D2554" s="21" t="s">
        <v>660</v>
      </c>
      <c r="E2554" s="21" t="s">
        <v>661</v>
      </c>
      <c r="F2554" s="22"/>
      <c r="G2554" s="21" t="s">
        <v>1165</v>
      </c>
      <c r="H2554" s="21" t="s">
        <v>1165</v>
      </c>
      <c r="I2554" s="21" t="s">
        <v>3055</v>
      </c>
      <c r="J2554" s="21">
        <v>41.033333300000002</v>
      </c>
      <c r="K2554" s="21">
        <v>17.033333299999999</v>
      </c>
      <c r="L2554" s="22"/>
      <c r="M2554" s="21" t="s">
        <v>1157</v>
      </c>
      <c r="N2554" s="22"/>
      <c r="O2554" s="21">
        <v>2018</v>
      </c>
      <c r="P2554" s="22"/>
      <c r="Q2554" s="21" t="s">
        <v>3056</v>
      </c>
      <c r="R2554" s="21" t="s">
        <v>3057</v>
      </c>
      <c r="T2554" s="21">
        <v>65</v>
      </c>
      <c r="U2554" s="21" t="s">
        <v>1340</v>
      </c>
      <c r="V2554" s="21">
        <v>25</v>
      </c>
      <c r="W2554" s="21">
        <v>60</v>
      </c>
      <c r="X2554" s="23">
        <v>15</v>
      </c>
      <c r="Y2554" s="22"/>
      <c r="Z2554" s="22">
        <v>0</v>
      </c>
      <c r="AA2554" s="22" t="s">
        <v>1159</v>
      </c>
      <c r="AB2554" s="22">
        <v>300</v>
      </c>
      <c r="AC2554" s="22">
        <v>0.125</v>
      </c>
      <c r="AD2554" s="22" t="s">
        <v>1165</v>
      </c>
      <c r="AE2554" s="22"/>
      <c r="AF2554" s="22" t="s">
        <v>153</v>
      </c>
      <c r="AG2554" s="22"/>
      <c r="AH2554" s="22"/>
      <c r="AI2554" s="21" t="s">
        <v>153</v>
      </c>
      <c r="AJ2554" s="21" t="s">
        <v>1148</v>
      </c>
      <c r="AK2554" s="21">
        <v>58.631</v>
      </c>
      <c r="AL2554" s="21" t="s">
        <v>1277</v>
      </c>
      <c r="AM2554" s="21" t="s">
        <v>3003</v>
      </c>
      <c r="AN2554" s="21">
        <v>3</v>
      </c>
      <c r="AO2554" s="21">
        <v>30</v>
      </c>
      <c r="AP2554" s="21">
        <v>120</v>
      </c>
      <c r="AQ2554" s="22" t="s">
        <v>3060</v>
      </c>
      <c r="AR2554" s="21" t="s">
        <v>3058</v>
      </c>
    </row>
    <row r="2555" spans="1:45" ht="15" customHeight="1" x14ac:dyDescent="0.2">
      <c r="A2555" s="21" t="s">
        <v>1663</v>
      </c>
      <c r="B2555" s="21" t="s">
        <v>1146</v>
      </c>
      <c r="C2555" s="21" t="s">
        <v>1149</v>
      </c>
      <c r="D2555" s="21" t="s">
        <v>660</v>
      </c>
      <c r="E2555" s="21" t="s">
        <v>661</v>
      </c>
      <c r="F2555" s="22"/>
      <c r="G2555" s="21" t="s">
        <v>1165</v>
      </c>
      <c r="H2555" s="21" t="s">
        <v>1165</v>
      </c>
      <c r="I2555" s="21" t="s">
        <v>3055</v>
      </c>
      <c r="J2555" s="21">
        <v>41.033333300000002</v>
      </c>
      <c r="K2555" s="21">
        <v>17.033333299999999</v>
      </c>
      <c r="L2555" s="22"/>
      <c r="M2555" s="21" t="s">
        <v>1157</v>
      </c>
      <c r="N2555" s="22"/>
      <c r="O2555" s="21">
        <v>2018</v>
      </c>
      <c r="P2555" s="22"/>
      <c r="Q2555" s="21" t="s">
        <v>3056</v>
      </c>
      <c r="R2555" s="21" t="s">
        <v>3057</v>
      </c>
      <c r="T2555" s="21">
        <v>65</v>
      </c>
      <c r="U2555" s="21" t="s">
        <v>1340</v>
      </c>
      <c r="V2555" s="21">
        <v>25</v>
      </c>
      <c r="W2555" s="21">
        <v>60</v>
      </c>
      <c r="X2555" s="23">
        <v>15</v>
      </c>
      <c r="Y2555" s="22"/>
      <c r="Z2555" s="22">
        <v>0</v>
      </c>
      <c r="AA2555" s="22" t="s">
        <v>1159</v>
      </c>
      <c r="AB2555" s="22">
        <v>300</v>
      </c>
      <c r="AC2555" s="22">
        <v>0.125</v>
      </c>
      <c r="AD2555" s="22" t="s">
        <v>1165</v>
      </c>
      <c r="AE2555" s="22"/>
      <c r="AF2555" s="22" t="s">
        <v>153</v>
      </c>
      <c r="AG2555" s="22"/>
      <c r="AH2555" s="22"/>
      <c r="AI2555" s="21" t="s">
        <v>153</v>
      </c>
      <c r="AJ2555" s="21" t="s">
        <v>1148</v>
      </c>
      <c r="AK2555" s="21">
        <v>58.576999999999998</v>
      </c>
      <c r="AL2555" s="21" t="s">
        <v>1277</v>
      </c>
      <c r="AM2555" s="21" t="s">
        <v>3003</v>
      </c>
      <c r="AN2555" s="21">
        <v>3</v>
      </c>
      <c r="AO2555" s="21">
        <v>30</v>
      </c>
      <c r="AP2555" s="21">
        <v>150</v>
      </c>
      <c r="AQ2555" s="22" t="s">
        <v>3060</v>
      </c>
      <c r="AR2555" s="21" t="s">
        <v>3058</v>
      </c>
    </row>
    <row r="2556" spans="1:45" ht="15" customHeight="1" x14ac:dyDescent="0.2">
      <c r="A2556" s="21" t="s">
        <v>1663</v>
      </c>
      <c r="B2556" s="21" t="s">
        <v>1146</v>
      </c>
      <c r="C2556" s="21" t="s">
        <v>1149</v>
      </c>
      <c r="D2556" s="21" t="s">
        <v>660</v>
      </c>
      <c r="E2556" s="21" t="s">
        <v>661</v>
      </c>
      <c r="F2556" s="22"/>
      <c r="G2556" s="21" t="s">
        <v>1165</v>
      </c>
      <c r="H2556" s="21" t="s">
        <v>1165</v>
      </c>
      <c r="I2556" s="21" t="s">
        <v>3055</v>
      </c>
      <c r="J2556" s="21">
        <v>41.033333300000002</v>
      </c>
      <c r="K2556" s="21">
        <v>17.033333299999999</v>
      </c>
      <c r="L2556" s="22"/>
      <c r="M2556" s="21" t="s">
        <v>1157</v>
      </c>
      <c r="N2556" s="22"/>
      <c r="O2556" s="21">
        <v>2018</v>
      </c>
      <c r="P2556" s="22"/>
      <c r="Q2556" s="21" t="s">
        <v>3056</v>
      </c>
      <c r="R2556" s="21" t="s">
        <v>3057</v>
      </c>
      <c r="T2556" s="21">
        <v>65</v>
      </c>
      <c r="U2556" s="21" t="s">
        <v>1340</v>
      </c>
      <c r="V2556" s="21">
        <v>25</v>
      </c>
      <c r="W2556" s="21">
        <v>60</v>
      </c>
      <c r="X2556" s="23">
        <v>15</v>
      </c>
      <c r="Y2556" s="22" t="s">
        <v>3063</v>
      </c>
      <c r="Z2556" s="22">
        <v>0</v>
      </c>
      <c r="AA2556" s="22"/>
      <c r="AB2556" s="22"/>
      <c r="AC2556" s="22">
        <v>2.0833299999999999E-2</v>
      </c>
      <c r="AD2556" s="22" t="s">
        <v>1165</v>
      </c>
      <c r="AE2556" s="22"/>
      <c r="AF2556" s="22" t="s">
        <v>153</v>
      </c>
      <c r="AG2556" s="22"/>
      <c r="AH2556" s="22"/>
      <c r="AI2556" s="21" t="s">
        <v>153</v>
      </c>
      <c r="AJ2556" s="21" t="s">
        <v>1148</v>
      </c>
      <c r="AK2556" s="21">
        <v>1.762</v>
      </c>
      <c r="AL2556" s="21" t="s">
        <v>1277</v>
      </c>
      <c r="AM2556" s="21" t="s">
        <v>3003</v>
      </c>
      <c r="AN2556" s="21">
        <v>3</v>
      </c>
      <c r="AO2556" s="21">
        <v>30</v>
      </c>
      <c r="AP2556" s="21">
        <v>15</v>
      </c>
      <c r="AQ2556" s="22" t="s">
        <v>3060</v>
      </c>
      <c r="AR2556" s="21" t="s">
        <v>3062</v>
      </c>
    </row>
    <row r="2557" spans="1:45" ht="15" customHeight="1" x14ac:dyDescent="0.2">
      <c r="A2557" s="21" t="s">
        <v>1663</v>
      </c>
      <c r="B2557" s="21" t="s">
        <v>1146</v>
      </c>
      <c r="C2557" s="21" t="s">
        <v>1149</v>
      </c>
      <c r="D2557" s="21" t="s">
        <v>660</v>
      </c>
      <c r="E2557" s="21" t="s">
        <v>661</v>
      </c>
      <c r="F2557" s="22"/>
      <c r="G2557" s="21" t="s">
        <v>1165</v>
      </c>
      <c r="H2557" s="21" t="s">
        <v>1165</v>
      </c>
      <c r="I2557" s="21" t="s">
        <v>3055</v>
      </c>
      <c r="J2557" s="21">
        <v>41.033333300000002</v>
      </c>
      <c r="K2557" s="21">
        <v>17.033333299999999</v>
      </c>
      <c r="L2557" s="22"/>
      <c r="M2557" s="21" t="s">
        <v>1157</v>
      </c>
      <c r="N2557" s="22"/>
      <c r="O2557" s="21">
        <v>2018</v>
      </c>
      <c r="P2557" s="22"/>
      <c r="Q2557" s="21" t="s">
        <v>3056</v>
      </c>
      <c r="R2557" s="21" t="s">
        <v>3057</v>
      </c>
      <c r="T2557" s="21">
        <v>65</v>
      </c>
      <c r="U2557" s="21" t="s">
        <v>1340</v>
      </c>
      <c r="V2557" s="21">
        <v>25</v>
      </c>
      <c r="W2557" s="21">
        <v>60</v>
      </c>
      <c r="X2557" s="23">
        <v>15</v>
      </c>
      <c r="Y2557" s="22"/>
      <c r="Z2557" s="22">
        <v>0</v>
      </c>
      <c r="AA2557" s="22"/>
      <c r="AB2557" s="22"/>
      <c r="AC2557" s="22">
        <v>0</v>
      </c>
      <c r="AD2557" s="22" t="s">
        <v>1165</v>
      </c>
      <c r="AE2557" s="22"/>
      <c r="AF2557" s="22" t="s">
        <v>153</v>
      </c>
      <c r="AG2557" s="22"/>
      <c r="AH2557" s="22"/>
      <c r="AI2557" s="21" t="s">
        <v>153</v>
      </c>
      <c r="AJ2557" s="21" t="s">
        <v>1148</v>
      </c>
      <c r="AK2557" s="21">
        <v>40.749000000000002</v>
      </c>
      <c r="AL2557" s="21" t="s">
        <v>1277</v>
      </c>
      <c r="AM2557" s="21">
        <f>43.943-37.115</f>
        <v>6.8279999999999959</v>
      </c>
      <c r="AN2557" s="21">
        <v>3</v>
      </c>
      <c r="AO2557" s="21">
        <v>30</v>
      </c>
      <c r="AP2557" s="21">
        <v>30</v>
      </c>
      <c r="AQ2557" s="22" t="s">
        <v>3060</v>
      </c>
      <c r="AR2557" s="21" t="s">
        <v>3062</v>
      </c>
      <c r="AS2557" t="s">
        <v>1147</v>
      </c>
    </row>
    <row r="2558" spans="1:45" ht="15" customHeight="1" x14ac:dyDescent="0.2">
      <c r="A2558" s="21" t="s">
        <v>1663</v>
      </c>
      <c r="B2558" s="21" t="s">
        <v>1146</v>
      </c>
      <c r="C2558" s="21" t="s">
        <v>1149</v>
      </c>
      <c r="D2558" s="21" t="s">
        <v>660</v>
      </c>
      <c r="E2558" s="21" t="s">
        <v>661</v>
      </c>
      <c r="F2558" s="22"/>
      <c r="G2558" s="21" t="s">
        <v>1165</v>
      </c>
      <c r="H2558" s="21" t="s">
        <v>1165</v>
      </c>
      <c r="I2558" s="21" t="s">
        <v>3055</v>
      </c>
      <c r="J2558" s="21">
        <v>41.033333300000002</v>
      </c>
      <c r="K2558" s="21">
        <v>17.033333299999999</v>
      </c>
      <c r="L2558" s="22"/>
      <c r="M2558" s="21" t="s">
        <v>1157</v>
      </c>
      <c r="N2558" s="22"/>
      <c r="O2558" s="21">
        <v>2018</v>
      </c>
      <c r="P2558" s="22"/>
      <c r="Q2558" s="21" t="s">
        <v>3056</v>
      </c>
      <c r="R2558" s="21" t="s">
        <v>3057</v>
      </c>
      <c r="T2558" s="21">
        <v>65</v>
      </c>
      <c r="U2558" s="21" t="s">
        <v>1340</v>
      </c>
      <c r="V2558" s="21">
        <v>25</v>
      </c>
      <c r="W2558" s="21">
        <v>60</v>
      </c>
      <c r="X2558" s="23">
        <v>15</v>
      </c>
      <c r="Y2558" s="22" t="s">
        <v>3063</v>
      </c>
      <c r="Z2558" s="22">
        <v>0</v>
      </c>
      <c r="AA2558" s="22"/>
      <c r="AB2558" s="22"/>
      <c r="AC2558" s="22">
        <v>6.9444400000000001E-4</v>
      </c>
      <c r="AD2558" s="22" t="s">
        <v>1165</v>
      </c>
      <c r="AE2558" s="22"/>
      <c r="AF2558" s="22" t="s">
        <v>153</v>
      </c>
      <c r="AG2558" s="22"/>
      <c r="AH2558" s="22"/>
      <c r="AI2558" s="21" t="s">
        <v>153</v>
      </c>
      <c r="AJ2558" s="21" t="s">
        <v>1148</v>
      </c>
      <c r="AK2558" s="21">
        <v>28.524000000000001</v>
      </c>
      <c r="AL2558" s="21" t="s">
        <v>1277</v>
      </c>
      <c r="AM2558" s="21">
        <f>33.811-23.238</f>
        <v>10.573</v>
      </c>
      <c r="AN2558" s="21">
        <v>3</v>
      </c>
      <c r="AO2558" s="21">
        <v>30</v>
      </c>
      <c r="AP2558" s="21">
        <v>30</v>
      </c>
      <c r="AQ2558" s="22" t="s">
        <v>3060</v>
      </c>
      <c r="AR2558" s="21" t="s">
        <v>3062</v>
      </c>
    </row>
    <row r="2559" spans="1:45" ht="15" customHeight="1" x14ac:dyDescent="0.2">
      <c r="A2559" s="21" t="s">
        <v>1663</v>
      </c>
      <c r="B2559" s="21" t="s">
        <v>1146</v>
      </c>
      <c r="C2559" s="21" t="s">
        <v>1149</v>
      </c>
      <c r="D2559" s="21" t="s">
        <v>660</v>
      </c>
      <c r="E2559" s="21" t="s">
        <v>661</v>
      </c>
      <c r="F2559" s="22"/>
      <c r="G2559" s="21" t="s">
        <v>1165</v>
      </c>
      <c r="H2559" s="21" t="s">
        <v>1165</v>
      </c>
      <c r="I2559" s="21" t="s">
        <v>3055</v>
      </c>
      <c r="J2559" s="21">
        <v>41.033333300000002</v>
      </c>
      <c r="K2559" s="21">
        <v>17.033333299999999</v>
      </c>
      <c r="L2559" s="22"/>
      <c r="M2559" s="21" t="s">
        <v>1157</v>
      </c>
      <c r="N2559" s="22"/>
      <c r="O2559" s="21">
        <v>2018</v>
      </c>
      <c r="P2559" s="22"/>
      <c r="Q2559" s="21" t="s">
        <v>3056</v>
      </c>
      <c r="R2559" s="21" t="s">
        <v>3057</v>
      </c>
      <c r="T2559" s="21">
        <v>65</v>
      </c>
      <c r="U2559" s="21" t="s">
        <v>1340</v>
      </c>
      <c r="V2559" s="21">
        <v>25</v>
      </c>
      <c r="W2559" s="21">
        <v>60</v>
      </c>
      <c r="X2559" s="23">
        <v>15</v>
      </c>
      <c r="Y2559" s="22" t="s">
        <v>3063</v>
      </c>
      <c r="Z2559" s="22">
        <v>0</v>
      </c>
      <c r="AA2559" s="22"/>
      <c r="AB2559" s="22"/>
      <c r="AC2559" s="22">
        <v>1.0416699999999999E-2</v>
      </c>
      <c r="AD2559" s="22" t="s">
        <v>1165</v>
      </c>
      <c r="AE2559" s="22"/>
      <c r="AF2559" s="22" t="s">
        <v>153</v>
      </c>
      <c r="AG2559" s="22"/>
      <c r="AH2559" s="22"/>
      <c r="AI2559" s="21" t="s">
        <v>153</v>
      </c>
      <c r="AJ2559" s="21" t="s">
        <v>1148</v>
      </c>
      <c r="AK2559" s="21">
        <v>16.41</v>
      </c>
      <c r="AL2559" s="21" t="s">
        <v>1277</v>
      </c>
      <c r="AM2559" s="21" t="s">
        <v>3003</v>
      </c>
      <c r="AN2559" s="21">
        <v>3</v>
      </c>
      <c r="AO2559" s="21">
        <v>30</v>
      </c>
      <c r="AP2559" s="21">
        <v>30</v>
      </c>
      <c r="AQ2559" s="22" t="s">
        <v>3060</v>
      </c>
      <c r="AR2559" s="21" t="s">
        <v>3062</v>
      </c>
    </row>
    <row r="2560" spans="1:45" ht="15" customHeight="1" x14ac:dyDescent="0.2">
      <c r="A2560" s="21" t="s">
        <v>1663</v>
      </c>
      <c r="B2560" s="21" t="s">
        <v>1146</v>
      </c>
      <c r="C2560" s="21" t="s">
        <v>1149</v>
      </c>
      <c r="D2560" s="21" t="s">
        <v>660</v>
      </c>
      <c r="E2560" s="21" t="s">
        <v>661</v>
      </c>
      <c r="F2560" s="22"/>
      <c r="G2560" s="21" t="s">
        <v>1165</v>
      </c>
      <c r="H2560" s="21" t="s">
        <v>1165</v>
      </c>
      <c r="I2560" s="21" t="s">
        <v>3055</v>
      </c>
      <c r="J2560" s="21">
        <v>41.033333300000002</v>
      </c>
      <c r="K2560" s="21">
        <v>17.033333299999999</v>
      </c>
      <c r="L2560" s="22"/>
      <c r="M2560" s="21" t="s">
        <v>1157</v>
      </c>
      <c r="N2560" s="22"/>
      <c r="O2560" s="21">
        <v>2018</v>
      </c>
      <c r="P2560" s="22"/>
      <c r="Q2560" s="21" t="s">
        <v>3056</v>
      </c>
      <c r="R2560" s="21" t="s">
        <v>3057</v>
      </c>
      <c r="T2560" s="21">
        <v>65</v>
      </c>
      <c r="U2560" s="21" t="s">
        <v>1340</v>
      </c>
      <c r="V2560" s="21">
        <v>25</v>
      </c>
      <c r="W2560" s="21">
        <v>60</v>
      </c>
      <c r="X2560" s="23">
        <v>15</v>
      </c>
      <c r="Y2560" s="22" t="s">
        <v>3063</v>
      </c>
      <c r="Z2560" s="22">
        <v>0</v>
      </c>
      <c r="AA2560" s="22"/>
      <c r="AB2560" s="22"/>
      <c r="AC2560" s="22">
        <v>2.0833299999999999E-2</v>
      </c>
      <c r="AD2560" s="22" t="s">
        <v>1165</v>
      </c>
      <c r="AE2560" s="22"/>
      <c r="AF2560" s="22" t="s">
        <v>153</v>
      </c>
      <c r="AG2560" s="22"/>
      <c r="AH2560" s="22"/>
      <c r="AI2560" s="21" t="s">
        <v>153</v>
      </c>
      <c r="AJ2560" s="21" t="s">
        <v>1148</v>
      </c>
      <c r="AK2560" s="21">
        <v>12.004</v>
      </c>
      <c r="AL2560" s="21" t="s">
        <v>1277</v>
      </c>
      <c r="AM2560" s="21" t="s">
        <v>3003</v>
      </c>
      <c r="AN2560" s="21">
        <v>3</v>
      </c>
      <c r="AO2560" s="21">
        <v>30</v>
      </c>
      <c r="AP2560" s="21">
        <v>30</v>
      </c>
      <c r="AQ2560" s="22" t="s">
        <v>3060</v>
      </c>
      <c r="AR2560" s="21" t="s">
        <v>3062</v>
      </c>
    </row>
    <row r="2561" spans="1:45" ht="15" customHeight="1" x14ac:dyDescent="0.2">
      <c r="A2561" s="21" t="s">
        <v>1663</v>
      </c>
      <c r="B2561" s="21" t="s">
        <v>1146</v>
      </c>
      <c r="C2561" s="21" t="s">
        <v>1149</v>
      </c>
      <c r="D2561" s="21" t="s">
        <v>660</v>
      </c>
      <c r="E2561" s="21" t="s">
        <v>661</v>
      </c>
      <c r="F2561" s="22"/>
      <c r="G2561" s="21" t="s">
        <v>1165</v>
      </c>
      <c r="H2561" s="21" t="s">
        <v>1165</v>
      </c>
      <c r="I2561" s="21" t="s">
        <v>3055</v>
      </c>
      <c r="J2561" s="21">
        <v>41.033333300000002</v>
      </c>
      <c r="K2561" s="21">
        <v>17.033333299999999</v>
      </c>
      <c r="L2561" s="22"/>
      <c r="M2561" s="21" t="s">
        <v>1157</v>
      </c>
      <c r="N2561" s="22"/>
      <c r="O2561" s="21">
        <v>2018</v>
      </c>
      <c r="P2561" s="22"/>
      <c r="Q2561" s="21" t="s">
        <v>3056</v>
      </c>
      <c r="R2561" s="21" t="s">
        <v>3057</v>
      </c>
      <c r="T2561" s="21">
        <v>65</v>
      </c>
      <c r="U2561" s="21" t="s">
        <v>1340</v>
      </c>
      <c r="V2561" s="21">
        <v>25</v>
      </c>
      <c r="W2561" s="21">
        <v>60</v>
      </c>
      <c r="X2561" s="23">
        <v>15</v>
      </c>
      <c r="Y2561" s="22"/>
      <c r="Z2561" s="22">
        <v>0</v>
      </c>
      <c r="AA2561" s="22"/>
      <c r="AB2561" s="22"/>
      <c r="AC2561" s="22">
        <v>0</v>
      </c>
      <c r="AD2561" s="22" t="s">
        <v>1165</v>
      </c>
      <c r="AE2561" s="22"/>
      <c r="AF2561" s="22" t="s">
        <v>153</v>
      </c>
      <c r="AG2561" s="22"/>
      <c r="AH2561" s="22"/>
      <c r="AI2561" s="21" t="s">
        <v>153</v>
      </c>
      <c r="AJ2561" s="21" t="s">
        <v>1148</v>
      </c>
      <c r="AK2561" s="21">
        <v>64.757999999999996</v>
      </c>
      <c r="AL2561" s="21" t="s">
        <v>1277</v>
      </c>
      <c r="AM2561" s="21">
        <f>68.759-59.802</f>
        <v>8.9570000000000007</v>
      </c>
      <c r="AN2561" s="21">
        <v>3</v>
      </c>
      <c r="AO2561" s="21">
        <v>30</v>
      </c>
      <c r="AP2561" s="21">
        <v>60</v>
      </c>
      <c r="AQ2561" s="22" t="s">
        <v>3060</v>
      </c>
      <c r="AR2561" s="21" t="s">
        <v>3062</v>
      </c>
      <c r="AS2561" t="s">
        <v>1147</v>
      </c>
    </row>
    <row r="2562" spans="1:45" ht="15" customHeight="1" x14ac:dyDescent="0.2">
      <c r="A2562" s="21" t="s">
        <v>1663</v>
      </c>
      <c r="B2562" s="21" t="s">
        <v>1146</v>
      </c>
      <c r="C2562" s="21" t="s">
        <v>1149</v>
      </c>
      <c r="D2562" s="21" t="s">
        <v>660</v>
      </c>
      <c r="E2562" s="21" t="s">
        <v>661</v>
      </c>
      <c r="F2562" s="22"/>
      <c r="G2562" s="21" t="s">
        <v>1165</v>
      </c>
      <c r="H2562" s="21" t="s">
        <v>1165</v>
      </c>
      <c r="I2562" s="21" t="s">
        <v>3055</v>
      </c>
      <c r="J2562" s="21">
        <v>41.033333300000002</v>
      </c>
      <c r="K2562" s="21">
        <v>17.033333299999999</v>
      </c>
      <c r="L2562" s="22"/>
      <c r="M2562" s="21" t="s">
        <v>1157</v>
      </c>
      <c r="N2562" s="22"/>
      <c r="O2562" s="21">
        <v>2018</v>
      </c>
      <c r="P2562" s="22"/>
      <c r="Q2562" s="21" t="s">
        <v>3056</v>
      </c>
      <c r="R2562" s="21" t="s">
        <v>3057</v>
      </c>
      <c r="T2562" s="21">
        <v>65</v>
      </c>
      <c r="U2562" s="21" t="s">
        <v>1340</v>
      </c>
      <c r="V2562" s="21">
        <v>25</v>
      </c>
      <c r="W2562" s="21">
        <v>60</v>
      </c>
      <c r="X2562" s="23">
        <v>15</v>
      </c>
      <c r="Y2562" s="22" t="s">
        <v>3063</v>
      </c>
      <c r="Z2562" s="22">
        <v>0</v>
      </c>
      <c r="AA2562" s="22"/>
      <c r="AB2562" s="22"/>
      <c r="AC2562" s="22">
        <v>6.9444400000000001E-4</v>
      </c>
      <c r="AD2562" s="22" t="s">
        <v>1165</v>
      </c>
      <c r="AE2562" s="22"/>
      <c r="AF2562" s="22" t="s">
        <v>153</v>
      </c>
      <c r="AG2562" s="22"/>
      <c r="AH2562" s="22"/>
      <c r="AI2562" s="21" t="s">
        <v>153</v>
      </c>
      <c r="AJ2562" s="21" t="s">
        <v>1148</v>
      </c>
      <c r="AK2562" s="21">
        <v>53.341000000000001</v>
      </c>
      <c r="AL2562" s="21" t="s">
        <v>1277</v>
      </c>
      <c r="AM2562" s="21" t="s">
        <v>3003</v>
      </c>
      <c r="AN2562" s="21">
        <v>3</v>
      </c>
      <c r="AO2562" s="21">
        <v>30</v>
      </c>
      <c r="AP2562" s="21">
        <v>60</v>
      </c>
      <c r="AQ2562" s="22" t="s">
        <v>3060</v>
      </c>
      <c r="AR2562" s="21" t="s">
        <v>3062</v>
      </c>
    </row>
    <row r="2563" spans="1:45" ht="15" customHeight="1" x14ac:dyDescent="0.2">
      <c r="A2563" s="21" t="s">
        <v>1663</v>
      </c>
      <c r="B2563" s="21" t="s">
        <v>1146</v>
      </c>
      <c r="C2563" s="21" t="s">
        <v>1149</v>
      </c>
      <c r="D2563" s="21" t="s">
        <v>660</v>
      </c>
      <c r="E2563" s="21" t="s">
        <v>661</v>
      </c>
      <c r="F2563" s="22"/>
      <c r="G2563" s="21" t="s">
        <v>1165</v>
      </c>
      <c r="H2563" s="21" t="s">
        <v>1165</v>
      </c>
      <c r="I2563" s="21" t="s">
        <v>3055</v>
      </c>
      <c r="J2563" s="21">
        <v>41.033333300000002</v>
      </c>
      <c r="K2563" s="21">
        <v>17.033333299999999</v>
      </c>
      <c r="L2563" s="22"/>
      <c r="M2563" s="21" t="s">
        <v>1157</v>
      </c>
      <c r="N2563" s="22"/>
      <c r="O2563" s="21">
        <v>2018</v>
      </c>
      <c r="P2563" s="22"/>
      <c r="Q2563" s="21" t="s">
        <v>3056</v>
      </c>
      <c r="R2563" s="21" t="s">
        <v>3057</v>
      </c>
      <c r="T2563" s="21">
        <v>65</v>
      </c>
      <c r="U2563" s="21" t="s">
        <v>1340</v>
      </c>
      <c r="V2563" s="21">
        <v>25</v>
      </c>
      <c r="W2563" s="21">
        <v>60</v>
      </c>
      <c r="X2563" s="23">
        <v>15</v>
      </c>
      <c r="Y2563" s="22" t="s">
        <v>3063</v>
      </c>
      <c r="Z2563" s="22">
        <v>0</v>
      </c>
      <c r="AA2563" s="22"/>
      <c r="AB2563" s="22"/>
      <c r="AC2563" s="22">
        <v>1.0416699999999999E-2</v>
      </c>
      <c r="AD2563" s="22" t="s">
        <v>1165</v>
      </c>
      <c r="AE2563" s="22"/>
      <c r="AF2563" s="22" t="s">
        <v>153</v>
      </c>
      <c r="AG2563" s="22"/>
      <c r="AH2563" s="22"/>
      <c r="AI2563" s="21" t="s">
        <v>153</v>
      </c>
      <c r="AJ2563" s="21" t="s">
        <v>1148</v>
      </c>
      <c r="AK2563" s="21">
        <v>48.054000000000002</v>
      </c>
      <c r="AL2563" s="21" t="s">
        <v>1277</v>
      </c>
      <c r="AM2563" s="21" t="s">
        <v>3003</v>
      </c>
      <c r="AN2563" s="21">
        <v>3</v>
      </c>
      <c r="AO2563" s="21">
        <v>30</v>
      </c>
      <c r="AP2563" s="21">
        <v>60</v>
      </c>
      <c r="AQ2563" s="22" t="s">
        <v>3060</v>
      </c>
      <c r="AR2563" s="21" t="s">
        <v>3062</v>
      </c>
    </row>
    <row r="2564" spans="1:45" ht="15" customHeight="1" x14ac:dyDescent="0.2">
      <c r="A2564" s="21" t="s">
        <v>1663</v>
      </c>
      <c r="B2564" s="21" t="s">
        <v>1146</v>
      </c>
      <c r="C2564" s="21" t="s">
        <v>1149</v>
      </c>
      <c r="D2564" s="21" t="s">
        <v>660</v>
      </c>
      <c r="E2564" s="21" t="s">
        <v>661</v>
      </c>
      <c r="F2564" s="22"/>
      <c r="G2564" s="21" t="s">
        <v>1165</v>
      </c>
      <c r="H2564" s="21" t="s">
        <v>1165</v>
      </c>
      <c r="I2564" s="21" t="s">
        <v>3055</v>
      </c>
      <c r="J2564" s="21">
        <v>41.033333300000002</v>
      </c>
      <c r="K2564" s="21">
        <v>17.033333299999999</v>
      </c>
      <c r="L2564" s="22"/>
      <c r="M2564" s="21" t="s">
        <v>1157</v>
      </c>
      <c r="N2564" s="22"/>
      <c r="O2564" s="21">
        <v>2018</v>
      </c>
      <c r="P2564" s="22"/>
      <c r="Q2564" s="21" t="s">
        <v>3056</v>
      </c>
      <c r="R2564" s="21" t="s">
        <v>3057</v>
      </c>
      <c r="T2564" s="21">
        <v>65</v>
      </c>
      <c r="U2564" s="21" t="s">
        <v>1340</v>
      </c>
      <c r="V2564" s="21">
        <v>25</v>
      </c>
      <c r="W2564" s="21">
        <v>60</v>
      </c>
      <c r="X2564" s="23">
        <v>15</v>
      </c>
      <c r="Y2564" s="22" t="s">
        <v>3063</v>
      </c>
      <c r="Z2564" s="22">
        <v>0</v>
      </c>
      <c r="AA2564" s="22"/>
      <c r="AB2564" s="22"/>
      <c r="AC2564" s="22">
        <v>2.0833299999999999E-2</v>
      </c>
      <c r="AD2564" s="22" t="s">
        <v>1165</v>
      </c>
      <c r="AE2564" s="22"/>
      <c r="AF2564" s="22" t="s">
        <v>153</v>
      </c>
      <c r="AG2564" s="22"/>
      <c r="AH2564" s="22"/>
      <c r="AI2564" s="21" t="s">
        <v>153</v>
      </c>
      <c r="AJ2564" s="21" t="s">
        <v>1148</v>
      </c>
      <c r="AK2564" s="21">
        <v>20.263999999999999</v>
      </c>
      <c r="AL2564" s="21" t="s">
        <v>1277</v>
      </c>
      <c r="AM2564" s="21">
        <f>24.413-15.015</f>
        <v>9.3979999999999997</v>
      </c>
      <c r="AN2564" s="21">
        <v>3</v>
      </c>
      <c r="AO2564" s="21">
        <v>30</v>
      </c>
      <c r="AP2564" s="21">
        <v>60</v>
      </c>
      <c r="AQ2564" s="22" t="s">
        <v>3060</v>
      </c>
      <c r="AR2564" s="21" t="s">
        <v>3062</v>
      </c>
    </row>
    <row r="2565" spans="1:45" ht="15" customHeight="1" x14ac:dyDescent="0.2">
      <c r="A2565" s="21" t="s">
        <v>1663</v>
      </c>
      <c r="B2565" s="21" t="s">
        <v>1146</v>
      </c>
      <c r="C2565" s="21" t="s">
        <v>1149</v>
      </c>
      <c r="D2565" s="21" t="s">
        <v>660</v>
      </c>
      <c r="E2565" s="21" t="s">
        <v>661</v>
      </c>
      <c r="F2565" s="22"/>
      <c r="G2565" s="21" t="s">
        <v>1165</v>
      </c>
      <c r="H2565" s="21" t="s">
        <v>1165</v>
      </c>
      <c r="I2565" s="21" t="s">
        <v>3055</v>
      </c>
      <c r="J2565" s="21">
        <v>41.033333300000002</v>
      </c>
      <c r="K2565" s="21">
        <v>17.033333299999999</v>
      </c>
      <c r="L2565" s="22"/>
      <c r="M2565" s="21" t="s">
        <v>1157</v>
      </c>
      <c r="N2565" s="22"/>
      <c r="O2565" s="21">
        <v>2018</v>
      </c>
      <c r="P2565" s="22"/>
      <c r="Q2565" s="21" t="s">
        <v>3056</v>
      </c>
      <c r="R2565" s="21" t="s">
        <v>3057</v>
      </c>
      <c r="T2565" s="21">
        <v>65</v>
      </c>
      <c r="U2565" s="21" t="s">
        <v>1340</v>
      </c>
      <c r="V2565" s="21">
        <v>25</v>
      </c>
      <c r="W2565" s="21">
        <v>60</v>
      </c>
      <c r="X2565" s="23">
        <v>15</v>
      </c>
      <c r="Y2565" s="22"/>
      <c r="Z2565" s="22">
        <v>0</v>
      </c>
      <c r="AA2565" s="22"/>
      <c r="AB2565" s="22"/>
      <c r="AC2565" s="22">
        <v>0</v>
      </c>
      <c r="AD2565" s="22" t="s">
        <v>1165</v>
      </c>
      <c r="AE2565" s="22"/>
      <c r="AF2565" s="22" t="s">
        <v>153</v>
      </c>
      <c r="AG2565" s="22"/>
      <c r="AH2565" s="22"/>
      <c r="AI2565" s="21" t="s">
        <v>153</v>
      </c>
      <c r="AJ2565" s="21" t="s">
        <v>1148</v>
      </c>
      <c r="AK2565" s="21">
        <v>64.757999999999996</v>
      </c>
      <c r="AL2565" s="21" t="s">
        <v>1277</v>
      </c>
      <c r="AM2565" s="21" t="s">
        <v>3003</v>
      </c>
      <c r="AN2565" s="21">
        <v>3</v>
      </c>
      <c r="AO2565" s="21">
        <v>30</v>
      </c>
      <c r="AP2565" s="21">
        <v>90</v>
      </c>
      <c r="AQ2565" s="22" t="s">
        <v>3060</v>
      </c>
      <c r="AR2565" s="21" t="s">
        <v>3062</v>
      </c>
      <c r="AS2565" t="s">
        <v>1147</v>
      </c>
    </row>
    <row r="2566" spans="1:45" ht="15" customHeight="1" x14ac:dyDescent="0.2">
      <c r="A2566" s="21" t="s">
        <v>1663</v>
      </c>
      <c r="B2566" s="21" t="s">
        <v>1146</v>
      </c>
      <c r="C2566" s="21" t="s">
        <v>1149</v>
      </c>
      <c r="D2566" s="21" t="s">
        <v>660</v>
      </c>
      <c r="E2566" s="21" t="s">
        <v>661</v>
      </c>
      <c r="F2566" s="22"/>
      <c r="G2566" s="21" t="s">
        <v>1165</v>
      </c>
      <c r="H2566" s="21" t="s">
        <v>1165</v>
      </c>
      <c r="I2566" s="21" t="s">
        <v>3055</v>
      </c>
      <c r="J2566" s="21">
        <v>41.033333300000002</v>
      </c>
      <c r="K2566" s="21">
        <v>17.033333299999999</v>
      </c>
      <c r="L2566" s="22"/>
      <c r="M2566" s="21" t="s">
        <v>1157</v>
      </c>
      <c r="N2566" s="22"/>
      <c r="O2566" s="21">
        <v>2018</v>
      </c>
      <c r="P2566" s="22"/>
      <c r="Q2566" s="21" t="s">
        <v>3056</v>
      </c>
      <c r="R2566" s="21" t="s">
        <v>3057</v>
      </c>
      <c r="T2566" s="21">
        <v>65</v>
      </c>
      <c r="U2566" s="21" t="s">
        <v>1340</v>
      </c>
      <c r="V2566" s="21">
        <v>25</v>
      </c>
      <c r="W2566" s="21">
        <v>60</v>
      </c>
      <c r="X2566" s="23">
        <v>15</v>
      </c>
      <c r="Y2566" s="22" t="s">
        <v>3063</v>
      </c>
      <c r="Z2566" s="22">
        <v>0</v>
      </c>
      <c r="AA2566" s="22"/>
      <c r="AB2566" s="22"/>
      <c r="AC2566" s="22">
        <v>6.9444400000000001E-4</v>
      </c>
      <c r="AD2566" s="22" t="s">
        <v>1165</v>
      </c>
      <c r="AE2566" s="22"/>
      <c r="AF2566" s="22" t="s">
        <v>153</v>
      </c>
      <c r="AG2566" s="22"/>
      <c r="AH2566" s="22"/>
      <c r="AI2566" s="21" t="s">
        <v>153</v>
      </c>
      <c r="AJ2566" s="21" t="s">
        <v>1148</v>
      </c>
      <c r="AK2566" s="21">
        <v>58.37</v>
      </c>
      <c r="AL2566" s="21" t="s">
        <v>1277</v>
      </c>
      <c r="AM2566" s="21" t="s">
        <v>3003</v>
      </c>
      <c r="AN2566" s="21">
        <v>3</v>
      </c>
      <c r="AO2566" s="21">
        <v>30</v>
      </c>
      <c r="AP2566" s="21">
        <v>90</v>
      </c>
      <c r="AQ2566" s="22" t="s">
        <v>3060</v>
      </c>
      <c r="AR2566" s="21" t="s">
        <v>3062</v>
      </c>
    </row>
    <row r="2567" spans="1:45" ht="15" customHeight="1" x14ac:dyDescent="0.2">
      <c r="A2567" s="21" t="s">
        <v>1663</v>
      </c>
      <c r="B2567" s="21" t="s">
        <v>1146</v>
      </c>
      <c r="C2567" s="21" t="s">
        <v>1149</v>
      </c>
      <c r="D2567" s="21" t="s">
        <v>660</v>
      </c>
      <c r="E2567" s="21" t="s">
        <v>661</v>
      </c>
      <c r="F2567" s="22"/>
      <c r="G2567" s="21" t="s">
        <v>1165</v>
      </c>
      <c r="H2567" s="21" t="s">
        <v>1165</v>
      </c>
      <c r="I2567" s="21" t="s">
        <v>3055</v>
      </c>
      <c r="J2567" s="21">
        <v>41.033333300000002</v>
      </c>
      <c r="K2567" s="21">
        <v>17.033333299999999</v>
      </c>
      <c r="L2567" s="22"/>
      <c r="M2567" s="21" t="s">
        <v>1157</v>
      </c>
      <c r="N2567" s="22"/>
      <c r="O2567" s="21">
        <v>2018</v>
      </c>
      <c r="P2567" s="22"/>
      <c r="Q2567" s="21" t="s">
        <v>3056</v>
      </c>
      <c r="R2567" s="21" t="s">
        <v>3057</v>
      </c>
      <c r="T2567" s="21">
        <v>65</v>
      </c>
      <c r="U2567" s="21" t="s">
        <v>1340</v>
      </c>
      <c r="V2567" s="21">
        <v>25</v>
      </c>
      <c r="W2567" s="21">
        <v>60</v>
      </c>
      <c r="X2567" s="23">
        <v>15</v>
      </c>
      <c r="Y2567" s="22" t="s">
        <v>3063</v>
      </c>
      <c r="Z2567" s="22">
        <v>0</v>
      </c>
      <c r="AA2567" s="22"/>
      <c r="AB2567" s="22"/>
      <c r="AC2567" s="22">
        <v>1.0416699999999999E-2</v>
      </c>
      <c r="AD2567" s="22" t="s">
        <v>1165</v>
      </c>
      <c r="AE2567" s="22"/>
      <c r="AF2567" s="22" t="s">
        <v>153</v>
      </c>
      <c r="AG2567" s="22"/>
      <c r="AH2567" s="22"/>
      <c r="AI2567" s="21" t="s">
        <v>153</v>
      </c>
      <c r="AJ2567" s="21" t="s">
        <v>1148</v>
      </c>
      <c r="AK2567" s="21">
        <v>58.37</v>
      </c>
      <c r="AL2567" s="21" t="s">
        <v>1277</v>
      </c>
      <c r="AM2567" s="21" t="s">
        <v>3003</v>
      </c>
      <c r="AN2567" s="21">
        <v>3</v>
      </c>
      <c r="AO2567" s="21">
        <v>30</v>
      </c>
      <c r="AP2567" s="21">
        <v>90</v>
      </c>
      <c r="AQ2567" s="22" t="s">
        <v>3060</v>
      </c>
      <c r="AR2567" s="21" t="s">
        <v>3062</v>
      </c>
    </row>
    <row r="2568" spans="1:45" ht="15" customHeight="1" x14ac:dyDescent="0.2">
      <c r="A2568" s="21" t="s">
        <v>1663</v>
      </c>
      <c r="B2568" s="21" t="s">
        <v>1146</v>
      </c>
      <c r="C2568" s="21" t="s">
        <v>1149</v>
      </c>
      <c r="D2568" s="21" t="s">
        <v>660</v>
      </c>
      <c r="E2568" s="21" t="s">
        <v>661</v>
      </c>
      <c r="F2568" s="22"/>
      <c r="G2568" s="21" t="s">
        <v>1165</v>
      </c>
      <c r="H2568" s="21" t="s">
        <v>1165</v>
      </c>
      <c r="I2568" s="21" t="s">
        <v>3055</v>
      </c>
      <c r="J2568" s="21">
        <v>41.033333300000002</v>
      </c>
      <c r="K2568" s="21">
        <v>17.033333299999999</v>
      </c>
      <c r="L2568" s="22"/>
      <c r="M2568" s="21" t="s">
        <v>1157</v>
      </c>
      <c r="N2568" s="22"/>
      <c r="O2568" s="21">
        <v>2018</v>
      </c>
      <c r="P2568" s="22"/>
      <c r="Q2568" s="21" t="s">
        <v>3056</v>
      </c>
      <c r="R2568" s="21" t="s">
        <v>3057</v>
      </c>
      <c r="T2568" s="21">
        <v>65</v>
      </c>
      <c r="U2568" s="21" t="s">
        <v>1340</v>
      </c>
      <c r="V2568" s="21">
        <v>25</v>
      </c>
      <c r="W2568" s="21">
        <v>60</v>
      </c>
      <c r="X2568" s="23">
        <v>15</v>
      </c>
      <c r="Y2568" s="22" t="s">
        <v>3063</v>
      </c>
      <c r="Z2568" s="22">
        <v>0</v>
      </c>
      <c r="AA2568" s="22"/>
      <c r="AB2568" s="22"/>
      <c r="AC2568" s="22">
        <v>2.0833299999999999E-2</v>
      </c>
      <c r="AD2568" s="22" t="s">
        <v>1165</v>
      </c>
      <c r="AE2568" s="22"/>
      <c r="AF2568" s="22" t="s">
        <v>153</v>
      </c>
      <c r="AG2568" s="22"/>
      <c r="AH2568" s="22"/>
      <c r="AI2568" s="21" t="s">
        <v>153</v>
      </c>
      <c r="AJ2568" s="21" t="s">
        <v>1148</v>
      </c>
      <c r="AK2568" s="21">
        <v>23.789000000000001</v>
      </c>
      <c r="AL2568" s="21" t="s">
        <v>1277</v>
      </c>
      <c r="AM2568" s="21">
        <f>27.349-19.273</f>
        <v>8.0760000000000005</v>
      </c>
      <c r="AN2568" s="21">
        <v>3</v>
      </c>
      <c r="AO2568" s="21">
        <v>30</v>
      </c>
      <c r="AP2568" s="21">
        <v>90</v>
      </c>
      <c r="AQ2568" s="22" t="s">
        <v>3060</v>
      </c>
      <c r="AR2568" s="21" t="s">
        <v>3062</v>
      </c>
    </row>
    <row r="2569" spans="1:45" ht="15" customHeight="1" x14ac:dyDescent="0.2">
      <c r="A2569" s="21" t="s">
        <v>1663</v>
      </c>
      <c r="B2569" s="21" t="s">
        <v>1146</v>
      </c>
      <c r="C2569" s="21" t="s">
        <v>1149</v>
      </c>
      <c r="D2569" s="21" t="s">
        <v>660</v>
      </c>
      <c r="E2569" s="21" t="s">
        <v>661</v>
      </c>
      <c r="F2569" s="22"/>
      <c r="G2569" s="21" t="s">
        <v>1165</v>
      </c>
      <c r="H2569" s="21" t="s">
        <v>1165</v>
      </c>
      <c r="I2569" s="21" t="s">
        <v>3055</v>
      </c>
      <c r="J2569" s="21">
        <v>41.033333300000002</v>
      </c>
      <c r="K2569" s="21">
        <v>17.033333299999999</v>
      </c>
      <c r="L2569" s="22"/>
      <c r="M2569" s="21" t="s">
        <v>1157</v>
      </c>
      <c r="N2569" s="22"/>
      <c r="O2569" s="21">
        <v>2018</v>
      </c>
      <c r="P2569" s="22"/>
      <c r="Q2569" s="21" t="s">
        <v>3056</v>
      </c>
      <c r="R2569" s="21" t="s">
        <v>3057</v>
      </c>
      <c r="T2569" s="21">
        <v>65</v>
      </c>
      <c r="U2569" s="21" t="s">
        <v>1340</v>
      </c>
      <c r="V2569" s="21">
        <v>25</v>
      </c>
      <c r="W2569" s="21">
        <v>60</v>
      </c>
      <c r="X2569" s="23">
        <v>15</v>
      </c>
      <c r="Y2569" s="22"/>
      <c r="Z2569" s="22">
        <v>0</v>
      </c>
      <c r="AA2569" s="22"/>
      <c r="AB2569" s="22"/>
      <c r="AC2569" s="22">
        <v>0</v>
      </c>
      <c r="AD2569" s="22" t="s">
        <v>1165</v>
      </c>
      <c r="AE2569" s="22"/>
      <c r="AF2569" s="22" t="s">
        <v>153</v>
      </c>
      <c r="AG2569" s="22"/>
      <c r="AH2569" s="22"/>
      <c r="AI2569" s="21" t="s">
        <v>153</v>
      </c>
      <c r="AJ2569" s="21" t="s">
        <v>1148</v>
      </c>
      <c r="AK2569" s="21">
        <v>64.757999999999996</v>
      </c>
      <c r="AL2569" s="21" t="s">
        <v>1277</v>
      </c>
      <c r="AM2569" s="21" t="s">
        <v>3003</v>
      </c>
      <c r="AN2569" s="21">
        <v>3</v>
      </c>
      <c r="AO2569" s="21">
        <v>30</v>
      </c>
      <c r="AP2569" s="21">
        <v>120</v>
      </c>
      <c r="AQ2569" s="22" t="s">
        <v>3060</v>
      </c>
      <c r="AR2569" s="21" t="s">
        <v>3062</v>
      </c>
      <c r="AS2569" t="s">
        <v>1147</v>
      </c>
    </row>
    <row r="2570" spans="1:45" ht="15" customHeight="1" x14ac:dyDescent="0.2">
      <c r="A2570" s="21" t="s">
        <v>1663</v>
      </c>
      <c r="B2570" s="21" t="s">
        <v>1146</v>
      </c>
      <c r="C2570" s="21" t="s">
        <v>1149</v>
      </c>
      <c r="D2570" s="21" t="s">
        <v>660</v>
      </c>
      <c r="E2570" s="21" t="s">
        <v>661</v>
      </c>
      <c r="F2570" s="22"/>
      <c r="G2570" s="21" t="s">
        <v>1165</v>
      </c>
      <c r="H2570" s="21" t="s">
        <v>1165</v>
      </c>
      <c r="I2570" s="21" t="s">
        <v>3055</v>
      </c>
      <c r="J2570" s="21">
        <v>41.033333300000002</v>
      </c>
      <c r="K2570" s="21">
        <v>17.033333299999999</v>
      </c>
      <c r="L2570" s="22"/>
      <c r="M2570" s="21" t="s">
        <v>1157</v>
      </c>
      <c r="N2570" s="22"/>
      <c r="O2570" s="21">
        <v>2018</v>
      </c>
      <c r="P2570" s="22"/>
      <c r="Q2570" s="21" t="s">
        <v>3056</v>
      </c>
      <c r="R2570" s="21" t="s">
        <v>3057</v>
      </c>
      <c r="T2570" s="21">
        <v>65</v>
      </c>
      <c r="U2570" s="21" t="s">
        <v>1340</v>
      </c>
      <c r="V2570" s="21">
        <v>25</v>
      </c>
      <c r="W2570" s="21">
        <v>60</v>
      </c>
      <c r="X2570" s="23">
        <v>15</v>
      </c>
      <c r="Y2570" s="22" t="s">
        <v>3063</v>
      </c>
      <c r="Z2570" s="22">
        <v>0</v>
      </c>
      <c r="AA2570" s="22"/>
      <c r="AB2570" s="22"/>
      <c r="AC2570" s="22">
        <v>6.9444400000000001E-4</v>
      </c>
      <c r="AD2570" s="22" t="s">
        <v>1165</v>
      </c>
      <c r="AE2570" s="22"/>
      <c r="AF2570" s="22" t="s">
        <v>153</v>
      </c>
      <c r="AG2570" s="22"/>
      <c r="AH2570" s="22"/>
      <c r="AI2570" s="21" t="s">
        <v>153</v>
      </c>
      <c r="AJ2570" s="21" t="s">
        <v>1148</v>
      </c>
      <c r="AK2570" s="21">
        <v>60.094999999999999</v>
      </c>
      <c r="AL2570" s="21" t="s">
        <v>1277</v>
      </c>
      <c r="AM2570" s="21" t="s">
        <v>3003</v>
      </c>
      <c r="AN2570" s="21">
        <v>3</v>
      </c>
      <c r="AO2570" s="21">
        <v>30</v>
      </c>
      <c r="AP2570" s="21">
        <v>120</v>
      </c>
      <c r="AQ2570" s="22" t="s">
        <v>3060</v>
      </c>
      <c r="AR2570" s="21" t="s">
        <v>3062</v>
      </c>
    </row>
    <row r="2571" spans="1:45" ht="15" customHeight="1" x14ac:dyDescent="0.2">
      <c r="A2571" s="21" t="s">
        <v>1663</v>
      </c>
      <c r="B2571" s="21" t="s">
        <v>1146</v>
      </c>
      <c r="C2571" s="21" t="s">
        <v>1149</v>
      </c>
      <c r="D2571" s="21" t="s">
        <v>660</v>
      </c>
      <c r="E2571" s="21" t="s">
        <v>661</v>
      </c>
      <c r="F2571" s="22"/>
      <c r="G2571" s="21" t="s">
        <v>1165</v>
      </c>
      <c r="H2571" s="21" t="s">
        <v>1165</v>
      </c>
      <c r="I2571" s="21" t="s">
        <v>3055</v>
      </c>
      <c r="J2571" s="21">
        <v>41.033333300000002</v>
      </c>
      <c r="K2571" s="21">
        <v>17.033333299999999</v>
      </c>
      <c r="L2571" s="22"/>
      <c r="M2571" s="21" t="s">
        <v>1157</v>
      </c>
      <c r="N2571" s="22"/>
      <c r="O2571" s="21">
        <v>2018</v>
      </c>
      <c r="P2571" s="22"/>
      <c r="Q2571" s="21" t="s">
        <v>3056</v>
      </c>
      <c r="R2571" s="21" t="s">
        <v>3057</v>
      </c>
      <c r="T2571" s="21">
        <v>65</v>
      </c>
      <c r="U2571" s="21" t="s">
        <v>1340</v>
      </c>
      <c r="V2571" s="21">
        <v>25</v>
      </c>
      <c r="W2571" s="21">
        <v>60</v>
      </c>
      <c r="X2571" s="23">
        <v>15</v>
      </c>
      <c r="Y2571" s="22" t="s">
        <v>3063</v>
      </c>
      <c r="Z2571" s="22">
        <v>0</v>
      </c>
      <c r="AA2571" s="22"/>
      <c r="AB2571" s="22"/>
      <c r="AC2571" s="22">
        <v>1.0416699999999999E-2</v>
      </c>
      <c r="AD2571" s="22" t="s">
        <v>1165</v>
      </c>
      <c r="AE2571" s="22"/>
      <c r="AF2571" s="22" t="s">
        <v>153</v>
      </c>
      <c r="AG2571" s="22"/>
      <c r="AH2571" s="22"/>
      <c r="AI2571" s="21" t="s">
        <v>153</v>
      </c>
      <c r="AJ2571" s="21" t="s">
        <v>1148</v>
      </c>
      <c r="AK2571" s="21">
        <v>60.094999999999999</v>
      </c>
      <c r="AL2571" s="21" t="s">
        <v>1277</v>
      </c>
      <c r="AM2571" s="21" t="s">
        <v>3003</v>
      </c>
      <c r="AN2571" s="21">
        <v>3</v>
      </c>
      <c r="AO2571" s="21">
        <v>30</v>
      </c>
      <c r="AP2571" s="21">
        <v>120</v>
      </c>
      <c r="AQ2571" s="22" t="s">
        <v>3060</v>
      </c>
      <c r="AR2571" s="21" t="s">
        <v>3062</v>
      </c>
    </row>
    <row r="2572" spans="1:45" ht="15" customHeight="1" x14ac:dyDescent="0.2">
      <c r="A2572" s="21" t="s">
        <v>1663</v>
      </c>
      <c r="B2572" s="21" t="s">
        <v>1146</v>
      </c>
      <c r="C2572" s="21" t="s">
        <v>1149</v>
      </c>
      <c r="D2572" s="21" t="s">
        <v>660</v>
      </c>
      <c r="E2572" s="21" t="s">
        <v>661</v>
      </c>
      <c r="F2572" s="22"/>
      <c r="G2572" s="21" t="s">
        <v>1165</v>
      </c>
      <c r="H2572" s="21" t="s">
        <v>1165</v>
      </c>
      <c r="I2572" s="21" t="s">
        <v>3055</v>
      </c>
      <c r="J2572" s="21">
        <v>41.033333300000002</v>
      </c>
      <c r="K2572" s="21">
        <v>17.033333299999999</v>
      </c>
      <c r="L2572" s="22"/>
      <c r="M2572" s="21" t="s">
        <v>1157</v>
      </c>
      <c r="N2572" s="22"/>
      <c r="O2572" s="21">
        <v>2018</v>
      </c>
      <c r="P2572" s="22"/>
      <c r="Q2572" s="21" t="s">
        <v>3056</v>
      </c>
      <c r="R2572" s="21" t="s">
        <v>3057</v>
      </c>
      <c r="T2572" s="21">
        <v>65</v>
      </c>
      <c r="U2572" s="21" t="s">
        <v>1340</v>
      </c>
      <c r="V2572" s="21">
        <v>25</v>
      </c>
      <c r="W2572" s="21">
        <v>60</v>
      </c>
      <c r="X2572" s="23">
        <v>15</v>
      </c>
      <c r="Y2572" s="22" t="s">
        <v>3063</v>
      </c>
      <c r="Z2572" s="22">
        <v>0</v>
      </c>
      <c r="AA2572" s="22"/>
      <c r="AB2572" s="22"/>
      <c r="AC2572" s="22">
        <v>2.0833299999999999E-2</v>
      </c>
      <c r="AD2572" s="22" t="s">
        <v>1165</v>
      </c>
      <c r="AE2572" s="22"/>
      <c r="AF2572" s="22" t="s">
        <v>153</v>
      </c>
      <c r="AG2572" s="22"/>
      <c r="AH2572" s="22"/>
      <c r="AI2572" s="21" t="s">
        <v>153</v>
      </c>
      <c r="AJ2572" s="21" t="s">
        <v>1148</v>
      </c>
      <c r="AK2572" s="21">
        <v>23.789000000000001</v>
      </c>
      <c r="AL2572" s="21" t="s">
        <v>1277</v>
      </c>
      <c r="AM2572" s="21">
        <f>27.349-19.126</f>
        <v>8.222999999999999</v>
      </c>
      <c r="AN2572" s="21">
        <v>3</v>
      </c>
      <c r="AO2572" s="21">
        <v>30</v>
      </c>
      <c r="AP2572" s="21">
        <v>120</v>
      </c>
      <c r="AQ2572" s="22" t="s">
        <v>3060</v>
      </c>
      <c r="AR2572" s="21" t="s">
        <v>3062</v>
      </c>
    </row>
    <row r="2573" spans="1:45" ht="15" customHeight="1" x14ac:dyDescent="0.2">
      <c r="A2573" s="21" t="s">
        <v>1663</v>
      </c>
      <c r="B2573" s="21" t="s">
        <v>1146</v>
      </c>
      <c r="C2573" s="21" t="s">
        <v>1149</v>
      </c>
      <c r="D2573" s="21" t="s">
        <v>660</v>
      </c>
      <c r="E2573" s="21" t="s">
        <v>661</v>
      </c>
      <c r="F2573" s="22"/>
      <c r="G2573" s="21" t="s">
        <v>1165</v>
      </c>
      <c r="H2573" s="21" t="s">
        <v>1165</v>
      </c>
      <c r="I2573" s="21" t="s">
        <v>3055</v>
      </c>
      <c r="J2573" s="21">
        <v>41.033333300000002</v>
      </c>
      <c r="K2573" s="21">
        <v>17.033333299999999</v>
      </c>
      <c r="L2573" s="22"/>
      <c r="M2573" s="21" t="s">
        <v>1157</v>
      </c>
      <c r="N2573" s="22"/>
      <c r="O2573" s="21">
        <v>2018</v>
      </c>
      <c r="P2573" s="22"/>
      <c r="Q2573" s="21" t="s">
        <v>3056</v>
      </c>
      <c r="R2573" s="21" t="s">
        <v>3057</v>
      </c>
      <c r="T2573" s="21">
        <v>65</v>
      </c>
      <c r="U2573" s="21" t="s">
        <v>1340</v>
      </c>
      <c r="V2573" s="21">
        <v>25</v>
      </c>
      <c r="W2573" s="21">
        <v>60</v>
      </c>
      <c r="X2573" s="23">
        <v>15</v>
      </c>
      <c r="Y2573" s="22"/>
      <c r="Z2573" s="22">
        <v>0</v>
      </c>
      <c r="AA2573" s="22"/>
      <c r="AB2573" s="22"/>
      <c r="AC2573" s="22">
        <v>0</v>
      </c>
      <c r="AD2573" s="22" t="s">
        <v>1165</v>
      </c>
      <c r="AE2573" s="22"/>
      <c r="AF2573" s="22" t="s">
        <v>153</v>
      </c>
      <c r="AG2573" s="22"/>
      <c r="AH2573" s="22"/>
      <c r="AI2573" s="21" t="s">
        <v>153</v>
      </c>
      <c r="AJ2573" s="21" t="s">
        <v>1148</v>
      </c>
      <c r="AK2573" s="21">
        <v>64.647999999999996</v>
      </c>
      <c r="AL2573" s="21" t="s">
        <v>1277</v>
      </c>
      <c r="AM2573" s="21" t="s">
        <v>3003</v>
      </c>
      <c r="AN2573" s="21">
        <v>3</v>
      </c>
      <c r="AO2573" s="21">
        <v>30</v>
      </c>
      <c r="AP2573" s="21">
        <v>150</v>
      </c>
      <c r="AQ2573" s="22" t="s">
        <v>3060</v>
      </c>
      <c r="AR2573" s="21" t="s">
        <v>3062</v>
      </c>
      <c r="AS2573" t="s">
        <v>1147</v>
      </c>
    </row>
    <row r="2574" spans="1:45" ht="15" customHeight="1" x14ac:dyDescent="0.2">
      <c r="A2574" s="21" t="s">
        <v>1663</v>
      </c>
      <c r="B2574" s="21" t="s">
        <v>1146</v>
      </c>
      <c r="C2574" s="21" t="s">
        <v>1149</v>
      </c>
      <c r="D2574" s="21" t="s">
        <v>660</v>
      </c>
      <c r="E2574" s="21" t="s">
        <v>661</v>
      </c>
      <c r="F2574" s="22"/>
      <c r="G2574" s="21" t="s">
        <v>1165</v>
      </c>
      <c r="H2574" s="21" t="s">
        <v>1165</v>
      </c>
      <c r="I2574" s="21" t="s">
        <v>3055</v>
      </c>
      <c r="J2574" s="21">
        <v>41.033333300000002</v>
      </c>
      <c r="K2574" s="21">
        <v>17.033333299999999</v>
      </c>
      <c r="L2574" s="22"/>
      <c r="M2574" s="21" t="s">
        <v>1157</v>
      </c>
      <c r="N2574" s="22"/>
      <c r="O2574" s="21">
        <v>2018</v>
      </c>
      <c r="P2574" s="22"/>
      <c r="Q2574" s="21" t="s">
        <v>3056</v>
      </c>
      <c r="R2574" s="21" t="s">
        <v>3057</v>
      </c>
      <c r="T2574" s="21">
        <v>65</v>
      </c>
      <c r="U2574" s="21" t="s">
        <v>1340</v>
      </c>
      <c r="V2574" s="21">
        <v>25</v>
      </c>
      <c r="W2574" s="21">
        <v>60</v>
      </c>
      <c r="X2574" s="23">
        <v>15</v>
      </c>
      <c r="Y2574" s="22" t="s">
        <v>3063</v>
      </c>
      <c r="Z2574" s="22">
        <v>0</v>
      </c>
      <c r="AA2574" s="22"/>
      <c r="AB2574" s="22"/>
      <c r="AC2574" s="22">
        <v>6.9444400000000001E-4</v>
      </c>
      <c r="AD2574" s="22" t="s">
        <v>1165</v>
      </c>
      <c r="AE2574" s="22"/>
      <c r="AF2574" s="22" t="s">
        <v>153</v>
      </c>
      <c r="AG2574" s="22"/>
      <c r="AH2574" s="22"/>
      <c r="AI2574" s="21" t="s">
        <v>153</v>
      </c>
      <c r="AJ2574" s="21" t="s">
        <v>1148</v>
      </c>
      <c r="AK2574" s="21">
        <v>60.094999999999999</v>
      </c>
      <c r="AL2574" s="21" t="s">
        <v>1277</v>
      </c>
      <c r="AM2574" s="21" t="s">
        <v>3003</v>
      </c>
      <c r="AN2574" s="21">
        <v>3</v>
      </c>
      <c r="AO2574" s="21">
        <v>30</v>
      </c>
      <c r="AP2574" s="21">
        <v>150</v>
      </c>
      <c r="AQ2574" s="22" t="s">
        <v>3060</v>
      </c>
      <c r="AR2574" s="21" t="s">
        <v>3062</v>
      </c>
    </row>
    <row r="2575" spans="1:45" ht="15" customHeight="1" x14ac:dyDescent="0.2">
      <c r="A2575" s="21" t="s">
        <v>1663</v>
      </c>
      <c r="B2575" s="21" t="s">
        <v>1146</v>
      </c>
      <c r="C2575" s="21" t="s">
        <v>1149</v>
      </c>
      <c r="D2575" s="21" t="s">
        <v>660</v>
      </c>
      <c r="E2575" s="21" t="s">
        <v>661</v>
      </c>
      <c r="F2575" s="22"/>
      <c r="G2575" s="21" t="s">
        <v>1165</v>
      </c>
      <c r="H2575" s="21" t="s">
        <v>1165</v>
      </c>
      <c r="I2575" s="21" t="s">
        <v>3055</v>
      </c>
      <c r="J2575" s="21">
        <v>41.033333300000002</v>
      </c>
      <c r="K2575" s="21">
        <v>17.033333299999999</v>
      </c>
      <c r="L2575" s="22"/>
      <c r="M2575" s="21" t="s">
        <v>1157</v>
      </c>
      <c r="N2575" s="22"/>
      <c r="O2575" s="21">
        <v>2018</v>
      </c>
      <c r="P2575" s="22"/>
      <c r="Q2575" s="21" t="s">
        <v>3056</v>
      </c>
      <c r="R2575" s="21" t="s">
        <v>3057</v>
      </c>
      <c r="T2575" s="21">
        <v>65</v>
      </c>
      <c r="U2575" s="21" t="s">
        <v>1340</v>
      </c>
      <c r="V2575" s="21">
        <v>25</v>
      </c>
      <c r="W2575" s="21">
        <v>60</v>
      </c>
      <c r="X2575" s="23">
        <v>15</v>
      </c>
      <c r="Y2575" s="22" t="s">
        <v>3063</v>
      </c>
      <c r="Z2575" s="22">
        <v>0</v>
      </c>
      <c r="AA2575" s="22"/>
      <c r="AB2575" s="22"/>
      <c r="AC2575" s="22">
        <v>1.0416699999999999E-2</v>
      </c>
      <c r="AD2575" s="22" t="s">
        <v>1165</v>
      </c>
      <c r="AE2575" s="22"/>
      <c r="AF2575" s="22" t="s">
        <v>153</v>
      </c>
      <c r="AG2575" s="22"/>
      <c r="AH2575" s="22"/>
      <c r="AI2575" s="21" t="s">
        <v>153</v>
      </c>
      <c r="AJ2575" s="21" t="s">
        <v>1148</v>
      </c>
      <c r="AK2575" s="21">
        <v>60.094999999999999</v>
      </c>
      <c r="AL2575" s="21" t="s">
        <v>1277</v>
      </c>
      <c r="AM2575" s="21" t="s">
        <v>3003</v>
      </c>
      <c r="AN2575" s="21">
        <v>3</v>
      </c>
      <c r="AO2575" s="21">
        <v>30</v>
      </c>
      <c r="AP2575" s="21">
        <v>150</v>
      </c>
      <c r="AQ2575" s="22" t="s">
        <v>3060</v>
      </c>
      <c r="AR2575" s="21" t="s">
        <v>3062</v>
      </c>
    </row>
    <row r="2576" spans="1:45" ht="15" customHeight="1" x14ac:dyDescent="0.2">
      <c r="A2576" s="21" t="s">
        <v>1663</v>
      </c>
      <c r="B2576" s="21" t="s">
        <v>1146</v>
      </c>
      <c r="C2576" s="21" t="s">
        <v>1149</v>
      </c>
      <c r="D2576" s="21" t="s">
        <v>660</v>
      </c>
      <c r="E2576" s="21" t="s">
        <v>661</v>
      </c>
      <c r="F2576" s="22"/>
      <c r="G2576" s="21" t="s">
        <v>1165</v>
      </c>
      <c r="H2576" s="21" t="s">
        <v>1165</v>
      </c>
      <c r="I2576" s="21" t="s">
        <v>3055</v>
      </c>
      <c r="J2576" s="21">
        <v>41.033333300000002</v>
      </c>
      <c r="K2576" s="21">
        <v>17.033333299999999</v>
      </c>
      <c r="L2576" s="22"/>
      <c r="M2576" s="21" t="s">
        <v>1157</v>
      </c>
      <c r="N2576" s="22"/>
      <c r="O2576" s="21">
        <v>2018</v>
      </c>
      <c r="P2576" s="22"/>
      <c r="Q2576" s="21" t="s">
        <v>3056</v>
      </c>
      <c r="R2576" s="21" t="s">
        <v>3057</v>
      </c>
      <c r="T2576" s="21">
        <v>65</v>
      </c>
      <c r="U2576" s="21" t="s">
        <v>1340</v>
      </c>
      <c r="V2576" s="21">
        <v>25</v>
      </c>
      <c r="W2576" s="21">
        <v>60</v>
      </c>
      <c r="X2576" s="23">
        <v>15</v>
      </c>
      <c r="Y2576" s="22" t="s">
        <v>3063</v>
      </c>
      <c r="Z2576" s="22">
        <v>0</v>
      </c>
      <c r="AA2576" s="22"/>
      <c r="AB2576" s="22"/>
      <c r="AC2576" s="22">
        <v>2.0833299999999999E-2</v>
      </c>
      <c r="AD2576" s="22" t="s">
        <v>1165</v>
      </c>
      <c r="AE2576" s="22"/>
      <c r="AF2576" s="22" t="s">
        <v>153</v>
      </c>
      <c r="AG2576" s="22"/>
      <c r="AH2576" s="22"/>
      <c r="AI2576" s="21" t="s">
        <v>153</v>
      </c>
      <c r="AJ2576" s="21" t="s">
        <v>1148</v>
      </c>
      <c r="AK2576" s="21">
        <v>23.824999999999999</v>
      </c>
      <c r="AL2576" s="21" t="s">
        <v>1277</v>
      </c>
      <c r="AM2576" s="21">
        <f>27.349-19.273</f>
        <v>8.0760000000000005</v>
      </c>
      <c r="AN2576" s="21">
        <v>3</v>
      </c>
      <c r="AO2576" s="21">
        <v>30</v>
      </c>
      <c r="AP2576" s="21">
        <v>150</v>
      </c>
      <c r="AQ2576" s="22" t="s">
        <v>3060</v>
      </c>
      <c r="AR2576" s="21" t="s">
        <v>3062</v>
      </c>
    </row>
    <row r="2577" spans="1:45" ht="15" customHeight="1" x14ac:dyDescent="0.2">
      <c r="A2577" s="21" t="s">
        <v>1663</v>
      </c>
      <c r="B2577" s="21" t="s">
        <v>1146</v>
      </c>
      <c r="C2577" s="21" t="s">
        <v>1149</v>
      </c>
      <c r="D2577" s="21" t="s">
        <v>660</v>
      </c>
      <c r="E2577" s="21" t="s">
        <v>661</v>
      </c>
      <c r="F2577" s="22"/>
      <c r="G2577" s="21" t="s">
        <v>1165</v>
      </c>
      <c r="H2577" s="21" t="s">
        <v>1165</v>
      </c>
      <c r="I2577" s="21" t="s">
        <v>3055</v>
      </c>
      <c r="J2577" s="21">
        <v>41.033333300000002</v>
      </c>
      <c r="K2577" s="21">
        <v>17.033333299999999</v>
      </c>
      <c r="L2577" s="22"/>
      <c r="M2577" s="21" t="s">
        <v>1157</v>
      </c>
      <c r="N2577" s="22"/>
      <c r="O2577" s="21">
        <v>2018</v>
      </c>
      <c r="P2577" s="22"/>
      <c r="Q2577" s="21" t="s">
        <v>3056</v>
      </c>
      <c r="R2577" s="21" t="s">
        <v>3057</v>
      </c>
      <c r="T2577" s="21">
        <v>65</v>
      </c>
      <c r="U2577" s="21" t="s">
        <v>1340</v>
      </c>
      <c r="V2577" s="21">
        <v>25</v>
      </c>
      <c r="W2577" s="21">
        <v>60</v>
      </c>
      <c r="X2577" s="23">
        <v>15</v>
      </c>
      <c r="Y2577" s="22" t="s">
        <v>3064</v>
      </c>
      <c r="Z2577" s="22">
        <v>0</v>
      </c>
      <c r="AA2577" s="22"/>
      <c r="AB2577" s="22"/>
      <c r="AC2577" s="22">
        <v>6.9444400000000001E-4</v>
      </c>
      <c r="AD2577" s="22" t="s">
        <v>1165</v>
      </c>
      <c r="AE2577" s="22"/>
      <c r="AF2577" s="22" t="s">
        <v>153</v>
      </c>
      <c r="AG2577" s="22"/>
      <c r="AH2577" s="22"/>
      <c r="AI2577" s="21" t="s">
        <v>153</v>
      </c>
      <c r="AJ2577" s="21" t="s">
        <v>1148</v>
      </c>
      <c r="AK2577" s="21">
        <v>5.28</v>
      </c>
      <c r="AL2577" s="21" t="s">
        <v>1277</v>
      </c>
      <c r="AM2577" s="21">
        <v>0</v>
      </c>
      <c r="AN2577" s="21">
        <v>3</v>
      </c>
      <c r="AO2577" s="21">
        <v>30</v>
      </c>
      <c r="AP2577" s="21">
        <v>15</v>
      </c>
      <c r="AQ2577" s="22" t="s">
        <v>3060</v>
      </c>
      <c r="AR2577" s="21" t="s">
        <v>3062</v>
      </c>
    </row>
    <row r="2578" spans="1:45" ht="15" customHeight="1" x14ac:dyDescent="0.2">
      <c r="A2578" s="21" t="s">
        <v>1663</v>
      </c>
      <c r="B2578" s="21" t="s">
        <v>1146</v>
      </c>
      <c r="C2578" s="21" t="s">
        <v>1149</v>
      </c>
      <c r="D2578" s="21" t="s">
        <v>660</v>
      </c>
      <c r="E2578" s="21" t="s">
        <v>661</v>
      </c>
      <c r="F2578" s="22"/>
      <c r="G2578" s="21" t="s">
        <v>1165</v>
      </c>
      <c r="H2578" s="21" t="s">
        <v>1165</v>
      </c>
      <c r="I2578" s="21" t="s">
        <v>3055</v>
      </c>
      <c r="J2578" s="21">
        <v>41.033333300000002</v>
      </c>
      <c r="K2578" s="21">
        <v>17.033333299999999</v>
      </c>
      <c r="L2578" s="22"/>
      <c r="M2578" s="21" t="s">
        <v>1157</v>
      </c>
      <c r="N2578" s="22"/>
      <c r="O2578" s="21">
        <v>2018</v>
      </c>
      <c r="P2578" s="22"/>
      <c r="Q2578" s="21" t="s">
        <v>3056</v>
      </c>
      <c r="R2578" s="21" t="s">
        <v>3057</v>
      </c>
      <c r="T2578" s="21">
        <v>65</v>
      </c>
      <c r="U2578" s="21" t="s">
        <v>1340</v>
      </c>
      <c r="V2578" s="21">
        <v>25</v>
      </c>
      <c r="W2578" s="21">
        <v>60</v>
      </c>
      <c r="X2578" s="23">
        <v>15</v>
      </c>
      <c r="Y2578" s="22"/>
      <c r="Z2578" s="22">
        <v>0</v>
      </c>
      <c r="AA2578" s="22"/>
      <c r="AB2578" s="22"/>
      <c r="AC2578" s="22">
        <v>0</v>
      </c>
      <c r="AD2578" s="22" t="s">
        <v>1165</v>
      </c>
      <c r="AE2578" s="22"/>
      <c r="AF2578" s="22" t="s">
        <v>153</v>
      </c>
      <c r="AG2578" s="22"/>
      <c r="AH2578" s="22"/>
      <c r="AI2578" s="21" t="s">
        <v>153</v>
      </c>
      <c r="AJ2578" s="21" t="s">
        <v>1148</v>
      </c>
      <c r="AK2578" s="21">
        <v>40.481000000000002</v>
      </c>
      <c r="AL2578" s="21" t="s">
        <v>1277</v>
      </c>
      <c r="AM2578" s="21">
        <f>43.93-36.458</f>
        <v>7.4720000000000013</v>
      </c>
      <c r="AN2578" s="21">
        <v>3</v>
      </c>
      <c r="AO2578" s="21">
        <v>30</v>
      </c>
      <c r="AP2578" s="21">
        <v>30</v>
      </c>
      <c r="AQ2578" s="22" t="s">
        <v>3060</v>
      </c>
      <c r="AR2578" s="21" t="s">
        <v>3062</v>
      </c>
      <c r="AS2578" t="s">
        <v>1147</v>
      </c>
    </row>
    <row r="2579" spans="1:45" ht="15" customHeight="1" x14ac:dyDescent="0.2">
      <c r="A2579" s="21" t="s">
        <v>1663</v>
      </c>
      <c r="B2579" s="21" t="s">
        <v>1146</v>
      </c>
      <c r="C2579" s="21" t="s">
        <v>1149</v>
      </c>
      <c r="D2579" s="21" t="s">
        <v>660</v>
      </c>
      <c r="E2579" s="21" t="s">
        <v>661</v>
      </c>
      <c r="F2579" s="22"/>
      <c r="G2579" s="21" t="s">
        <v>1165</v>
      </c>
      <c r="H2579" s="21" t="s">
        <v>1165</v>
      </c>
      <c r="I2579" s="21" t="s">
        <v>3055</v>
      </c>
      <c r="J2579" s="21">
        <v>41.033333300000002</v>
      </c>
      <c r="K2579" s="21">
        <v>17.033333299999999</v>
      </c>
      <c r="L2579" s="22"/>
      <c r="M2579" s="21" t="s">
        <v>1157</v>
      </c>
      <c r="N2579" s="22"/>
      <c r="O2579" s="21">
        <v>2018</v>
      </c>
      <c r="P2579" s="22"/>
      <c r="Q2579" s="21" t="s">
        <v>3056</v>
      </c>
      <c r="R2579" s="21" t="s">
        <v>3057</v>
      </c>
      <c r="T2579" s="21">
        <v>65</v>
      </c>
      <c r="U2579" s="21" t="s">
        <v>1340</v>
      </c>
      <c r="V2579" s="21">
        <v>25</v>
      </c>
      <c r="W2579" s="21">
        <v>60</v>
      </c>
      <c r="X2579" s="23">
        <v>15</v>
      </c>
      <c r="Y2579" s="22" t="s">
        <v>3064</v>
      </c>
      <c r="Z2579" s="22">
        <v>0</v>
      </c>
      <c r="AA2579" s="22"/>
      <c r="AB2579" s="22"/>
      <c r="AC2579" s="22">
        <v>6.9444400000000001E-4</v>
      </c>
      <c r="AD2579" s="22" t="s">
        <v>1165</v>
      </c>
      <c r="AE2579" s="22"/>
      <c r="AF2579" s="22" t="s">
        <v>153</v>
      </c>
      <c r="AG2579" s="22"/>
      <c r="AH2579" s="22"/>
      <c r="AI2579" s="21" t="s">
        <v>153</v>
      </c>
      <c r="AJ2579" s="21" t="s">
        <v>1148</v>
      </c>
      <c r="AK2579" s="21">
        <v>54.957000000000001</v>
      </c>
      <c r="AL2579" s="21" t="s">
        <v>1277</v>
      </c>
      <c r="AM2579" s="21">
        <f>58.728-50.395</f>
        <v>8.3329999999999984</v>
      </c>
      <c r="AN2579" s="21">
        <v>3</v>
      </c>
      <c r="AO2579" s="21">
        <v>30</v>
      </c>
      <c r="AP2579" s="21">
        <v>30</v>
      </c>
      <c r="AQ2579" s="22" t="s">
        <v>3060</v>
      </c>
      <c r="AR2579" s="21" t="s">
        <v>3062</v>
      </c>
    </row>
    <row r="2580" spans="1:45" ht="15" customHeight="1" x14ac:dyDescent="0.2">
      <c r="A2580" s="21" t="s">
        <v>1663</v>
      </c>
      <c r="B2580" s="21" t="s">
        <v>1146</v>
      </c>
      <c r="C2580" s="21" t="s">
        <v>1149</v>
      </c>
      <c r="D2580" s="21" t="s">
        <v>660</v>
      </c>
      <c r="E2580" s="21" t="s">
        <v>661</v>
      </c>
      <c r="F2580" s="22"/>
      <c r="G2580" s="21" t="s">
        <v>1165</v>
      </c>
      <c r="H2580" s="21" t="s">
        <v>1165</v>
      </c>
      <c r="I2580" s="21" t="s">
        <v>3055</v>
      </c>
      <c r="J2580" s="21">
        <v>41.033333300000002</v>
      </c>
      <c r="K2580" s="21">
        <v>17.033333299999999</v>
      </c>
      <c r="L2580" s="22"/>
      <c r="M2580" s="21" t="s">
        <v>1157</v>
      </c>
      <c r="N2580" s="22"/>
      <c r="O2580" s="21">
        <v>2018</v>
      </c>
      <c r="P2580" s="22"/>
      <c r="Q2580" s="21" t="s">
        <v>3056</v>
      </c>
      <c r="R2580" s="21" t="s">
        <v>3057</v>
      </c>
      <c r="T2580" s="21">
        <v>65</v>
      </c>
      <c r="U2580" s="21" t="s">
        <v>1340</v>
      </c>
      <c r="V2580" s="21">
        <v>25</v>
      </c>
      <c r="W2580" s="21">
        <v>60</v>
      </c>
      <c r="X2580" s="23">
        <v>15</v>
      </c>
      <c r="Y2580" s="22" t="s">
        <v>3064</v>
      </c>
      <c r="Z2580" s="22">
        <v>0</v>
      </c>
      <c r="AA2580" s="22"/>
      <c r="AB2580" s="22"/>
      <c r="AC2580" s="22">
        <v>1.0416699999999999E-2</v>
      </c>
      <c r="AD2580" s="22" t="s">
        <v>1165</v>
      </c>
      <c r="AE2580" s="22"/>
      <c r="AF2580" s="22" t="s">
        <v>153</v>
      </c>
      <c r="AG2580" s="22"/>
      <c r="AH2580" s="22"/>
      <c r="AI2580" s="21" t="s">
        <v>153</v>
      </c>
      <c r="AJ2580" s="21" t="s">
        <v>1148</v>
      </c>
      <c r="AK2580" s="21">
        <v>27.981000000000002</v>
      </c>
      <c r="AL2580" s="21" t="s">
        <v>1277</v>
      </c>
      <c r="AM2580" s="21">
        <f>32.723-23.24</f>
        <v>9.4830000000000005</v>
      </c>
      <c r="AN2580" s="21">
        <v>3</v>
      </c>
      <c r="AO2580" s="21">
        <v>30</v>
      </c>
      <c r="AP2580" s="21">
        <v>30</v>
      </c>
      <c r="AQ2580" s="22" t="s">
        <v>3060</v>
      </c>
      <c r="AR2580" s="21" t="s">
        <v>3062</v>
      </c>
    </row>
    <row r="2581" spans="1:45" ht="15" customHeight="1" x14ac:dyDescent="0.2">
      <c r="A2581" s="21" t="s">
        <v>1663</v>
      </c>
      <c r="B2581" s="21" t="s">
        <v>1146</v>
      </c>
      <c r="C2581" s="21" t="s">
        <v>1149</v>
      </c>
      <c r="D2581" s="21" t="s">
        <v>660</v>
      </c>
      <c r="E2581" s="21" t="s">
        <v>661</v>
      </c>
      <c r="F2581" s="22"/>
      <c r="G2581" s="21" t="s">
        <v>1165</v>
      </c>
      <c r="H2581" s="21" t="s">
        <v>1165</v>
      </c>
      <c r="I2581" s="21" t="s">
        <v>3055</v>
      </c>
      <c r="J2581" s="21">
        <v>41.033333300000002</v>
      </c>
      <c r="K2581" s="21">
        <v>17.033333299999999</v>
      </c>
      <c r="L2581" s="22"/>
      <c r="M2581" s="21" t="s">
        <v>1157</v>
      </c>
      <c r="N2581" s="22"/>
      <c r="O2581" s="21">
        <v>2018</v>
      </c>
      <c r="P2581" s="22"/>
      <c r="Q2581" s="21" t="s">
        <v>3056</v>
      </c>
      <c r="R2581" s="21" t="s">
        <v>3057</v>
      </c>
      <c r="T2581" s="21">
        <v>65</v>
      </c>
      <c r="U2581" s="21" t="s">
        <v>1340</v>
      </c>
      <c r="V2581" s="21">
        <v>25</v>
      </c>
      <c r="W2581" s="21">
        <v>60</v>
      </c>
      <c r="X2581" s="23">
        <v>15</v>
      </c>
      <c r="Y2581" s="22" t="s">
        <v>3064</v>
      </c>
      <c r="Z2581" s="22">
        <v>0</v>
      </c>
      <c r="AA2581" s="22"/>
      <c r="AB2581" s="22"/>
      <c r="AC2581" s="22">
        <v>2.0833299999999999E-2</v>
      </c>
      <c r="AD2581" s="22" t="s">
        <v>1165</v>
      </c>
      <c r="AE2581" s="22"/>
      <c r="AF2581" s="22" t="s">
        <v>153</v>
      </c>
      <c r="AG2581" s="22"/>
      <c r="AH2581" s="22"/>
      <c r="AI2581" s="21" t="s">
        <v>153</v>
      </c>
      <c r="AJ2581" s="21" t="s">
        <v>1148</v>
      </c>
      <c r="AK2581" s="21">
        <v>20.151</v>
      </c>
      <c r="AL2581" s="21" t="s">
        <v>1277</v>
      </c>
      <c r="AM2581" s="21">
        <f>23.455-16.559</f>
        <v>6.8959999999999972</v>
      </c>
      <c r="AN2581" s="21">
        <v>3</v>
      </c>
      <c r="AO2581" s="21">
        <v>30</v>
      </c>
      <c r="AP2581" s="21">
        <v>30</v>
      </c>
      <c r="AQ2581" s="22" t="s">
        <v>3060</v>
      </c>
      <c r="AR2581" s="21" t="s">
        <v>3062</v>
      </c>
    </row>
    <row r="2582" spans="1:45" ht="15" customHeight="1" x14ac:dyDescent="0.2">
      <c r="A2582" s="21" t="s">
        <v>1663</v>
      </c>
      <c r="B2582" s="21" t="s">
        <v>1146</v>
      </c>
      <c r="C2582" s="21" t="s">
        <v>1149</v>
      </c>
      <c r="D2582" s="21" t="s">
        <v>660</v>
      </c>
      <c r="E2582" s="21" t="s">
        <v>661</v>
      </c>
      <c r="F2582" s="22"/>
      <c r="G2582" s="21" t="s">
        <v>1165</v>
      </c>
      <c r="H2582" s="21" t="s">
        <v>1165</v>
      </c>
      <c r="I2582" s="21" t="s">
        <v>3055</v>
      </c>
      <c r="J2582" s="21">
        <v>41.033333300000002</v>
      </c>
      <c r="K2582" s="21">
        <v>17.033333299999999</v>
      </c>
      <c r="L2582" s="22"/>
      <c r="M2582" s="21" t="s">
        <v>1157</v>
      </c>
      <c r="N2582" s="22"/>
      <c r="O2582" s="21">
        <v>2018</v>
      </c>
      <c r="P2582" s="22"/>
      <c r="Q2582" s="21" t="s">
        <v>3056</v>
      </c>
      <c r="R2582" s="21" t="s">
        <v>3057</v>
      </c>
      <c r="T2582" s="21">
        <v>65</v>
      </c>
      <c r="U2582" s="21" t="s">
        <v>1340</v>
      </c>
      <c r="V2582" s="21">
        <v>25</v>
      </c>
      <c r="W2582" s="21">
        <v>60</v>
      </c>
      <c r="X2582" s="23">
        <v>15</v>
      </c>
      <c r="Y2582" s="22"/>
      <c r="Z2582" s="22">
        <v>0</v>
      </c>
      <c r="AA2582" s="22"/>
      <c r="AB2582" s="22"/>
      <c r="AC2582" s="22">
        <v>0</v>
      </c>
      <c r="AD2582" s="22" t="s">
        <v>1165</v>
      </c>
      <c r="AE2582" s="22"/>
      <c r="AF2582" s="22" t="s">
        <v>153</v>
      </c>
      <c r="AG2582" s="22"/>
      <c r="AH2582" s="22"/>
      <c r="AI2582" s="21" t="s">
        <v>153</v>
      </c>
      <c r="AJ2582" s="21" t="s">
        <v>1148</v>
      </c>
      <c r="AK2582" s="21">
        <v>64.188000000000002</v>
      </c>
      <c r="AL2582" s="21" t="s">
        <v>1277</v>
      </c>
      <c r="AM2582" s="21" t="s">
        <v>3003</v>
      </c>
      <c r="AN2582" s="21">
        <v>3</v>
      </c>
      <c r="AO2582" s="21">
        <v>30</v>
      </c>
      <c r="AP2582" s="21">
        <v>60</v>
      </c>
      <c r="AQ2582" s="22" t="s">
        <v>3060</v>
      </c>
      <c r="AR2582" s="21" t="s">
        <v>3062</v>
      </c>
      <c r="AS2582" t="s">
        <v>1147</v>
      </c>
    </row>
    <row r="2583" spans="1:45" ht="15" customHeight="1" x14ac:dyDescent="0.2">
      <c r="A2583" s="21" t="s">
        <v>1663</v>
      </c>
      <c r="B2583" s="21" t="s">
        <v>1146</v>
      </c>
      <c r="C2583" s="21" t="s">
        <v>1149</v>
      </c>
      <c r="D2583" s="21" t="s">
        <v>660</v>
      </c>
      <c r="E2583" s="21" t="s">
        <v>661</v>
      </c>
      <c r="F2583" s="22"/>
      <c r="G2583" s="21" t="s">
        <v>1165</v>
      </c>
      <c r="H2583" s="21" t="s">
        <v>1165</v>
      </c>
      <c r="I2583" s="21" t="s">
        <v>3055</v>
      </c>
      <c r="J2583" s="21">
        <v>41.033333300000002</v>
      </c>
      <c r="K2583" s="21">
        <v>17.033333299999999</v>
      </c>
      <c r="L2583" s="22"/>
      <c r="M2583" s="21" t="s">
        <v>1157</v>
      </c>
      <c r="N2583" s="22"/>
      <c r="O2583" s="21">
        <v>2018</v>
      </c>
      <c r="P2583" s="22"/>
      <c r="Q2583" s="21" t="s">
        <v>3056</v>
      </c>
      <c r="R2583" s="21" t="s">
        <v>3057</v>
      </c>
      <c r="T2583" s="21">
        <v>65</v>
      </c>
      <c r="U2583" s="21" t="s">
        <v>1340</v>
      </c>
      <c r="V2583" s="21">
        <v>25</v>
      </c>
      <c r="W2583" s="21">
        <v>60</v>
      </c>
      <c r="X2583" s="23">
        <v>15</v>
      </c>
      <c r="Y2583" s="22" t="s">
        <v>3064</v>
      </c>
      <c r="Z2583" s="22">
        <v>0</v>
      </c>
      <c r="AA2583" s="22"/>
      <c r="AB2583" s="22"/>
      <c r="AC2583" s="22">
        <v>6.9444400000000001E-4</v>
      </c>
      <c r="AD2583" s="22" t="s">
        <v>1165</v>
      </c>
      <c r="AE2583" s="22"/>
      <c r="AF2583" s="22" t="s">
        <v>153</v>
      </c>
      <c r="AG2583" s="22"/>
      <c r="AH2583" s="22"/>
      <c r="AI2583" s="21" t="s">
        <v>153</v>
      </c>
      <c r="AJ2583" s="21" t="s">
        <v>1148</v>
      </c>
      <c r="AK2583" s="21">
        <v>68.102999999999994</v>
      </c>
      <c r="AL2583" s="21" t="s">
        <v>1277</v>
      </c>
      <c r="AM2583" s="21" t="s">
        <v>3003</v>
      </c>
      <c r="AN2583" s="21">
        <v>3</v>
      </c>
      <c r="AO2583" s="21">
        <v>30</v>
      </c>
      <c r="AP2583" s="21">
        <v>60</v>
      </c>
      <c r="AQ2583" s="22" t="s">
        <v>3060</v>
      </c>
      <c r="AR2583" s="21" t="s">
        <v>3062</v>
      </c>
    </row>
    <row r="2584" spans="1:45" ht="15" customHeight="1" x14ac:dyDescent="0.2">
      <c r="A2584" s="21" t="s">
        <v>1663</v>
      </c>
      <c r="B2584" s="21" t="s">
        <v>1146</v>
      </c>
      <c r="C2584" s="21" t="s">
        <v>1149</v>
      </c>
      <c r="D2584" s="21" t="s">
        <v>660</v>
      </c>
      <c r="E2584" s="21" t="s">
        <v>661</v>
      </c>
      <c r="F2584" s="22"/>
      <c r="G2584" s="21" t="s">
        <v>1165</v>
      </c>
      <c r="H2584" s="21" t="s">
        <v>1165</v>
      </c>
      <c r="I2584" s="21" t="s">
        <v>3055</v>
      </c>
      <c r="J2584" s="21">
        <v>41.033333300000002</v>
      </c>
      <c r="K2584" s="21">
        <v>17.033333299999999</v>
      </c>
      <c r="L2584" s="22"/>
      <c r="M2584" s="21" t="s">
        <v>1157</v>
      </c>
      <c r="N2584" s="22"/>
      <c r="O2584" s="21">
        <v>2018</v>
      </c>
      <c r="P2584" s="22"/>
      <c r="Q2584" s="21" t="s">
        <v>3056</v>
      </c>
      <c r="R2584" s="21" t="s">
        <v>3057</v>
      </c>
      <c r="T2584" s="21">
        <v>65</v>
      </c>
      <c r="U2584" s="21" t="s">
        <v>1340</v>
      </c>
      <c r="V2584" s="21">
        <v>25</v>
      </c>
      <c r="W2584" s="21">
        <v>60</v>
      </c>
      <c r="X2584" s="23">
        <v>15</v>
      </c>
      <c r="Y2584" s="22" t="s">
        <v>3064</v>
      </c>
      <c r="Z2584" s="22">
        <v>0</v>
      </c>
      <c r="AA2584" s="22"/>
      <c r="AB2584" s="22"/>
      <c r="AC2584" s="22">
        <v>1.0416699999999999E-2</v>
      </c>
      <c r="AD2584" s="22" t="s">
        <v>1165</v>
      </c>
      <c r="AE2584" s="22"/>
      <c r="AF2584" s="22" t="s">
        <v>153</v>
      </c>
      <c r="AG2584" s="22"/>
      <c r="AH2584" s="22"/>
      <c r="AI2584" s="21" t="s">
        <v>153</v>
      </c>
      <c r="AJ2584" s="21" t="s">
        <v>1148</v>
      </c>
      <c r="AK2584" s="21">
        <v>52.765999999999998</v>
      </c>
      <c r="AL2584" s="21" t="s">
        <v>1277</v>
      </c>
      <c r="AM2584" s="21">
        <f>57.22-49.03</f>
        <v>8.1899999999999977</v>
      </c>
      <c r="AN2584" s="21">
        <v>3</v>
      </c>
      <c r="AO2584" s="21">
        <v>30</v>
      </c>
      <c r="AP2584" s="21">
        <v>60</v>
      </c>
      <c r="AQ2584" s="22" t="s">
        <v>3060</v>
      </c>
      <c r="AR2584" s="21" t="s">
        <v>3062</v>
      </c>
    </row>
    <row r="2585" spans="1:45" ht="15" customHeight="1" x14ac:dyDescent="0.2">
      <c r="A2585" s="21" t="s">
        <v>1663</v>
      </c>
      <c r="B2585" s="21" t="s">
        <v>1146</v>
      </c>
      <c r="C2585" s="21" t="s">
        <v>1149</v>
      </c>
      <c r="D2585" s="21" t="s">
        <v>660</v>
      </c>
      <c r="E2585" s="21" t="s">
        <v>661</v>
      </c>
      <c r="F2585" s="22"/>
      <c r="G2585" s="21" t="s">
        <v>1165</v>
      </c>
      <c r="H2585" s="21" t="s">
        <v>1165</v>
      </c>
      <c r="I2585" s="21" t="s">
        <v>3055</v>
      </c>
      <c r="J2585" s="21">
        <v>41.033333300000002</v>
      </c>
      <c r="K2585" s="21">
        <v>17.033333299999999</v>
      </c>
      <c r="L2585" s="22"/>
      <c r="M2585" s="21" t="s">
        <v>1157</v>
      </c>
      <c r="N2585" s="22"/>
      <c r="O2585" s="21">
        <v>2018</v>
      </c>
      <c r="P2585" s="22"/>
      <c r="Q2585" s="21" t="s">
        <v>3056</v>
      </c>
      <c r="R2585" s="21" t="s">
        <v>3057</v>
      </c>
      <c r="T2585" s="21">
        <v>65</v>
      </c>
      <c r="U2585" s="21" t="s">
        <v>1340</v>
      </c>
      <c r="V2585" s="21">
        <v>25</v>
      </c>
      <c r="W2585" s="21">
        <v>60</v>
      </c>
      <c r="X2585" s="23">
        <v>15</v>
      </c>
      <c r="Y2585" s="22" t="s">
        <v>3064</v>
      </c>
      <c r="Z2585" s="22">
        <v>0</v>
      </c>
      <c r="AA2585" s="22"/>
      <c r="AB2585" s="22"/>
      <c r="AC2585" s="22">
        <v>2.0833299999999999E-2</v>
      </c>
      <c r="AD2585" s="22" t="s">
        <v>1165</v>
      </c>
      <c r="AE2585" s="22"/>
      <c r="AF2585" s="22" t="s">
        <v>153</v>
      </c>
      <c r="AG2585" s="22"/>
      <c r="AH2585" s="22"/>
      <c r="AI2585" s="21" t="s">
        <v>153</v>
      </c>
      <c r="AJ2585" s="21" t="s">
        <v>1148</v>
      </c>
      <c r="AK2585" s="21">
        <v>44.863999999999997</v>
      </c>
      <c r="AL2585" s="21" t="s">
        <v>1277</v>
      </c>
      <c r="AM2585" s="21">
        <f>49.03-40.122</f>
        <v>8.9080000000000013</v>
      </c>
      <c r="AN2585" s="21">
        <v>3</v>
      </c>
      <c r="AO2585" s="21">
        <v>30</v>
      </c>
      <c r="AP2585" s="21">
        <v>60</v>
      </c>
      <c r="AQ2585" s="22" t="s">
        <v>3060</v>
      </c>
      <c r="AR2585" s="21" t="s">
        <v>3062</v>
      </c>
    </row>
    <row r="2586" spans="1:45" ht="15" customHeight="1" x14ac:dyDescent="0.2">
      <c r="A2586" s="21" t="s">
        <v>1663</v>
      </c>
      <c r="B2586" s="21" t="s">
        <v>1146</v>
      </c>
      <c r="C2586" s="21" t="s">
        <v>1149</v>
      </c>
      <c r="D2586" s="21" t="s">
        <v>660</v>
      </c>
      <c r="E2586" s="21" t="s">
        <v>661</v>
      </c>
      <c r="F2586" s="22"/>
      <c r="G2586" s="21" t="s">
        <v>1165</v>
      </c>
      <c r="H2586" s="21" t="s">
        <v>1165</v>
      </c>
      <c r="I2586" s="21" t="s">
        <v>3055</v>
      </c>
      <c r="J2586" s="21">
        <v>41.033333300000002</v>
      </c>
      <c r="K2586" s="21">
        <v>17.033333299999999</v>
      </c>
      <c r="L2586" s="22"/>
      <c r="M2586" s="21" t="s">
        <v>1157</v>
      </c>
      <c r="N2586" s="22"/>
      <c r="O2586" s="21">
        <v>2018</v>
      </c>
      <c r="P2586" s="22"/>
      <c r="Q2586" s="21" t="s">
        <v>3056</v>
      </c>
      <c r="R2586" s="21" t="s">
        <v>3057</v>
      </c>
      <c r="T2586" s="21">
        <v>65</v>
      </c>
      <c r="U2586" s="21" t="s">
        <v>1340</v>
      </c>
      <c r="V2586" s="21">
        <v>25</v>
      </c>
      <c r="W2586" s="21">
        <v>60</v>
      </c>
      <c r="X2586" s="23">
        <v>15</v>
      </c>
      <c r="Y2586" s="22"/>
      <c r="Z2586" s="22">
        <v>0</v>
      </c>
      <c r="AA2586" s="22"/>
      <c r="AB2586" s="22"/>
      <c r="AC2586" s="22">
        <v>0</v>
      </c>
      <c r="AD2586" s="22" t="s">
        <v>1165</v>
      </c>
      <c r="AE2586" s="22"/>
      <c r="AF2586" s="22" t="s">
        <v>153</v>
      </c>
      <c r="AG2586" s="22"/>
      <c r="AH2586" s="22"/>
      <c r="AI2586" s="21" t="s">
        <v>153</v>
      </c>
      <c r="AJ2586" s="21" t="s">
        <v>1148</v>
      </c>
      <c r="AK2586" s="21">
        <v>64.116</v>
      </c>
      <c r="AL2586" s="21" t="s">
        <v>1277</v>
      </c>
      <c r="AM2586" s="21" t="s">
        <v>3003</v>
      </c>
      <c r="AN2586" s="21">
        <v>3</v>
      </c>
      <c r="AO2586" s="21">
        <v>30</v>
      </c>
      <c r="AP2586" s="21">
        <v>90</v>
      </c>
      <c r="AQ2586" s="22" t="s">
        <v>3060</v>
      </c>
      <c r="AR2586" s="21" t="s">
        <v>3062</v>
      </c>
      <c r="AS2586" t="s">
        <v>1147</v>
      </c>
    </row>
    <row r="2587" spans="1:45" ht="15" customHeight="1" x14ac:dyDescent="0.2">
      <c r="A2587" s="21" t="s">
        <v>1663</v>
      </c>
      <c r="B2587" s="21" t="s">
        <v>1146</v>
      </c>
      <c r="C2587" s="21" t="s">
        <v>1149</v>
      </c>
      <c r="D2587" s="21" t="s">
        <v>660</v>
      </c>
      <c r="E2587" s="21" t="s">
        <v>661</v>
      </c>
      <c r="F2587" s="22"/>
      <c r="G2587" s="21" t="s">
        <v>1165</v>
      </c>
      <c r="H2587" s="21" t="s">
        <v>1165</v>
      </c>
      <c r="I2587" s="21" t="s">
        <v>3055</v>
      </c>
      <c r="J2587" s="21">
        <v>41.033333300000002</v>
      </c>
      <c r="K2587" s="21">
        <v>17.033333299999999</v>
      </c>
      <c r="L2587" s="22"/>
      <c r="M2587" s="21" t="s">
        <v>1157</v>
      </c>
      <c r="N2587" s="22"/>
      <c r="O2587" s="21">
        <v>2018</v>
      </c>
      <c r="P2587" s="22"/>
      <c r="Q2587" s="21" t="s">
        <v>3056</v>
      </c>
      <c r="R2587" s="21" t="s">
        <v>3057</v>
      </c>
      <c r="T2587" s="21">
        <v>65</v>
      </c>
      <c r="U2587" s="21" t="s">
        <v>1340</v>
      </c>
      <c r="V2587" s="21">
        <v>25</v>
      </c>
      <c r="W2587" s="21">
        <v>60</v>
      </c>
      <c r="X2587" s="23">
        <v>15</v>
      </c>
      <c r="Y2587" s="22" t="s">
        <v>3064</v>
      </c>
      <c r="Z2587" s="22">
        <v>0</v>
      </c>
      <c r="AA2587" s="22"/>
      <c r="AB2587" s="22"/>
      <c r="AC2587" s="22">
        <v>6.9444400000000001E-4</v>
      </c>
      <c r="AD2587" s="22" t="s">
        <v>1165</v>
      </c>
      <c r="AE2587" s="22"/>
      <c r="AF2587" s="22" t="s">
        <v>153</v>
      </c>
      <c r="AG2587" s="22"/>
      <c r="AH2587" s="22"/>
      <c r="AI2587" s="21" t="s">
        <v>153</v>
      </c>
      <c r="AJ2587" s="21" t="s">
        <v>1148</v>
      </c>
      <c r="AK2587" s="21">
        <v>78.016999999999996</v>
      </c>
      <c r="AL2587" s="21" t="s">
        <v>1277</v>
      </c>
      <c r="AM2587" s="21">
        <f>82.004-73.384</f>
        <v>8.6200000000000045</v>
      </c>
      <c r="AN2587" s="21">
        <v>3</v>
      </c>
      <c r="AO2587" s="21">
        <v>30</v>
      </c>
      <c r="AP2587" s="21">
        <v>90</v>
      </c>
      <c r="AQ2587" s="22" t="s">
        <v>3060</v>
      </c>
      <c r="AR2587" s="21" t="s">
        <v>3062</v>
      </c>
    </row>
    <row r="2588" spans="1:45" ht="15" customHeight="1" x14ac:dyDescent="0.2">
      <c r="A2588" s="21" t="s">
        <v>1663</v>
      </c>
      <c r="B2588" s="21" t="s">
        <v>1146</v>
      </c>
      <c r="C2588" s="21" t="s">
        <v>1149</v>
      </c>
      <c r="D2588" s="21" t="s">
        <v>660</v>
      </c>
      <c r="E2588" s="21" t="s">
        <v>661</v>
      </c>
      <c r="F2588" s="22"/>
      <c r="G2588" s="21" t="s">
        <v>1165</v>
      </c>
      <c r="H2588" s="21" t="s">
        <v>1165</v>
      </c>
      <c r="I2588" s="21" t="s">
        <v>3055</v>
      </c>
      <c r="J2588" s="21">
        <v>41.033333300000002</v>
      </c>
      <c r="K2588" s="21">
        <v>17.033333299999999</v>
      </c>
      <c r="L2588" s="22"/>
      <c r="M2588" s="21" t="s">
        <v>1157</v>
      </c>
      <c r="N2588" s="22"/>
      <c r="O2588" s="21">
        <v>2018</v>
      </c>
      <c r="P2588" s="22"/>
      <c r="Q2588" s="21" t="s">
        <v>3056</v>
      </c>
      <c r="R2588" s="21" t="s">
        <v>3057</v>
      </c>
      <c r="T2588" s="21">
        <v>65</v>
      </c>
      <c r="U2588" s="21" t="s">
        <v>1340</v>
      </c>
      <c r="V2588" s="21">
        <v>25</v>
      </c>
      <c r="W2588" s="21">
        <v>60</v>
      </c>
      <c r="X2588" s="23">
        <v>15</v>
      </c>
      <c r="Y2588" s="22" t="s">
        <v>3064</v>
      </c>
      <c r="Z2588" s="22">
        <v>0</v>
      </c>
      <c r="AA2588" s="22"/>
      <c r="AB2588" s="22"/>
      <c r="AC2588" s="22">
        <v>1.0416699999999999E-2</v>
      </c>
      <c r="AD2588" s="22" t="s">
        <v>1165</v>
      </c>
      <c r="AE2588" s="22"/>
      <c r="AF2588" s="22" t="s">
        <v>153</v>
      </c>
      <c r="AG2588" s="22"/>
      <c r="AH2588" s="22"/>
      <c r="AI2588" s="21" t="s">
        <v>153</v>
      </c>
      <c r="AJ2588" s="21" t="s">
        <v>1148</v>
      </c>
      <c r="AK2588" s="21">
        <v>64.331999999999994</v>
      </c>
      <c r="AL2588" s="21" t="s">
        <v>1277</v>
      </c>
      <c r="AM2588" s="21" t="s">
        <v>3003</v>
      </c>
      <c r="AN2588" s="21">
        <v>3</v>
      </c>
      <c r="AO2588" s="21">
        <v>30</v>
      </c>
      <c r="AP2588" s="21">
        <v>90</v>
      </c>
      <c r="AQ2588" s="22" t="s">
        <v>3060</v>
      </c>
      <c r="AR2588" s="21" t="s">
        <v>3062</v>
      </c>
    </row>
    <row r="2589" spans="1:45" ht="15" customHeight="1" x14ac:dyDescent="0.2">
      <c r="A2589" s="21" t="s">
        <v>1663</v>
      </c>
      <c r="B2589" s="21" t="s">
        <v>1146</v>
      </c>
      <c r="C2589" s="21" t="s">
        <v>1149</v>
      </c>
      <c r="D2589" s="21" t="s">
        <v>660</v>
      </c>
      <c r="E2589" s="21" t="s">
        <v>661</v>
      </c>
      <c r="F2589" s="22"/>
      <c r="G2589" s="21" t="s">
        <v>1165</v>
      </c>
      <c r="H2589" s="21" t="s">
        <v>1165</v>
      </c>
      <c r="I2589" s="21" t="s">
        <v>3055</v>
      </c>
      <c r="J2589" s="21">
        <v>41.033333300000002</v>
      </c>
      <c r="K2589" s="21">
        <v>17.033333299999999</v>
      </c>
      <c r="L2589" s="22"/>
      <c r="M2589" s="21" t="s">
        <v>1157</v>
      </c>
      <c r="N2589" s="22"/>
      <c r="O2589" s="21">
        <v>2018</v>
      </c>
      <c r="P2589" s="22"/>
      <c r="Q2589" s="21" t="s">
        <v>3056</v>
      </c>
      <c r="R2589" s="21" t="s">
        <v>3057</v>
      </c>
      <c r="T2589" s="21">
        <v>65</v>
      </c>
      <c r="U2589" s="21" t="s">
        <v>1340</v>
      </c>
      <c r="V2589" s="21">
        <v>25</v>
      </c>
      <c r="W2589" s="21">
        <v>60</v>
      </c>
      <c r="X2589" s="23">
        <v>15</v>
      </c>
      <c r="Y2589" s="22" t="s">
        <v>3064</v>
      </c>
      <c r="Z2589" s="22">
        <v>0</v>
      </c>
      <c r="AA2589" s="22"/>
      <c r="AB2589" s="22"/>
      <c r="AC2589" s="22">
        <v>2.0833299999999999E-2</v>
      </c>
      <c r="AD2589" s="22" t="s">
        <v>1165</v>
      </c>
      <c r="AE2589" s="22"/>
      <c r="AF2589" s="22" t="s">
        <v>153</v>
      </c>
      <c r="AG2589" s="22"/>
      <c r="AH2589" s="22"/>
      <c r="AI2589" s="21" t="s">
        <v>153</v>
      </c>
      <c r="AJ2589" s="21" t="s">
        <v>1148</v>
      </c>
      <c r="AK2589" s="21">
        <v>53.125</v>
      </c>
      <c r="AL2589" s="21" t="s">
        <v>1277</v>
      </c>
      <c r="AM2589" s="21">
        <f>57.435-48.671</f>
        <v>8.7640000000000029</v>
      </c>
      <c r="AN2589" s="21">
        <v>3</v>
      </c>
      <c r="AO2589" s="21">
        <v>30</v>
      </c>
      <c r="AP2589" s="21">
        <v>90</v>
      </c>
      <c r="AQ2589" s="22" t="s">
        <v>3060</v>
      </c>
      <c r="AR2589" s="21" t="s">
        <v>3062</v>
      </c>
    </row>
    <row r="2590" spans="1:45" ht="15" customHeight="1" x14ac:dyDescent="0.2">
      <c r="A2590" s="21" t="s">
        <v>1663</v>
      </c>
      <c r="B2590" s="21" t="s">
        <v>1146</v>
      </c>
      <c r="C2590" s="21" t="s">
        <v>1149</v>
      </c>
      <c r="D2590" s="21" t="s">
        <v>660</v>
      </c>
      <c r="E2590" s="21" t="s">
        <v>661</v>
      </c>
      <c r="F2590" s="22"/>
      <c r="G2590" s="21" t="s">
        <v>1165</v>
      </c>
      <c r="H2590" s="21" t="s">
        <v>1165</v>
      </c>
      <c r="I2590" s="21" t="s">
        <v>3055</v>
      </c>
      <c r="J2590" s="21">
        <v>41.033333300000002</v>
      </c>
      <c r="K2590" s="21">
        <v>17.033333299999999</v>
      </c>
      <c r="L2590" s="22"/>
      <c r="M2590" s="21" t="s">
        <v>1157</v>
      </c>
      <c r="N2590" s="22"/>
      <c r="O2590" s="21">
        <v>2018</v>
      </c>
      <c r="P2590" s="22"/>
      <c r="Q2590" s="21" t="s">
        <v>3056</v>
      </c>
      <c r="R2590" s="21" t="s">
        <v>3057</v>
      </c>
      <c r="T2590" s="21">
        <v>65</v>
      </c>
      <c r="U2590" s="21" t="s">
        <v>1340</v>
      </c>
      <c r="V2590" s="21">
        <v>25</v>
      </c>
      <c r="W2590" s="21">
        <v>60</v>
      </c>
      <c r="X2590" s="23">
        <v>15</v>
      </c>
      <c r="Y2590" s="22"/>
      <c r="Z2590" s="22">
        <v>0</v>
      </c>
      <c r="AA2590" s="22"/>
      <c r="AB2590" s="22"/>
      <c r="AC2590" s="22">
        <v>0</v>
      </c>
      <c r="AD2590" s="22" t="s">
        <v>1165</v>
      </c>
      <c r="AE2590" s="22"/>
      <c r="AF2590" s="22" t="s">
        <v>153</v>
      </c>
      <c r="AG2590" s="22"/>
      <c r="AH2590" s="22"/>
      <c r="AI2590" s="21" t="s">
        <v>153</v>
      </c>
      <c r="AJ2590" s="21" t="s">
        <v>1148</v>
      </c>
      <c r="AK2590" s="21">
        <v>64.403999999999996</v>
      </c>
      <c r="AL2590" s="21" t="s">
        <v>1277</v>
      </c>
      <c r="AM2590" s="21" t="s">
        <v>3003</v>
      </c>
      <c r="AN2590" s="21">
        <v>3</v>
      </c>
      <c r="AO2590" s="21">
        <v>30</v>
      </c>
      <c r="AP2590" s="21">
        <v>120</v>
      </c>
      <c r="AQ2590" s="22" t="s">
        <v>3060</v>
      </c>
      <c r="AR2590" s="21" t="s">
        <v>3062</v>
      </c>
      <c r="AS2590" t="s">
        <v>1147</v>
      </c>
    </row>
    <row r="2591" spans="1:45" ht="15" customHeight="1" x14ac:dyDescent="0.2">
      <c r="A2591" s="21" t="s">
        <v>1663</v>
      </c>
      <c r="B2591" s="21" t="s">
        <v>1146</v>
      </c>
      <c r="C2591" s="21" t="s">
        <v>1149</v>
      </c>
      <c r="D2591" s="21" t="s">
        <v>660</v>
      </c>
      <c r="E2591" s="21" t="s">
        <v>661</v>
      </c>
      <c r="F2591" s="22"/>
      <c r="G2591" s="21" t="s">
        <v>1165</v>
      </c>
      <c r="H2591" s="21" t="s">
        <v>1165</v>
      </c>
      <c r="I2591" s="21" t="s">
        <v>3055</v>
      </c>
      <c r="J2591" s="21">
        <v>41.033333300000002</v>
      </c>
      <c r="K2591" s="21">
        <v>17.033333299999999</v>
      </c>
      <c r="L2591" s="22"/>
      <c r="M2591" s="21" t="s">
        <v>1157</v>
      </c>
      <c r="N2591" s="22"/>
      <c r="O2591" s="21">
        <v>2018</v>
      </c>
      <c r="P2591" s="22"/>
      <c r="Q2591" s="21" t="s">
        <v>3056</v>
      </c>
      <c r="R2591" s="21" t="s">
        <v>3057</v>
      </c>
      <c r="T2591" s="21">
        <v>65</v>
      </c>
      <c r="U2591" s="21" t="s">
        <v>1340</v>
      </c>
      <c r="V2591" s="21">
        <v>25</v>
      </c>
      <c r="W2591" s="21">
        <v>60</v>
      </c>
      <c r="X2591" s="23">
        <v>15</v>
      </c>
      <c r="Y2591" s="22" t="s">
        <v>3064</v>
      </c>
      <c r="Z2591" s="22">
        <v>0</v>
      </c>
      <c r="AA2591" s="22"/>
      <c r="AB2591" s="22"/>
      <c r="AC2591" s="22">
        <v>6.9444400000000001E-4</v>
      </c>
      <c r="AD2591" s="22" t="s">
        <v>1165</v>
      </c>
      <c r="AE2591" s="22"/>
      <c r="AF2591" s="22" t="s">
        <v>153</v>
      </c>
      <c r="AG2591" s="22"/>
      <c r="AH2591" s="22"/>
      <c r="AI2591" s="21" t="s">
        <v>153</v>
      </c>
      <c r="AJ2591" s="21" t="s">
        <v>1148</v>
      </c>
      <c r="AK2591" s="21">
        <v>79.634</v>
      </c>
      <c r="AL2591" s="21" t="s">
        <v>1277</v>
      </c>
      <c r="AM2591" s="21">
        <f>83.513-75.036</f>
        <v>8.4770000000000039</v>
      </c>
      <c r="AN2591" s="21">
        <v>3</v>
      </c>
      <c r="AO2591" s="21">
        <v>30</v>
      </c>
      <c r="AP2591" s="21">
        <v>120</v>
      </c>
      <c r="AQ2591" s="22" t="s">
        <v>3060</v>
      </c>
      <c r="AR2591" s="21" t="s">
        <v>3062</v>
      </c>
    </row>
    <row r="2592" spans="1:45" ht="15" customHeight="1" x14ac:dyDescent="0.2">
      <c r="A2592" s="21" t="s">
        <v>1663</v>
      </c>
      <c r="B2592" s="21" t="s">
        <v>1146</v>
      </c>
      <c r="C2592" s="21" t="s">
        <v>1149</v>
      </c>
      <c r="D2592" s="21" t="s">
        <v>660</v>
      </c>
      <c r="E2592" s="21" t="s">
        <v>661</v>
      </c>
      <c r="F2592" s="22"/>
      <c r="G2592" s="21" t="s">
        <v>1165</v>
      </c>
      <c r="H2592" s="21" t="s">
        <v>1165</v>
      </c>
      <c r="I2592" s="21" t="s">
        <v>3055</v>
      </c>
      <c r="J2592" s="21">
        <v>41.033333300000002</v>
      </c>
      <c r="K2592" s="21">
        <v>17.033333299999999</v>
      </c>
      <c r="L2592" s="22"/>
      <c r="M2592" s="21" t="s">
        <v>1157</v>
      </c>
      <c r="N2592" s="22"/>
      <c r="O2592" s="21">
        <v>2018</v>
      </c>
      <c r="P2592" s="22"/>
      <c r="Q2592" s="21" t="s">
        <v>3056</v>
      </c>
      <c r="R2592" s="21" t="s">
        <v>3057</v>
      </c>
      <c r="T2592" s="21">
        <v>65</v>
      </c>
      <c r="U2592" s="21" t="s">
        <v>1340</v>
      </c>
      <c r="V2592" s="21">
        <v>25</v>
      </c>
      <c r="W2592" s="21">
        <v>60</v>
      </c>
      <c r="X2592" s="23">
        <v>15</v>
      </c>
      <c r="Y2592" s="22" t="s">
        <v>3064</v>
      </c>
      <c r="Z2592" s="22">
        <v>0</v>
      </c>
      <c r="AA2592" s="22"/>
      <c r="AB2592" s="22"/>
      <c r="AC2592" s="22">
        <v>1.0416699999999999E-2</v>
      </c>
      <c r="AD2592" s="22" t="s">
        <v>1165</v>
      </c>
      <c r="AE2592" s="22"/>
      <c r="AF2592" s="22" t="s">
        <v>153</v>
      </c>
      <c r="AG2592" s="22"/>
      <c r="AH2592" s="22"/>
      <c r="AI2592" s="21" t="s">
        <v>153</v>
      </c>
      <c r="AJ2592" s="21" t="s">
        <v>1148</v>
      </c>
      <c r="AK2592" s="21">
        <v>64.403999999999996</v>
      </c>
      <c r="AL2592" s="21" t="s">
        <v>1277</v>
      </c>
      <c r="AM2592" s="21" t="s">
        <v>3003</v>
      </c>
      <c r="AN2592" s="21">
        <v>3</v>
      </c>
      <c r="AO2592" s="21">
        <v>30</v>
      </c>
      <c r="AP2592" s="21">
        <v>120</v>
      </c>
      <c r="AQ2592" s="22" t="s">
        <v>3060</v>
      </c>
      <c r="AR2592" s="21" t="s">
        <v>3062</v>
      </c>
    </row>
    <row r="2593" spans="1:45" ht="15" customHeight="1" x14ac:dyDescent="0.2">
      <c r="A2593" s="21" t="s">
        <v>1663</v>
      </c>
      <c r="B2593" s="21" t="s">
        <v>1146</v>
      </c>
      <c r="C2593" s="21" t="s">
        <v>1149</v>
      </c>
      <c r="D2593" s="21" t="s">
        <v>660</v>
      </c>
      <c r="E2593" s="21" t="s">
        <v>661</v>
      </c>
      <c r="F2593" s="22"/>
      <c r="G2593" s="21" t="s">
        <v>1165</v>
      </c>
      <c r="H2593" s="21" t="s">
        <v>1165</v>
      </c>
      <c r="I2593" s="21" t="s">
        <v>3055</v>
      </c>
      <c r="J2593" s="21">
        <v>41.033333300000002</v>
      </c>
      <c r="K2593" s="21">
        <v>17.033333299999999</v>
      </c>
      <c r="L2593" s="22"/>
      <c r="M2593" s="21" t="s">
        <v>1157</v>
      </c>
      <c r="N2593" s="22"/>
      <c r="O2593" s="21">
        <v>2018</v>
      </c>
      <c r="P2593" s="22"/>
      <c r="Q2593" s="21" t="s">
        <v>3056</v>
      </c>
      <c r="R2593" s="21" t="s">
        <v>3057</v>
      </c>
      <c r="T2593" s="21">
        <v>65</v>
      </c>
      <c r="U2593" s="21" t="s">
        <v>1340</v>
      </c>
      <c r="V2593" s="21">
        <v>25</v>
      </c>
      <c r="W2593" s="21">
        <v>60</v>
      </c>
      <c r="X2593" s="23">
        <v>15</v>
      </c>
      <c r="Y2593" s="22" t="s">
        <v>3064</v>
      </c>
      <c r="Z2593" s="22">
        <v>0</v>
      </c>
      <c r="AA2593" s="22"/>
      <c r="AB2593" s="22"/>
      <c r="AC2593" s="22">
        <v>2.0833299999999999E-2</v>
      </c>
      <c r="AD2593" s="22" t="s">
        <v>1165</v>
      </c>
      <c r="AE2593" s="22"/>
      <c r="AF2593" s="22" t="s">
        <v>153</v>
      </c>
      <c r="AG2593" s="22"/>
      <c r="AH2593" s="22"/>
      <c r="AI2593" s="21" t="s">
        <v>153</v>
      </c>
      <c r="AJ2593" s="21" t="s">
        <v>1148</v>
      </c>
      <c r="AK2593" s="21">
        <v>54.920999999999999</v>
      </c>
      <c r="AL2593" s="21" t="s">
        <v>1277</v>
      </c>
      <c r="AM2593" s="21" t="s">
        <v>3003</v>
      </c>
      <c r="AN2593" s="21">
        <v>3</v>
      </c>
      <c r="AO2593" s="21">
        <v>30</v>
      </c>
      <c r="AP2593" s="21">
        <v>120</v>
      </c>
      <c r="AQ2593" s="22" t="s">
        <v>3060</v>
      </c>
      <c r="AR2593" s="21" t="s">
        <v>3062</v>
      </c>
    </row>
    <row r="2594" spans="1:45" ht="15" customHeight="1" x14ac:dyDescent="0.2">
      <c r="A2594" s="21" t="s">
        <v>1663</v>
      </c>
      <c r="B2594" s="21" t="s">
        <v>1146</v>
      </c>
      <c r="C2594" s="21" t="s">
        <v>1149</v>
      </c>
      <c r="D2594" s="21" t="s">
        <v>660</v>
      </c>
      <c r="E2594" s="21" t="s">
        <v>661</v>
      </c>
      <c r="F2594" s="22"/>
      <c r="G2594" s="21" t="s">
        <v>1165</v>
      </c>
      <c r="H2594" s="21" t="s">
        <v>1165</v>
      </c>
      <c r="I2594" s="21" t="s">
        <v>3055</v>
      </c>
      <c r="J2594" s="21">
        <v>41.033333300000002</v>
      </c>
      <c r="K2594" s="21">
        <v>17.033333299999999</v>
      </c>
      <c r="L2594" s="22"/>
      <c r="M2594" s="21" t="s">
        <v>1157</v>
      </c>
      <c r="N2594" s="22"/>
      <c r="O2594" s="21">
        <v>2018</v>
      </c>
      <c r="P2594" s="22"/>
      <c r="Q2594" s="21" t="s">
        <v>3056</v>
      </c>
      <c r="R2594" s="21" t="s">
        <v>3057</v>
      </c>
      <c r="T2594" s="21">
        <v>65</v>
      </c>
      <c r="U2594" s="21" t="s">
        <v>1340</v>
      </c>
      <c r="V2594" s="21">
        <v>25</v>
      </c>
      <c r="W2594" s="21">
        <v>60</v>
      </c>
      <c r="X2594" s="23">
        <v>15</v>
      </c>
      <c r="Y2594" s="22"/>
      <c r="Z2594" s="22">
        <v>0</v>
      </c>
      <c r="AA2594" s="22"/>
      <c r="AB2594" s="22"/>
      <c r="AC2594" s="22">
        <v>0</v>
      </c>
      <c r="AD2594" s="22" t="s">
        <v>1165</v>
      </c>
      <c r="AE2594" s="22"/>
      <c r="AF2594" s="22" t="s">
        <v>153</v>
      </c>
      <c r="AG2594" s="22"/>
      <c r="AH2594" s="22"/>
      <c r="AI2594" s="21" t="s">
        <v>153</v>
      </c>
      <c r="AJ2594" s="21" t="s">
        <v>1148</v>
      </c>
      <c r="AK2594" s="21">
        <v>64.224000000000004</v>
      </c>
      <c r="AL2594" s="21" t="s">
        <v>1277</v>
      </c>
      <c r="AM2594" s="21" t="s">
        <v>3003</v>
      </c>
      <c r="AN2594" s="21">
        <v>3</v>
      </c>
      <c r="AO2594" s="21">
        <v>30</v>
      </c>
      <c r="AP2594" s="21">
        <v>150</v>
      </c>
      <c r="AQ2594" s="22" t="s">
        <v>3060</v>
      </c>
      <c r="AR2594" s="21" t="s">
        <v>3062</v>
      </c>
      <c r="AS2594" t="s">
        <v>1147</v>
      </c>
    </row>
    <row r="2595" spans="1:45" ht="15" customHeight="1" x14ac:dyDescent="0.2">
      <c r="A2595" s="21" t="s">
        <v>1663</v>
      </c>
      <c r="B2595" s="21" t="s">
        <v>1146</v>
      </c>
      <c r="C2595" s="21" t="s">
        <v>1149</v>
      </c>
      <c r="D2595" s="21" t="s">
        <v>660</v>
      </c>
      <c r="E2595" s="21" t="s">
        <v>661</v>
      </c>
      <c r="F2595" s="22"/>
      <c r="G2595" s="21" t="s">
        <v>1165</v>
      </c>
      <c r="H2595" s="21" t="s">
        <v>1165</v>
      </c>
      <c r="I2595" s="21" t="s">
        <v>3055</v>
      </c>
      <c r="J2595" s="21">
        <v>41.033333300000002</v>
      </c>
      <c r="K2595" s="21">
        <v>17.033333299999999</v>
      </c>
      <c r="L2595" s="22"/>
      <c r="M2595" s="21" t="s">
        <v>1157</v>
      </c>
      <c r="N2595" s="22"/>
      <c r="O2595" s="21">
        <v>2018</v>
      </c>
      <c r="P2595" s="22"/>
      <c r="Q2595" s="21" t="s">
        <v>3056</v>
      </c>
      <c r="R2595" s="21" t="s">
        <v>3057</v>
      </c>
      <c r="T2595" s="21">
        <v>65</v>
      </c>
      <c r="U2595" s="21" t="s">
        <v>1340</v>
      </c>
      <c r="V2595" s="21">
        <v>25</v>
      </c>
      <c r="W2595" s="21">
        <v>60</v>
      </c>
      <c r="X2595" s="23">
        <v>15</v>
      </c>
      <c r="Y2595" s="22" t="s">
        <v>3064</v>
      </c>
      <c r="Z2595" s="22">
        <v>0</v>
      </c>
      <c r="AA2595" s="22"/>
      <c r="AB2595" s="22"/>
      <c r="AC2595" s="22">
        <v>6.9444400000000001E-4</v>
      </c>
      <c r="AD2595" s="22" t="s">
        <v>1165</v>
      </c>
      <c r="AE2595" s="22"/>
      <c r="AF2595" s="22" t="s">
        <v>153</v>
      </c>
      <c r="AG2595" s="22"/>
      <c r="AH2595" s="22"/>
      <c r="AI2595" s="21" t="s">
        <v>153</v>
      </c>
      <c r="AJ2595" s="21" t="s">
        <v>1148</v>
      </c>
      <c r="AK2595" s="21">
        <v>81.644999999999996</v>
      </c>
      <c r="AL2595" s="21" t="s">
        <v>1277</v>
      </c>
      <c r="AM2595" s="21">
        <f>86.243-76.185</f>
        <v>10.057999999999993</v>
      </c>
      <c r="AN2595" s="21">
        <v>3</v>
      </c>
      <c r="AO2595" s="21">
        <v>30</v>
      </c>
      <c r="AP2595" s="21">
        <v>150</v>
      </c>
      <c r="AQ2595" s="22" t="s">
        <v>3060</v>
      </c>
      <c r="AR2595" s="21" t="s">
        <v>3062</v>
      </c>
    </row>
    <row r="2596" spans="1:45" ht="15" customHeight="1" x14ac:dyDescent="0.2">
      <c r="A2596" s="21" t="s">
        <v>1663</v>
      </c>
      <c r="B2596" s="21" t="s">
        <v>1146</v>
      </c>
      <c r="C2596" s="21" t="s">
        <v>1149</v>
      </c>
      <c r="D2596" s="21" t="s">
        <v>660</v>
      </c>
      <c r="E2596" s="21" t="s">
        <v>661</v>
      </c>
      <c r="F2596" s="22"/>
      <c r="G2596" s="21" t="s">
        <v>1165</v>
      </c>
      <c r="H2596" s="21" t="s">
        <v>1165</v>
      </c>
      <c r="I2596" s="21" t="s">
        <v>3055</v>
      </c>
      <c r="J2596" s="21">
        <v>41.033333300000002</v>
      </c>
      <c r="K2596" s="21">
        <v>17.033333299999999</v>
      </c>
      <c r="L2596" s="22"/>
      <c r="M2596" s="21" t="s">
        <v>1157</v>
      </c>
      <c r="N2596" s="22"/>
      <c r="O2596" s="21">
        <v>2018</v>
      </c>
      <c r="P2596" s="22"/>
      <c r="Q2596" s="21" t="s">
        <v>3056</v>
      </c>
      <c r="R2596" s="21" t="s">
        <v>3057</v>
      </c>
      <c r="T2596" s="21">
        <v>65</v>
      </c>
      <c r="U2596" s="21" t="s">
        <v>1340</v>
      </c>
      <c r="V2596" s="21">
        <v>25</v>
      </c>
      <c r="W2596" s="21">
        <v>60</v>
      </c>
      <c r="X2596" s="23">
        <v>15</v>
      </c>
      <c r="Y2596" s="22" t="s">
        <v>3064</v>
      </c>
      <c r="Z2596" s="22">
        <v>0</v>
      </c>
      <c r="AA2596" s="22"/>
      <c r="AB2596" s="22"/>
      <c r="AC2596" s="22">
        <v>1.0416699999999999E-2</v>
      </c>
      <c r="AD2596" s="22" t="s">
        <v>1165</v>
      </c>
      <c r="AE2596" s="22"/>
      <c r="AF2596" s="22" t="s">
        <v>153</v>
      </c>
      <c r="AG2596" s="22"/>
      <c r="AH2596" s="22"/>
      <c r="AI2596" s="21" t="s">
        <v>153</v>
      </c>
      <c r="AJ2596" s="21" t="s">
        <v>1148</v>
      </c>
      <c r="AK2596" s="21">
        <v>64.224000000000004</v>
      </c>
      <c r="AL2596" s="21" t="s">
        <v>1277</v>
      </c>
      <c r="AM2596" s="21" t="s">
        <v>3003</v>
      </c>
      <c r="AN2596" s="21">
        <v>3</v>
      </c>
      <c r="AO2596" s="21">
        <v>30</v>
      </c>
      <c r="AP2596" s="21">
        <v>150</v>
      </c>
      <c r="AQ2596" s="22" t="s">
        <v>3060</v>
      </c>
      <c r="AR2596" s="21" t="s">
        <v>3062</v>
      </c>
    </row>
    <row r="2597" spans="1:45" ht="15" customHeight="1" x14ac:dyDescent="0.2">
      <c r="A2597" s="21" t="s">
        <v>1663</v>
      </c>
      <c r="B2597" s="21" t="s">
        <v>1146</v>
      </c>
      <c r="C2597" s="21" t="s">
        <v>1149</v>
      </c>
      <c r="D2597" s="21" t="s">
        <v>660</v>
      </c>
      <c r="E2597" s="21" t="s">
        <v>661</v>
      </c>
      <c r="F2597" s="22"/>
      <c r="G2597" s="21" t="s">
        <v>1165</v>
      </c>
      <c r="H2597" s="21" t="s">
        <v>1165</v>
      </c>
      <c r="I2597" s="21" t="s">
        <v>3055</v>
      </c>
      <c r="J2597" s="21">
        <v>41.033333300000002</v>
      </c>
      <c r="K2597" s="21">
        <v>17.033333299999999</v>
      </c>
      <c r="L2597" s="22"/>
      <c r="M2597" s="21" t="s">
        <v>1157</v>
      </c>
      <c r="N2597" s="22"/>
      <c r="O2597" s="21">
        <v>2018</v>
      </c>
      <c r="P2597" s="22"/>
      <c r="Q2597" s="21" t="s">
        <v>3056</v>
      </c>
      <c r="R2597" s="21" t="s">
        <v>3057</v>
      </c>
      <c r="T2597" s="21">
        <v>65</v>
      </c>
      <c r="U2597" s="21" t="s">
        <v>1340</v>
      </c>
      <c r="V2597" s="21">
        <v>25</v>
      </c>
      <c r="W2597" s="21">
        <v>60</v>
      </c>
      <c r="X2597" s="23">
        <v>15</v>
      </c>
      <c r="Y2597" s="22" t="s">
        <v>3064</v>
      </c>
      <c r="Z2597" s="22">
        <v>0</v>
      </c>
      <c r="AA2597" s="22"/>
      <c r="AB2597" s="22"/>
      <c r="AC2597" s="22">
        <v>2.0833299999999999E-2</v>
      </c>
      <c r="AD2597" s="22" t="s">
        <v>1165</v>
      </c>
      <c r="AE2597" s="22"/>
      <c r="AF2597" s="22" t="s">
        <v>153</v>
      </c>
      <c r="AG2597" s="22"/>
      <c r="AH2597" s="22"/>
      <c r="AI2597" s="21" t="s">
        <v>153</v>
      </c>
      <c r="AJ2597" s="21" t="s">
        <v>1148</v>
      </c>
      <c r="AK2597" s="21">
        <v>54.777000000000001</v>
      </c>
      <c r="AL2597" s="21" t="s">
        <v>1277</v>
      </c>
      <c r="AM2597" s="21" t="s">
        <v>3003</v>
      </c>
      <c r="AN2597" s="21">
        <v>3</v>
      </c>
      <c r="AO2597" s="21">
        <v>30</v>
      </c>
      <c r="AP2597" s="21">
        <v>150</v>
      </c>
      <c r="AQ2597" s="22" t="s">
        <v>3060</v>
      </c>
      <c r="AR2597" s="21" t="s">
        <v>3062</v>
      </c>
    </row>
    <row r="2598" spans="1:45" ht="15" customHeight="1" x14ac:dyDescent="0.2">
      <c r="A2598" s="21" t="s">
        <v>1663</v>
      </c>
      <c r="B2598" s="21" t="s">
        <v>1146</v>
      </c>
      <c r="C2598" s="21" t="s">
        <v>1149</v>
      </c>
      <c r="D2598" s="21" t="s">
        <v>660</v>
      </c>
      <c r="E2598" s="21" t="s">
        <v>661</v>
      </c>
      <c r="F2598" s="22"/>
      <c r="G2598" s="21" t="s">
        <v>1165</v>
      </c>
      <c r="H2598" s="21" t="s">
        <v>1165</v>
      </c>
      <c r="I2598" s="21" t="s">
        <v>3055</v>
      </c>
      <c r="J2598" s="21">
        <v>41.033333300000002</v>
      </c>
      <c r="K2598" s="21">
        <v>17.033333299999999</v>
      </c>
      <c r="L2598" s="22"/>
      <c r="M2598" s="21" t="s">
        <v>1157</v>
      </c>
      <c r="N2598" s="22"/>
      <c r="O2598" s="21">
        <v>2018</v>
      </c>
      <c r="P2598" s="22"/>
      <c r="Q2598" s="21" t="s">
        <v>3056</v>
      </c>
      <c r="R2598" s="21" t="s">
        <v>3057</v>
      </c>
      <c r="T2598" s="21">
        <v>65</v>
      </c>
      <c r="U2598" s="21" t="s">
        <v>1340</v>
      </c>
      <c r="V2598" s="21">
        <v>25</v>
      </c>
      <c r="W2598" s="21">
        <v>60</v>
      </c>
      <c r="X2598" s="23">
        <v>15</v>
      </c>
      <c r="Y2598" s="22"/>
      <c r="Z2598" s="22">
        <v>0</v>
      </c>
      <c r="AA2598" s="22"/>
      <c r="AB2598" s="22"/>
      <c r="AC2598" s="22">
        <v>0</v>
      </c>
      <c r="AD2598" s="22" t="s">
        <v>1165</v>
      </c>
      <c r="AE2598" s="22"/>
      <c r="AF2598" s="22" t="s">
        <v>153</v>
      </c>
      <c r="AG2598" s="22"/>
      <c r="AH2598" s="22"/>
      <c r="AI2598" s="21" t="s">
        <v>153</v>
      </c>
      <c r="AJ2598" s="21" t="s">
        <v>1148</v>
      </c>
      <c r="AK2598" s="21">
        <v>39.871000000000002</v>
      </c>
      <c r="AL2598" s="21" t="s">
        <v>1277</v>
      </c>
      <c r="AM2598" s="21" t="s">
        <v>3003</v>
      </c>
      <c r="AN2598" s="21">
        <v>3</v>
      </c>
      <c r="AO2598" s="21">
        <v>30</v>
      </c>
      <c r="AP2598" s="21">
        <v>30</v>
      </c>
      <c r="AQ2598" s="22" t="s">
        <v>3060</v>
      </c>
      <c r="AR2598" s="21" t="s">
        <v>3062</v>
      </c>
      <c r="AS2598" t="s">
        <v>1147</v>
      </c>
    </row>
    <row r="2599" spans="1:45" ht="15" customHeight="1" x14ac:dyDescent="0.2">
      <c r="A2599" s="21" t="s">
        <v>1663</v>
      </c>
      <c r="B2599" s="21" t="s">
        <v>1146</v>
      </c>
      <c r="C2599" s="21" t="s">
        <v>1149</v>
      </c>
      <c r="D2599" s="21" t="s">
        <v>660</v>
      </c>
      <c r="E2599" s="21" t="s">
        <v>661</v>
      </c>
      <c r="F2599" s="22"/>
      <c r="G2599" s="21" t="s">
        <v>1165</v>
      </c>
      <c r="H2599" s="21" t="s">
        <v>1165</v>
      </c>
      <c r="I2599" s="21" t="s">
        <v>3055</v>
      </c>
      <c r="J2599" s="21">
        <v>41.033333300000002</v>
      </c>
      <c r="K2599" s="21">
        <v>17.033333299999999</v>
      </c>
      <c r="L2599" s="22"/>
      <c r="M2599" s="21" t="s">
        <v>1157</v>
      </c>
      <c r="N2599" s="22"/>
      <c r="O2599" s="21">
        <v>2018</v>
      </c>
      <c r="P2599" s="22"/>
      <c r="Q2599" s="21" t="s">
        <v>3056</v>
      </c>
      <c r="R2599" s="21" t="s">
        <v>3057</v>
      </c>
      <c r="T2599" s="21">
        <v>65</v>
      </c>
      <c r="U2599" s="21" t="s">
        <v>1340</v>
      </c>
      <c r="V2599" s="21">
        <v>25</v>
      </c>
      <c r="W2599" s="21">
        <v>60</v>
      </c>
      <c r="X2599" s="23">
        <v>15</v>
      </c>
      <c r="Y2599" s="22" t="s">
        <v>3064</v>
      </c>
      <c r="Z2599" s="22">
        <v>0</v>
      </c>
      <c r="AA2599" s="22"/>
      <c r="AB2599" s="22"/>
      <c r="AC2599" s="22">
        <v>6.9444400000000001E-4</v>
      </c>
      <c r="AD2599" s="22" t="s">
        <v>1165</v>
      </c>
      <c r="AE2599" s="22"/>
      <c r="AF2599" s="22" t="s">
        <v>153</v>
      </c>
      <c r="AG2599" s="22"/>
      <c r="AH2599" s="22"/>
      <c r="AI2599" s="21" t="s">
        <v>153</v>
      </c>
      <c r="AJ2599" s="21" t="s">
        <v>1148</v>
      </c>
      <c r="AK2599" s="21">
        <v>39.871000000000002</v>
      </c>
      <c r="AL2599" s="21" t="s">
        <v>1277</v>
      </c>
      <c r="AM2599" s="21" t="s">
        <v>3003</v>
      </c>
      <c r="AN2599" s="21">
        <v>3</v>
      </c>
      <c r="AO2599" s="21">
        <v>30</v>
      </c>
      <c r="AP2599" s="21">
        <v>30</v>
      </c>
      <c r="AQ2599" s="22" t="s">
        <v>3060</v>
      </c>
      <c r="AR2599" s="21" t="s">
        <v>3062</v>
      </c>
    </row>
    <row r="2600" spans="1:45" ht="15" customHeight="1" x14ac:dyDescent="0.2">
      <c r="A2600" s="21" t="s">
        <v>1663</v>
      </c>
      <c r="B2600" s="21" t="s">
        <v>1146</v>
      </c>
      <c r="C2600" s="21" t="s">
        <v>1149</v>
      </c>
      <c r="D2600" s="21" t="s">
        <v>660</v>
      </c>
      <c r="E2600" s="21" t="s">
        <v>661</v>
      </c>
      <c r="F2600" s="22"/>
      <c r="G2600" s="21" t="s">
        <v>1165</v>
      </c>
      <c r="H2600" s="21" t="s">
        <v>1165</v>
      </c>
      <c r="I2600" s="21" t="s">
        <v>3055</v>
      </c>
      <c r="J2600" s="21">
        <v>41.033333300000002</v>
      </c>
      <c r="K2600" s="21">
        <v>17.033333299999999</v>
      </c>
      <c r="L2600" s="22"/>
      <c r="M2600" s="21" t="s">
        <v>1157</v>
      </c>
      <c r="N2600" s="22"/>
      <c r="O2600" s="21">
        <v>2018</v>
      </c>
      <c r="P2600" s="22"/>
      <c r="Q2600" s="21" t="s">
        <v>3056</v>
      </c>
      <c r="R2600" s="21" t="s">
        <v>3057</v>
      </c>
      <c r="T2600" s="21">
        <v>65</v>
      </c>
      <c r="U2600" s="21" t="s">
        <v>1340</v>
      </c>
      <c r="V2600" s="21">
        <v>25</v>
      </c>
      <c r="W2600" s="21">
        <v>60</v>
      </c>
      <c r="X2600" s="23">
        <v>15</v>
      </c>
      <c r="Y2600" s="22" t="s">
        <v>3064</v>
      </c>
      <c r="Z2600" s="22">
        <v>0</v>
      </c>
      <c r="AA2600" s="22"/>
      <c r="AB2600" s="22"/>
      <c r="AC2600" s="22">
        <v>1.0416699999999999E-2</v>
      </c>
      <c r="AD2600" s="22" t="s">
        <v>1165</v>
      </c>
      <c r="AE2600" s="22"/>
      <c r="AF2600" s="22" t="s">
        <v>153</v>
      </c>
      <c r="AG2600" s="22"/>
      <c r="AH2600" s="22"/>
      <c r="AI2600" s="21" t="s">
        <v>153</v>
      </c>
      <c r="AJ2600" s="21" t="s">
        <v>1148</v>
      </c>
      <c r="AK2600" s="21">
        <v>43.139000000000003</v>
      </c>
      <c r="AL2600" s="21" t="s">
        <v>1277</v>
      </c>
      <c r="AM2600" s="21" t="s">
        <v>3003</v>
      </c>
      <c r="AN2600" s="21">
        <v>3</v>
      </c>
      <c r="AO2600" s="21">
        <v>30</v>
      </c>
      <c r="AP2600" s="21">
        <v>30</v>
      </c>
      <c r="AQ2600" s="22" t="s">
        <v>3060</v>
      </c>
      <c r="AR2600" s="21" t="s">
        <v>3062</v>
      </c>
    </row>
    <row r="2601" spans="1:45" ht="15" customHeight="1" x14ac:dyDescent="0.2">
      <c r="A2601" s="21" t="s">
        <v>1663</v>
      </c>
      <c r="B2601" s="21" t="s">
        <v>1146</v>
      </c>
      <c r="C2601" s="21" t="s">
        <v>1149</v>
      </c>
      <c r="D2601" s="21" t="s">
        <v>660</v>
      </c>
      <c r="E2601" s="21" t="s">
        <v>661</v>
      </c>
      <c r="F2601" s="22"/>
      <c r="G2601" s="21" t="s">
        <v>1165</v>
      </c>
      <c r="H2601" s="21" t="s">
        <v>1165</v>
      </c>
      <c r="I2601" s="21" t="s">
        <v>3055</v>
      </c>
      <c r="J2601" s="21">
        <v>41.033333300000002</v>
      </c>
      <c r="K2601" s="21">
        <v>17.033333299999999</v>
      </c>
      <c r="L2601" s="22"/>
      <c r="M2601" s="21" t="s">
        <v>1157</v>
      </c>
      <c r="N2601" s="22"/>
      <c r="O2601" s="21">
        <v>2018</v>
      </c>
      <c r="P2601" s="22"/>
      <c r="Q2601" s="21" t="s">
        <v>3056</v>
      </c>
      <c r="R2601" s="21" t="s">
        <v>3057</v>
      </c>
      <c r="T2601" s="21">
        <v>65</v>
      </c>
      <c r="U2601" s="21" t="s">
        <v>1340</v>
      </c>
      <c r="V2601" s="21">
        <v>25</v>
      </c>
      <c r="W2601" s="21">
        <v>60</v>
      </c>
      <c r="X2601" s="23">
        <v>15</v>
      </c>
      <c r="Y2601" s="22" t="s">
        <v>3064</v>
      </c>
      <c r="Z2601" s="22">
        <v>0</v>
      </c>
      <c r="AA2601" s="22"/>
      <c r="AB2601" s="22"/>
      <c r="AC2601" s="22">
        <v>2.0833299999999999E-2</v>
      </c>
      <c r="AD2601" s="22" t="s">
        <v>1165</v>
      </c>
      <c r="AE2601" s="22"/>
      <c r="AF2601" s="22" t="s">
        <v>153</v>
      </c>
      <c r="AG2601" s="22"/>
      <c r="AH2601" s="22"/>
      <c r="AI2601" s="21" t="s">
        <v>153</v>
      </c>
      <c r="AJ2601" s="21" t="s">
        <v>1148</v>
      </c>
      <c r="AK2601" s="21">
        <v>23.276</v>
      </c>
      <c r="AL2601" s="21" t="s">
        <v>1277</v>
      </c>
      <c r="AM2601" s="21">
        <f>26.473-19.863</f>
        <v>6.6099999999999994</v>
      </c>
      <c r="AN2601" s="21">
        <v>3</v>
      </c>
      <c r="AO2601" s="21">
        <v>30</v>
      </c>
      <c r="AP2601" s="21">
        <v>30</v>
      </c>
      <c r="AQ2601" s="22" t="s">
        <v>3060</v>
      </c>
      <c r="AR2601" s="21" t="s">
        <v>3062</v>
      </c>
    </row>
    <row r="2602" spans="1:45" ht="15" customHeight="1" x14ac:dyDescent="0.2">
      <c r="A2602" s="21" t="s">
        <v>1663</v>
      </c>
      <c r="B2602" s="21" t="s">
        <v>1146</v>
      </c>
      <c r="C2602" s="21" t="s">
        <v>1149</v>
      </c>
      <c r="D2602" s="21" t="s">
        <v>660</v>
      </c>
      <c r="E2602" s="21" t="s">
        <v>661</v>
      </c>
      <c r="F2602" s="22"/>
      <c r="G2602" s="21" t="s">
        <v>1165</v>
      </c>
      <c r="H2602" s="21" t="s">
        <v>1165</v>
      </c>
      <c r="I2602" s="21" t="s">
        <v>3055</v>
      </c>
      <c r="J2602" s="21">
        <v>41.033333300000002</v>
      </c>
      <c r="K2602" s="21">
        <v>17.033333299999999</v>
      </c>
      <c r="L2602" s="22"/>
      <c r="M2602" s="21" t="s">
        <v>1157</v>
      </c>
      <c r="N2602" s="22"/>
      <c r="O2602" s="21">
        <v>2018</v>
      </c>
      <c r="P2602" s="22"/>
      <c r="Q2602" s="21" t="s">
        <v>3056</v>
      </c>
      <c r="R2602" s="21" t="s">
        <v>3057</v>
      </c>
      <c r="T2602" s="21">
        <v>65</v>
      </c>
      <c r="U2602" s="21" t="s">
        <v>1340</v>
      </c>
      <c r="V2602" s="21">
        <v>25</v>
      </c>
      <c r="W2602" s="21">
        <v>60</v>
      </c>
      <c r="X2602" s="23">
        <v>15</v>
      </c>
      <c r="Y2602" s="22"/>
      <c r="Z2602" s="22">
        <v>0</v>
      </c>
      <c r="AA2602" s="22"/>
      <c r="AB2602" s="22"/>
      <c r="AC2602" s="22">
        <v>0</v>
      </c>
      <c r="AD2602" s="22" t="s">
        <v>1165</v>
      </c>
      <c r="AE2602" s="22"/>
      <c r="AF2602" s="22" t="s">
        <v>153</v>
      </c>
      <c r="AG2602" s="22"/>
      <c r="AH2602" s="22"/>
      <c r="AI2602" s="21" t="s">
        <v>153</v>
      </c>
      <c r="AJ2602" s="21" t="s">
        <v>1148</v>
      </c>
      <c r="AK2602" s="21">
        <v>64.260000000000005</v>
      </c>
      <c r="AL2602" s="21" t="s">
        <v>1277</v>
      </c>
      <c r="AM2602" s="21" t="s">
        <v>3003</v>
      </c>
      <c r="AN2602" s="21">
        <v>3</v>
      </c>
      <c r="AO2602" s="21">
        <v>30</v>
      </c>
      <c r="AP2602" s="21">
        <v>60</v>
      </c>
      <c r="AQ2602" s="22" t="s">
        <v>3060</v>
      </c>
      <c r="AR2602" s="21" t="s">
        <v>3062</v>
      </c>
      <c r="AS2602" t="s">
        <v>1147</v>
      </c>
    </row>
    <row r="2603" spans="1:45" ht="15" customHeight="1" x14ac:dyDescent="0.2">
      <c r="A2603" s="21" t="s">
        <v>1663</v>
      </c>
      <c r="B2603" s="21" t="s">
        <v>1146</v>
      </c>
      <c r="C2603" s="21" t="s">
        <v>1149</v>
      </c>
      <c r="D2603" s="21" t="s">
        <v>660</v>
      </c>
      <c r="E2603" s="21" t="s">
        <v>661</v>
      </c>
      <c r="F2603" s="22"/>
      <c r="G2603" s="21" t="s">
        <v>1165</v>
      </c>
      <c r="H2603" s="21" t="s">
        <v>1165</v>
      </c>
      <c r="I2603" s="21" t="s">
        <v>3055</v>
      </c>
      <c r="J2603" s="21">
        <v>41.033333300000002</v>
      </c>
      <c r="K2603" s="21">
        <v>17.033333299999999</v>
      </c>
      <c r="L2603" s="22"/>
      <c r="M2603" s="21" t="s">
        <v>1157</v>
      </c>
      <c r="N2603" s="22"/>
      <c r="O2603" s="21">
        <v>2018</v>
      </c>
      <c r="P2603" s="22"/>
      <c r="Q2603" s="21" t="s">
        <v>3056</v>
      </c>
      <c r="R2603" s="21" t="s">
        <v>3057</v>
      </c>
      <c r="T2603" s="21">
        <v>65</v>
      </c>
      <c r="U2603" s="21" t="s">
        <v>1340</v>
      </c>
      <c r="V2603" s="21">
        <v>25</v>
      </c>
      <c r="W2603" s="21">
        <v>60</v>
      </c>
      <c r="X2603" s="23">
        <v>15</v>
      </c>
      <c r="Y2603" s="22" t="s">
        <v>3064</v>
      </c>
      <c r="Z2603" s="22">
        <v>0</v>
      </c>
      <c r="AA2603" s="22"/>
      <c r="AB2603" s="22"/>
      <c r="AC2603" s="22">
        <v>6.9444400000000001E-4</v>
      </c>
      <c r="AD2603" s="22" t="s">
        <v>1165</v>
      </c>
      <c r="AE2603" s="22"/>
      <c r="AF2603" s="22" t="s">
        <v>153</v>
      </c>
      <c r="AG2603" s="22"/>
      <c r="AH2603" s="22"/>
      <c r="AI2603" s="21" t="s">
        <v>153</v>
      </c>
      <c r="AJ2603" s="21" t="s">
        <v>1148</v>
      </c>
      <c r="AK2603" s="21">
        <v>61.673999999999999</v>
      </c>
      <c r="AL2603" s="21" t="s">
        <v>1277</v>
      </c>
      <c r="AM2603" s="21" t="s">
        <v>3003</v>
      </c>
      <c r="AN2603" s="21">
        <v>3</v>
      </c>
      <c r="AO2603" s="21">
        <v>30</v>
      </c>
      <c r="AP2603" s="21">
        <v>60</v>
      </c>
      <c r="AQ2603" s="22" t="s">
        <v>3060</v>
      </c>
      <c r="AR2603" s="21" t="s">
        <v>3062</v>
      </c>
    </row>
    <row r="2604" spans="1:45" ht="15" customHeight="1" x14ac:dyDescent="0.2">
      <c r="A2604" s="21" t="s">
        <v>1663</v>
      </c>
      <c r="B2604" s="21" t="s">
        <v>1146</v>
      </c>
      <c r="C2604" s="21" t="s">
        <v>1149</v>
      </c>
      <c r="D2604" s="21" t="s">
        <v>660</v>
      </c>
      <c r="E2604" s="21" t="s">
        <v>661</v>
      </c>
      <c r="F2604" s="22"/>
      <c r="G2604" s="21" t="s">
        <v>1165</v>
      </c>
      <c r="H2604" s="21" t="s">
        <v>1165</v>
      </c>
      <c r="I2604" s="21" t="s">
        <v>3055</v>
      </c>
      <c r="J2604" s="21">
        <v>41.033333300000002</v>
      </c>
      <c r="K2604" s="21">
        <v>17.033333299999999</v>
      </c>
      <c r="L2604" s="22"/>
      <c r="M2604" s="21" t="s">
        <v>1157</v>
      </c>
      <c r="N2604" s="22"/>
      <c r="O2604" s="21">
        <v>2018</v>
      </c>
      <c r="P2604" s="22"/>
      <c r="Q2604" s="21" t="s">
        <v>3056</v>
      </c>
      <c r="R2604" s="21" t="s">
        <v>3057</v>
      </c>
      <c r="T2604" s="21">
        <v>65</v>
      </c>
      <c r="U2604" s="21" t="s">
        <v>1340</v>
      </c>
      <c r="V2604" s="21">
        <v>25</v>
      </c>
      <c r="W2604" s="21">
        <v>60</v>
      </c>
      <c r="X2604" s="23">
        <v>15</v>
      </c>
      <c r="Y2604" s="22" t="s">
        <v>3064</v>
      </c>
      <c r="Z2604" s="22">
        <v>0</v>
      </c>
      <c r="AA2604" s="22"/>
      <c r="AB2604" s="22"/>
      <c r="AC2604" s="22">
        <v>1.0416699999999999E-2</v>
      </c>
      <c r="AD2604" s="22" t="s">
        <v>1165</v>
      </c>
      <c r="AE2604" s="22"/>
      <c r="AF2604" s="22" t="s">
        <v>153</v>
      </c>
      <c r="AG2604" s="22"/>
      <c r="AH2604" s="22"/>
      <c r="AI2604" s="21" t="s">
        <v>153</v>
      </c>
      <c r="AJ2604" s="21" t="s">
        <v>1148</v>
      </c>
      <c r="AK2604" s="21">
        <v>69.647999999999996</v>
      </c>
      <c r="AM2604" s="21" t="s">
        <v>3003</v>
      </c>
      <c r="AN2604" s="21">
        <v>3</v>
      </c>
      <c r="AO2604" s="21">
        <v>30</v>
      </c>
      <c r="AP2604" s="21">
        <v>60</v>
      </c>
      <c r="AQ2604" s="22" t="s">
        <v>3060</v>
      </c>
      <c r="AR2604" s="21" t="s">
        <v>3062</v>
      </c>
    </row>
    <row r="2605" spans="1:45" ht="15" customHeight="1" x14ac:dyDescent="0.2">
      <c r="A2605" s="21" t="s">
        <v>1663</v>
      </c>
      <c r="B2605" s="21" t="s">
        <v>1146</v>
      </c>
      <c r="C2605" s="21" t="s">
        <v>1149</v>
      </c>
      <c r="D2605" s="21" t="s">
        <v>660</v>
      </c>
      <c r="E2605" s="21" t="s">
        <v>661</v>
      </c>
      <c r="F2605" s="22"/>
      <c r="G2605" s="21" t="s">
        <v>1165</v>
      </c>
      <c r="H2605" s="21" t="s">
        <v>1165</v>
      </c>
      <c r="I2605" s="21" t="s">
        <v>3055</v>
      </c>
      <c r="J2605" s="21">
        <v>41.033333300000002</v>
      </c>
      <c r="K2605" s="21">
        <v>17.033333299999999</v>
      </c>
      <c r="L2605" s="22"/>
      <c r="M2605" s="21" t="s">
        <v>1157</v>
      </c>
      <c r="N2605" s="22"/>
      <c r="O2605" s="21">
        <v>2018</v>
      </c>
      <c r="P2605" s="22"/>
      <c r="Q2605" s="21" t="s">
        <v>3056</v>
      </c>
      <c r="R2605" s="21" t="s">
        <v>3057</v>
      </c>
      <c r="T2605" s="21">
        <v>65</v>
      </c>
      <c r="U2605" s="21" t="s">
        <v>1340</v>
      </c>
      <c r="V2605" s="21">
        <v>25</v>
      </c>
      <c r="W2605" s="21">
        <v>60</v>
      </c>
      <c r="X2605" s="23">
        <v>15</v>
      </c>
      <c r="Y2605" s="22" t="s">
        <v>3064</v>
      </c>
      <c r="Z2605" s="22">
        <v>0</v>
      </c>
      <c r="AA2605" s="22"/>
      <c r="AB2605" s="22"/>
      <c r="AC2605" s="22">
        <v>2.0833299999999999E-2</v>
      </c>
      <c r="AD2605" s="22" t="s">
        <v>1165</v>
      </c>
      <c r="AE2605" s="22"/>
      <c r="AF2605" s="22" t="s">
        <v>153</v>
      </c>
      <c r="AG2605" s="22"/>
      <c r="AH2605" s="22"/>
      <c r="AI2605" s="21" t="s">
        <v>153</v>
      </c>
      <c r="AJ2605" s="21" t="s">
        <v>1148</v>
      </c>
      <c r="AK2605" s="21">
        <v>51.509</v>
      </c>
      <c r="AL2605" s="21" t="s">
        <v>1277</v>
      </c>
      <c r="AM2605" s="21">
        <f>53.341-49.03</f>
        <v>4.3109999999999999</v>
      </c>
      <c r="AN2605" s="21">
        <v>3</v>
      </c>
      <c r="AO2605" s="21">
        <v>30</v>
      </c>
      <c r="AP2605" s="21">
        <v>60</v>
      </c>
      <c r="AQ2605" s="22" t="s">
        <v>3060</v>
      </c>
      <c r="AR2605" s="21" t="s">
        <v>3062</v>
      </c>
    </row>
    <row r="2606" spans="1:45" ht="15" customHeight="1" x14ac:dyDescent="0.2">
      <c r="A2606" s="21" t="s">
        <v>1663</v>
      </c>
      <c r="B2606" s="21" t="s">
        <v>1146</v>
      </c>
      <c r="C2606" s="21" t="s">
        <v>1149</v>
      </c>
      <c r="D2606" s="21" t="s">
        <v>660</v>
      </c>
      <c r="E2606" s="21" t="s">
        <v>661</v>
      </c>
      <c r="F2606" s="22"/>
      <c r="G2606" s="21" t="s">
        <v>1165</v>
      </c>
      <c r="H2606" s="21" t="s">
        <v>1165</v>
      </c>
      <c r="I2606" s="21" t="s">
        <v>3055</v>
      </c>
      <c r="J2606" s="21">
        <v>41.033333300000002</v>
      </c>
      <c r="K2606" s="21">
        <v>17.033333299999999</v>
      </c>
      <c r="L2606" s="22"/>
      <c r="M2606" s="21" t="s">
        <v>1157</v>
      </c>
      <c r="N2606" s="22"/>
      <c r="O2606" s="21">
        <v>2018</v>
      </c>
      <c r="P2606" s="22"/>
      <c r="Q2606" s="21" t="s">
        <v>3056</v>
      </c>
      <c r="R2606" s="21" t="s">
        <v>3057</v>
      </c>
      <c r="T2606" s="21">
        <v>65</v>
      </c>
      <c r="U2606" s="21" t="s">
        <v>1340</v>
      </c>
      <c r="V2606" s="21">
        <v>25</v>
      </c>
      <c r="W2606" s="21">
        <v>60</v>
      </c>
      <c r="X2606" s="23">
        <v>15</v>
      </c>
      <c r="Y2606" s="22"/>
      <c r="Z2606" s="22">
        <v>0</v>
      </c>
      <c r="AA2606" s="22"/>
      <c r="AB2606" s="22"/>
      <c r="AC2606" s="22">
        <v>0</v>
      </c>
      <c r="AD2606" s="22" t="s">
        <v>1165</v>
      </c>
      <c r="AE2606" s="22"/>
      <c r="AF2606" s="22" t="s">
        <v>153</v>
      </c>
      <c r="AG2606" s="22"/>
      <c r="AH2606" s="22"/>
      <c r="AI2606" s="21" t="s">
        <v>153</v>
      </c>
      <c r="AJ2606" s="21" t="s">
        <v>1148</v>
      </c>
      <c r="AK2606" s="21">
        <v>64.260000000000005</v>
      </c>
      <c r="AL2606" s="21" t="s">
        <v>1277</v>
      </c>
      <c r="AM2606" s="21" t="s">
        <v>3003</v>
      </c>
      <c r="AN2606" s="21">
        <v>3</v>
      </c>
      <c r="AO2606" s="21">
        <v>30</v>
      </c>
      <c r="AP2606" s="21">
        <v>90</v>
      </c>
      <c r="AQ2606" s="22" t="s">
        <v>3060</v>
      </c>
      <c r="AR2606" s="21" t="s">
        <v>3062</v>
      </c>
      <c r="AS2606" t="s">
        <v>1147</v>
      </c>
    </row>
    <row r="2607" spans="1:45" ht="15" customHeight="1" x14ac:dyDescent="0.2">
      <c r="A2607" s="21" t="s">
        <v>1663</v>
      </c>
      <c r="B2607" s="21" t="s">
        <v>1146</v>
      </c>
      <c r="C2607" s="21" t="s">
        <v>1149</v>
      </c>
      <c r="D2607" s="21" t="s">
        <v>660</v>
      </c>
      <c r="E2607" s="21" t="s">
        <v>661</v>
      </c>
      <c r="F2607" s="22"/>
      <c r="G2607" s="21" t="s">
        <v>1165</v>
      </c>
      <c r="H2607" s="21" t="s">
        <v>1165</v>
      </c>
      <c r="I2607" s="21" t="s">
        <v>3055</v>
      </c>
      <c r="J2607" s="21">
        <v>41.033333300000002</v>
      </c>
      <c r="K2607" s="21">
        <v>17.033333299999999</v>
      </c>
      <c r="L2607" s="22"/>
      <c r="M2607" s="21" t="s">
        <v>1157</v>
      </c>
      <c r="N2607" s="22"/>
      <c r="O2607" s="21">
        <v>2018</v>
      </c>
      <c r="P2607" s="22"/>
      <c r="Q2607" s="21" t="s">
        <v>3056</v>
      </c>
      <c r="R2607" s="21" t="s">
        <v>3057</v>
      </c>
      <c r="T2607" s="21">
        <v>65</v>
      </c>
      <c r="U2607" s="21" t="s">
        <v>1340</v>
      </c>
      <c r="V2607" s="21">
        <v>25</v>
      </c>
      <c r="W2607" s="21">
        <v>60</v>
      </c>
      <c r="X2607" s="23">
        <v>15</v>
      </c>
      <c r="Y2607" s="22" t="s">
        <v>3064</v>
      </c>
      <c r="Z2607" s="22">
        <v>0</v>
      </c>
      <c r="AA2607" s="22"/>
      <c r="AB2607" s="22"/>
      <c r="AC2607" s="22">
        <v>6.9444400000000001E-4</v>
      </c>
      <c r="AD2607" s="22" t="s">
        <v>1165</v>
      </c>
      <c r="AE2607" s="22"/>
      <c r="AF2607" s="22" t="s">
        <v>153</v>
      </c>
      <c r="AG2607" s="22"/>
      <c r="AH2607" s="22"/>
      <c r="AI2607" s="21" t="s">
        <v>153</v>
      </c>
      <c r="AJ2607" s="21" t="s">
        <v>1148</v>
      </c>
      <c r="AK2607" s="21">
        <v>69.432000000000002</v>
      </c>
      <c r="AL2607" s="21" t="s">
        <v>1277</v>
      </c>
      <c r="AM2607" s="21" t="s">
        <v>3003</v>
      </c>
      <c r="AN2607" s="21">
        <v>3</v>
      </c>
      <c r="AO2607" s="21">
        <v>30</v>
      </c>
      <c r="AP2607" s="21">
        <v>90</v>
      </c>
      <c r="AQ2607" s="22" t="s">
        <v>3060</v>
      </c>
      <c r="AR2607" s="21" t="s">
        <v>3062</v>
      </c>
    </row>
    <row r="2608" spans="1:45" ht="15" customHeight="1" x14ac:dyDescent="0.2">
      <c r="A2608" s="21" t="s">
        <v>1663</v>
      </c>
      <c r="B2608" s="21" t="s">
        <v>1146</v>
      </c>
      <c r="C2608" s="21" t="s">
        <v>1149</v>
      </c>
      <c r="D2608" s="21" t="s">
        <v>660</v>
      </c>
      <c r="E2608" s="21" t="s">
        <v>661</v>
      </c>
      <c r="F2608" s="22"/>
      <c r="G2608" s="21" t="s">
        <v>1165</v>
      </c>
      <c r="H2608" s="21" t="s">
        <v>1165</v>
      </c>
      <c r="I2608" s="21" t="s">
        <v>3055</v>
      </c>
      <c r="J2608" s="21">
        <v>41.033333300000002</v>
      </c>
      <c r="K2608" s="21">
        <v>17.033333299999999</v>
      </c>
      <c r="L2608" s="22"/>
      <c r="M2608" s="21" t="s">
        <v>1157</v>
      </c>
      <c r="N2608" s="22"/>
      <c r="O2608" s="21">
        <v>2018</v>
      </c>
      <c r="P2608" s="22"/>
      <c r="Q2608" s="21" t="s">
        <v>3056</v>
      </c>
      <c r="R2608" s="21" t="s">
        <v>3057</v>
      </c>
      <c r="T2608" s="21">
        <v>65</v>
      </c>
      <c r="U2608" s="21" t="s">
        <v>1340</v>
      </c>
      <c r="V2608" s="21">
        <v>25</v>
      </c>
      <c r="W2608" s="21">
        <v>60</v>
      </c>
      <c r="X2608" s="23">
        <v>15</v>
      </c>
      <c r="Y2608" s="22" t="s">
        <v>3064</v>
      </c>
      <c r="Z2608" s="22">
        <v>0</v>
      </c>
      <c r="AA2608" s="22"/>
      <c r="AB2608" s="22"/>
      <c r="AC2608" s="22">
        <v>1.0416699999999999E-2</v>
      </c>
      <c r="AD2608" s="22" t="s">
        <v>1165</v>
      </c>
      <c r="AE2608" s="22"/>
      <c r="AF2608" s="22" t="s">
        <v>153</v>
      </c>
      <c r="AG2608" s="22"/>
      <c r="AH2608" s="22"/>
      <c r="AI2608" s="21" t="s">
        <v>153</v>
      </c>
      <c r="AJ2608" s="21" t="s">
        <v>1148</v>
      </c>
      <c r="AK2608" s="21">
        <v>73.024000000000001</v>
      </c>
      <c r="AL2608" s="21" t="s">
        <v>1277</v>
      </c>
      <c r="AM2608" s="21" t="s">
        <v>3003</v>
      </c>
      <c r="AN2608" s="21">
        <v>3</v>
      </c>
      <c r="AO2608" s="21">
        <v>30</v>
      </c>
      <c r="AP2608" s="21">
        <v>90</v>
      </c>
      <c r="AQ2608" s="22" t="s">
        <v>3060</v>
      </c>
      <c r="AR2608" s="21" t="s">
        <v>3062</v>
      </c>
    </row>
    <row r="2609" spans="1:45" ht="15" customHeight="1" x14ac:dyDescent="0.2">
      <c r="A2609" s="21" t="s">
        <v>1663</v>
      </c>
      <c r="B2609" s="21" t="s">
        <v>1146</v>
      </c>
      <c r="C2609" s="21" t="s">
        <v>1149</v>
      </c>
      <c r="D2609" s="21" t="s">
        <v>660</v>
      </c>
      <c r="E2609" s="21" t="s">
        <v>661</v>
      </c>
      <c r="F2609" s="22"/>
      <c r="G2609" s="21" t="s">
        <v>1165</v>
      </c>
      <c r="H2609" s="21" t="s">
        <v>1165</v>
      </c>
      <c r="I2609" s="21" t="s">
        <v>3055</v>
      </c>
      <c r="J2609" s="21">
        <v>41.033333300000002</v>
      </c>
      <c r="K2609" s="21">
        <v>17.033333299999999</v>
      </c>
      <c r="L2609" s="22"/>
      <c r="M2609" s="21" t="s">
        <v>1157</v>
      </c>
      <c r="N2609" s="22"/>
      <c r="O2609" s="21">
        <v>2018</v>
      </c>
      <c r="P2609" s="22"/>
      <c r="Q2609" s="21" t="s">
        <v>3056</v>
      </c>
      <c r="R2609" s="21" t="s">
        <v>3057</v>
      </c>
      <c r="T2609" s="21">
        <v>65</v>
      </c>
      <c r="U2609" s="21" t="s">
        <v>1340</v>
      </c>
      <c r="V2609" s="21">
        <v>25</v>
      </c>
      <c r="W2609" s="21">
        <v>60</v>
      </c>
      <c r="X2609" s="23">
        <v>15</v>
      </c>
      <c r="Y2609" s="22" t="s">
        <v>3064</v>
      </c>
      <c r="Z2609" s="22">
        <v>0</v>
      </c>
      <c r="AA2609" s="22"/>
      <c r="AB2609" s="22"/>
      <c r="AC2609" s="22">
        <v>2.0833299999999999E-2</v>
      </c>
      <c r="AD2609" s="22" t="s">
        <v>1165</v>
      </c>
      <c r="AE2609" s="22"/>
      <c r="AF2609" s="22" t="s">
        <v>153</v>
      </c>
      <c r="AG2609" s="22"/>
      <c r="AH2609" s="22"/>
      <c r="AI2609" s="21" t="s">
        <v>153</v>
      </c>
      <c r="AJ2609" s="21" t="s">
        <v>1148</v>
      </c>
      <c r="AK2609" s="21">
        <v>61.673999999999999</v>
      </c>
      <c r="AL2609" s="21" t="s">
        <v>1277</v>
      </c>
      <c r="AM2609" s="21" t="s">
        <v>3003</v>
      </c>
      <c r="AN2609" s="21">
        <v>3</v>
      </c>
      <c r="AO2609" s="21">
        <v>30</v>
      </c>
      <c r="AP2609" s="21">
        <v>90</v>
      </c>
      <c r="AQ2609" s="22" t="s">
        <v>3060</v>
      </c>
      <c r="AR2609" s="21" t="s">
        <v>3062</v>
      </c>
    </row>
    <row r="2610" spans="1:45" ht="15" customHeight="1" x14ac:dyDescent="0.2">
      <c r="A2610" s="21" t="s">
        <v>1663</v>
      </c>
      <c r="B2610" s="21" t="s">
        <v>1146</v>
      </c>
      <c r="C2610" s="21" t="s">
        <v>1149</v>
      </c>
      <c r="D2610" s="21" t="s">
        <v>660</v>
      </c>
      <c r="E2610" s="21" t="s">
        <v>661</v>
      </c>
      <c r="F2610" s="22"/>
      <c r="G2610" s="21" t="s">
        <v>1165</v>
      </c>
      <c r="H2610" s="21" t="s">
        <v>1165</v>
      </c>
      <c r="I2610" s="21" t="s">
        <v>3055</v>
      </c>
      <c r="J2610" s="21">
        <v>41.033333300000002</v>
      </c>
      <c r="K2610" s="21">
        <v>17.033333299999999</v>
      </c>
      <c r="L2610" s="22"/>
      <c r="M2610" s="21" t="s">
        <v>1157</v>
      </c>
      <c r="N2610" s="22"/>
      <c r="O2610" s="21">
        <v>2018</v>
      </c>
      <c r="P2610" s="22"/>
      <c r="Q2610" s="21" t="s">
        <v>3056</v>
      </c>
      <c r="R2610" s="21" t="s">
        <v>3057</v>
      </c>
      <c r="T2610" s="21">
        <v>65</v>
      </c>
      <c r="U2610" s="21" t="s">
        <v>1340</v>
      </c>
      <c r="V2610" s="21">
        <v>25</v>
      </c>
      <c r="W2610" s="21">
        <v>60</v>
      </c>
      <c r="X2610" s="23">
        <v>15</v>
      </c>
      <c r="Y2610" s="22"/>
      <c r="Z2610" s="22">
        <v>0</v>
      </c>
      <c r="AA2610" s="22"/>
      <c r="AB2610" s="22"/>
      <c r="AC2610" s="22">
        <v>0</v>
      </c>
      <c r="AD2610" s="22" t="s">
        <v>1165</v>
      </c>
      <c r="AE2610" s="22"/>
      <c r="AF2610" s="22" t="s">
        <v>153</v>
      </c>
      <c r="AG2610" s="22"/>
      <c r="AH2610" s="22"/>
      <c r="AI2610" s="21" t="s">
        <v>153</v>
      </c>
      <c r="AJ2610" s="21" t="s">
        <v>1148</v>
      </c>
      <c r="AK2610" s="21">
        <v>64.224000000000004</v>
      </c>
      <c r="AL2610" s="21" t="s">
        <v>1277</v>
      </c>
      <c r="AM2610" s="21" t="s">
        <v>3003</v>
      </c>
      <c r="AN2610" s="21">
        <v>3</v>
      </c>
      <c r="AO2610" s="21">
        <v>30</v>
      </c>
      <c r="AP2610" s="21">
        <v>120</v>
      </c>
      <c r="AQ2610" s="22" t="s">
        <v>3060</v>
      </c>
      <c r="AR2610" s="21" t="s">
        <v>3062</v>
      </c>
      <c r="AS2610" t="s">
        <v>1147</v>
      </c>
    </row>
    <row r="2611" spans="1:45" ht="15" customHeight="1" x14ac:dyDescent="0.2">
      <c r="A2611" s="21" t="s">
        <v>1663</v>
      </c>
      <c r="B2611" s="21" t="s">
        <v>1146</v>
      </c>
      <c r="C2611" s="21" t="s">
        <v>1149</v>
      </c>
      <c r="D2611" s="21" t="s">
        <v>660</v>
      </c>
      <c r="E2611" s="21" t="s">
        <v>661</v>
      </c>
      <c r="F2611" s="22"/>
      <c r="G2611" s="21" t="s">
        <v>1165</v>
      </c>
      <c r="H2611" s="21" t="s">
        <v>1165</v>
      </c>
      <c r="I2611" s="21" t="s">
        <v>3055</v>
      </c>
      <c r="J2611" s="21">
        <v>41.033333300000002</v>
      </c>
      <c r="K2611" s="21">
        <v>17.033333299999999</v>
      </c>
      <c r="L2611" s="22"/>
      <c r="M2611" s="21" t="s">
        <v>1157</v>
      </c>
      <c r="N2611" s="22"/>
      <c r="O2611" s="21">
        <v>2018</v>
      </c>
      <c r="P2611" s="22"/>
      <c r="Q2611" s="21" t="s">
        <v>3056</v>
      </c>
      <c r="R2611" s="21" t="s">
        <v>3057</v>
      </c>
      <c r="T2611" s="21">
        <v>65</v>
      </c>
      <c r="U2611" s="21" t="s">
        <v>1340</v>
      </c>
      <c r="V2611" s="21">
        <v>25</v>
      </c>
      <c r="W2611" s="21">
        <v>60</v>
      </c>
      <c r="X2611" s="23">
        <v>15</v>
      </c>
      <c r="Y2611" s="22" t="s">
        <v>3064</v>
      </c>
      <c r="Z2611" s="22">
        <v>0</v>
      </c>
      <c r="AA2611" s="22"/>
      <c r="AB2611" s="22"/>
      <c r="AC2611" s="22">
        <v>6.9444400000000001E-4</v>
      </c>
      <c r="AD2611" s="22" t="s">
        <v>1165</v>
      </c>
      <c r="AE2611" s="22"/>
      <c r="AF2611" s="22" t="s">
        <v>153</v>
      </c>
      <c r="AG2611" s="22"/>
      <c r="AH2611" s="22"/>
      <c r="AI2611" s="21" t="s">
        <v>153</v>
      </c>
      <c r="AJ2611" s="21" t="s">
        <v>1148</v>
      </c>
      <c r="AK2611" s="21">
        <v>71.516000000000005</v>
      </c>
      <c r="AL2611" s="21" t="s">
        <v>1277</v>
      </c>
      <c r="AM2611" s="21" t="s">
        <v>3003</v>
      </c>
      <c r="AN2611" s="21">
        <v>3</v>
      </c>
      <c r="AO2611" s="21">
        <v>30</v>
      </c>
      <c r="AP2611" s="21">
        <v>120</v>
      </c>
      <c r="AQ2611" s="22" t="s">
        <v>3060</v>
      </c>
      <c r="AR2611" s="21" t="s">
        <v>3062</v>
      </c>
    </row>
    <row r="2612" spans="1:45" ht="15" customHeight="1" x14ac:dyDescent="0.2">
      <c r="A2612" s="21" t="s">
        <v>1663</v>
      </c>
      <c r="B2612" s="21" t="s">
        <v>1146</v>
      </c>
      <c r="C2612" s="21" t="s">
        <v>1149</v>
      </c>
      <c r="D2612" s="21" t="s">
        <v>660</v>
      </c>
      <c r="E2612" s="21" t="s">
        <v>661</v>
      </c>
      <c r="F2612" s="22"/>
      <c r="G2612" s="21" t="s">
        <v>1165</v>
      </c>
      <c r="H2612" s="21" t="s">
        <v>1165</v>
      </c>
      <c r="I2612" s="21" t="s">
        <v>3055</v>
      </c>
      <c r="J2612" s="21">
        <v>41.033333300000002</v>
      </c>
      <c r="K2612" s="21">
        <v>17.033333299999999</v>
      </c>
      <c r="L2612" s="22"/>
      <c r="M2612" s="21" t="s">
        <v>1157</v>
      </c>
      <c r="N2612" s="22"/>
      <c r="O2612" s="21">
        <v>2018</v>
      </c>
      <c r="P2612" s="22"/>
      <c r="Q2612" s="21" t="s">
        <v>3056</v>
      </c>
      <c r="R2612" s="21" t="s">
        <v>3057</v>
      </c>
      <c r="T2612" s="21">
        <v>65</v>
      </c>
      <c r="U2612" s="21" t="s">
        <v>1340</v>
      </c>
      <c r="V2612" s="21">
        <v>25</v>
      </c>
      <c r="W2612" s="21">
        <v>60</v>
      </c>
      <c r="X2612" s="23">
        <v>15</v>
      </c>
      <c r="Y2612" s="22" t="s">
        <v>3064</v>
      </c>
      <c r="Z2612" s="22">
        <v>0</v>
      </c>
      <c r="AA2612" s="22"/>
      <c r="AB2612" s="22"/>
      <c r="AC2612" s="22">
        <v>1.0416699999999999E-2</v>
      </c>
      <c r="AD2612" s="22" t="s">
        <v>1165</v>
      </c>
      <c r="AE2612" s="22"/>
      <c r="AF2612" s="22" t="s">
        <v>153</v>
      </c>
      <c r="AG2612" s="22"/>
      <c r="AH2612" s="22"/>
      <c r="AI2612" s="21" t="s">
        <v>153</v>
      </c>
      <c r="AJ2612" s="21" t="s">
        <v>1148</v>
      </c>
      <c r="AK2612" s="21">
        <v>72.808999999999997</v>
      </c>
      <c r="AL2612" s="21" t="s">
        <v>1277</v>
      </c>
      <c r="AM2612" s="21" t="s">
        <v>3003</v>
      </c>
      <c r="AN2612" s="21">
        <v>3</v>
      </c>
      <c r="AO2612" s="21">
        <v>30</v>
      </c>
      <c r="AP2612" s="21">
        <v>120</v>
      </c>
      <c r="AQ2612" s="22" t="s">
        <v>3060</v>
      </c>
      <c r="AR2612" s="21" t="s">
        <v>3062</v>
      </c>
    </row>
    <row r="2613" spans="1:45" ht="15" customHeight="1" x14ac:dyDescent="0.2">
      <c r="A2613" s="21" t="s">
        <v>1663</v>
      </c>
      <c r="B2613" s="21" t="s">
        <v>1146</v>
      </c>
      <c r="C2613" s="21" t="s">
        <v>1149</v>
      </c>
      <c r="D2613" s="21" t="s">
        <v>660</v>
      </c>
      <c r="E2613" s="21" t="s">
        <v>661</v>
      </c>
      <c r="F2613" s="22"/>
      <c r="G2613" s="21" t="s">
        <v>1165</v>
      </c>
      <c r="H2613" s="21" t="s">
        <v>1165</v>
      </c>
      <c r="I2613" s="21" t="s">
        <v>3055</v>
      </c>
      <c r="J2613" s="21">
        <v>41.033333300000002</v>
      </c>
      <c r="K2613" s="21">
        <v>17.033333299999999</v>
      </c>
      <c r="L2613" s="22"/>
      <c r="M2613" s="21" t="s">
        <v>1157</v>
      </c>
      <c r="N2613" s="22"/>
      <c r="O2613" s="21">
        <v>2018</v>
      </c>
      <c r="P2613" s="22"/>
      <c r="Q2613" s="21" t="s">
        <v>3056</v>
      </c>
      <c r="R2613" s="21" t="s">
        <v>3057</v>
      </c>
      <c r="T2613" s="21">
        <v>65</v>
      </c>
      <c r="U2613" s="21" t="s">
        <v>1340</v>
      </c>
      <c r="V2613" s="21">
        <v>25</v>
      </c>
      <c r="W2613" s="21">
        <v>60</v>
      </c>
      <c r="X2613" s="23">
        <v>15</v>
      </c>
      <c r="Y2613" s="22" t="s">
        <v>3064</v>
      </c>
      <c r="Z2613" s="22">
        <v>0</v>
      </c>
      <c r="AA2613" s="22"/>
      <c r="AB2613" s="22"/>
      <c r="AC2613" s="22">
        <v>2.0833299999999999E-2</v>
      </c>
      <c r="AD2613" s="22" t="s">
        <v>1165</v>
      </c>
      <c r="AE2613" s="22"/>
      <c r="AF2613" s="22" t="s">
        <v>153</v>
      </c>
      <c r="AG2613" s="22"/>
      <c r="AH2613" s="22"/>
      <c r="AI2613" s="21" t="s">
        <v>153</v>
      </c>
      <c r="AJ2613" s="21" t="s">
        <v>1148</v>
      </c>
      <c r="AK2613" s="21">
        <v>63.613</v>
      </c>
      <c r="AL2613" s="21" t="s">
        <v>1277</v>
      </c>
      <c r="AM2613" s="21" t="s">
        <v>3003</v>
      </c>
      <c r="AN2613" s="21">
        <v>3</v>
      </c>
      <c r="AO2613" s="21">
        <v>30</v>
      </c>
      <c r="AP2613" s="21">
        <v>120</v>
      </c>
      <c r="AQ2613" s="22" t="s">
        <v>3060</v>
      </c>
      <c r="AR2613" s="21" t="s">
        <v>3062</v>
      </c>
    </row>
    <row r="2614" spans="1:45" ht="15" customHeight="1" x14ac:dyDescent="0.2">
      <c r="A2614" s="21" t="s">
        <v>1663</v>
      </c>
      <c r="B2614" s="21" t="s">
        <v>1146</v>
      </c>
      <c r="C2614" s="21" t="s">
        <v>1149</v>
      </c>
      <c r="D2614" s="21" t="s">
        <v>660</v>
      </c>
      <c r="E2614" s="21" t="s">
        <v>661</v>
      </c>
      <c r="F2614" s="22"/>
      <c r="G2614" s="21" t="s">
        <v>1165</v>
      </c>
      <c r="H2614" s="21" t="s">
        <v>1165</v>
      </c>
      <c r="I2614" s="21" t="s">
        <v>3055</v>
      </c>
      <c r="J2614" s="21">
        <v>41.033333300000002</v>
      </c>
      <c r="K2614" s="21">
        <v>17.033333299999999</v>
      </c>
      <c r="L2614" s="22"/>
      <c r="M2614" s="21" t="s">
        <v>1157</v>
      </c>
      <c r="N2614" s="22"/>
      <c r="O2614" s="21">
        <v>2018</v>
      </c>
      <c r="P2614" s="22"/>
      <c r="Q2614" s="21" t="s">
        <v>3056</v>
      </c>
      <c r="R2614" s="21" t="s">
        <v>3057</v>
      </c>
      <c r="T2614" s="21">
        <v>65</v>
      </c>
      <c r="U2614" s="21" t="s">
        <v>1340</v>
      </c>
      <c r="V2614" s="21">
        <v>25</v>
      </c>
      <c r="W2614" s="21">
        <v>60</v>
      </c>
      <c r="X2614" s="23">
        <v>15</v>
      </c>
      <c r="Y2614" s="22"/>
      <c r="Z2614" s="22">
        <v>0</v>
      </c>
      <c r="AA2614" s="22"/>
      <c r="AB2614" s="22"/>
      <c r="AC2614" s="22">
        <v>0</v>
      </c>
      <c r="AD2614" s="22" t="s">
        <v>1165</v>
      </c>
      <c r="AE2614" s="22"/>
      <c r="AF2614" s="22" t="s">
        <v>153</v>
      </c>
      <c r="AG2614" s="22"/>
      <c r="AH2614" s="22"/>
      <c r="AI2614" s="21" t="s">
        <v>153</v>
      </c>
      <c r="AJ2614" s="21" t="s">
        <v>1148</v>
      </c>
      <c r="AK2614" s="21">
        <v>64.44</v>
      </c>
      <c r="AL2614" s="21" t="s">
        <v>1277</v>
      </c>
      <c r="AM2614" s="21" t="s">
        <v>3003</v>
      </c>
      <c r="AN2614" s="21">
        <v>3</v>
      </c>
      <c r="AO2614" s="21">
        <v>30</v>
      </c>
      <c r="AP2614" s="21">
        <v>150</v>
      </c>
      <c r="AQ2614" s="22" t="s">
        <v>3060</v>
      </c>
      <c r="AR2614" s="21" t="s">
        <v>3062</v>
      </c>
      <c r="AS2614" t="s">
        <v>1147</v>
      </c>
    </row>
    <row r="2615" spans="1:45" ht="15" customHeight="1" x14ac:dyDescent="0.2">
      <c r="A2615" s="21" t="s">
        <v>1663</v>
      </c>
      <c r="B2615" s="21" t="s">
        <v>1146</v>
      </c>
      <c r="C2615" s="21" t="s">
        <v>1149</v>
      </c>
      <c r="D2615" s="21" t="s">
        <v>660</v>
      </c>
      <c r="E2615" s="21" t="s">
        <v>661</v>
      </c>
      <c r="F2615" s="22"/>
      <c r="G2615" s="21" t="s">
        <v>1165</v>
      </c>
      <c r="H2615" s="21" t="s">
        <v>1165</v>
      </c>
      <c r="I2615" s="21" t="s">
        <v>3055</v>
      </c>
      <c r="J2615" s="21">
        <v>41.033333300000002</v>
      </c>
      <c r="K2615" s="21">
        <v>17.033333299999999</v>
      </c>
      <c r="L2615" s="22"/>
      <c r="M2615" s="21" t="s">
        <v>1157</v>
      </c>
      <c r="N2615" s="22"/>
      <c r="O2615" s="21">
        <v>2018</v>
      </c>
      <c r="P2615" s="22"/>
      <c r="Q2615" s="21" t="s">
        <v>3056</v>
      </c>
      <c r="R2615" s="21" t="s">
        <v>3057</v>
      </c>
      <c r="T2615" s="21">
        <v>65</v>
      </c>
      <c r="U2615" s="21" t="s">
        <v>1340</v>
      </c>
      <c r="V2615" s="21">
        <v>25</v>
      </c>
      <c r="W2615" s="21">
        <v>60</v>
      </c>
      <c r="X2615" s="23">
        <v>15</v>
      </c>
      <c r="Y2615" s="22" t="s">
        <v>3064</v>
      </c>
      <c r="Z2615" s="22">
        <v>0</v>
      </c>
      <c r="AA2615" s="22"/>
      <c r="AB2615" s="22"/>
      <c r="AC2615" s="22">
        <v>6.9444400000000001E-4</v>
      </c>
      <c r="AD2615" s="22" t="s">
        <v>1165</v>
      </c>
      <c r="AE2615" s="22"/>
      <c r="AF2615" s="22" t="s">
        <v>153</v>
      </c>
      <c r="AG2615" s="22"/>
      <c r="AH2615" s="22"/>
      <c r="AI2615" s="21" t="s">
        <v>153</v>
      </c>
      <c r="AJ2615" s="21" t="s">
        <v>1148</v>
      </c>
      <c r="AK2615" s="21">
        <v>71.516000000000005</v>
      </c>
      <c r="AL2615" s="21" t="s">
        <v>1277</v>
      </c>
      <c r="AM2615" s="21" t="s">
        <v>3003</v>
      </c>
      <c r="AN2615" s="21">
        <v>3</v>
      </c>
      <c r="AO2615" s="21">
        <v>30</v>
      </c>
      <c r="AP2615" s="21">
        <v>150</v>
      </c>
      <c r="AQ2615" s="22" t="s">
        <v>3060</v>
      </c>
      <c r="AR2615" s="21" t="s">
        <v>3062</v>
      </c>
    </row>
    <row r="2616" spans="1:45" ht="15" customHeight="1" x14ac:dyDescent="0.2">
      <c r="A2616" s="21" t="s">
        <v>1663</v>
      </c>
      <c r="B2616" s="21" t="s">
        <v>1146</v>
      </c>
      <c r="C2616" s="21" t="s">
        <v>1149</v>
      </c>
      <c r="D2616" s="21" t="s">
        <v>660</v>
      </c>
      <c r="E2616" s="21" t="s">
        <v>661</v>
      </c>
      <c r="F2616" s="22"/>
      <c r="G2616" s="21" t="s">
        <v>1165</v>
      </c>
      <c r="H2616" s="21" t="s">
        <v>1165</v>
      </c>
      <c r="I2616" s="21" t="s">
        <v>3055</v>
      </c>
      <c r="J2616" s="21">
        <v>41.033333300000002</v>
      </c>
      <c r="K2616" s="21">
        <v>17.033333299999999</v>
      </c>
      <c r="L2616" s="22"/>
      <c r="M2616" s="21" t="s">
        <v>1157</v>
      </c>
      <c r="N2616" s="22"/>
      <c r="O2616" s="21">
        <v>2018</v>
      </c>
      <c r="P2616" s="22"/>
      <c r="Q2616" s="21" t="s">
        <v>3056</v>
      </c>
      <c r="R2616" s="21" t="s">
        <v>3057</v>
      </c>
      <c r="T2616" s="21">
        <v>65</v>
      </c>
      <c r="U2616" s="21" t="s">
        <v>1340</v>
      </c>
      <c r="V2616" s="21">
        <v>25</v>
      </c>
      <c r="W2616" s="21">
        <v>60</v>
      </c>
      <c r="X2616" s="23">
        <v>15</v>
      </c>
      <c r="Y2616" s="22" t="s">
        <v>3064</v>
      </c>
      <c r="Z2616" s="22">
        <v>0</v>
      </c>
      <c r="AA2616" s="22"/>
      <c r="AB2616" s="22"/>
      <c r="AC2616" s="22">
        <v>1.0416699999999999E-2</v>
      </c>
      <c r="AD2616" s="22" t="s">
        <v>1165</v>
      </c>
      <c r="AE2616" s="22"/>
      <c r="AF2616" s="22" t="s">
        <v>153</v>
      </c>
      <c r="AG2616" s="22"/>
      <c r="AH2616" s="22"/>
      <c r="AI2616" s="21" t="s">
        <v>153</v>
      </c>
      <c r="AJ2616" s="21" t="s">
        <v>1148</v>
      </c>
      <c r="AK2616" s="21">
        <v>73.096000000000004</v>
      </c>
      <c r="AL2616" s="21" t="s">
        <v>1277</v>
      </c>
      <c r="AM2616" s="21" t="s">
        <v>3003</v>
      </c>
      <c r="AN2616" s="21">
        <v>3</v>
      </c>
      <c r="AO2616" s="21">
        <v>30</v>
      </c>
      <c r="AP2616" s="21">
        <v>150</v>
      </c>
      <c r="AQ2616" s="22" t="s">
        <v>3060</v>
      </c>
      <c r="AR2616" s="21" t="s">
        <v>3062</v>
      </c>
    </row>
    <row r="2617" spans="1:45" ht="15" customHeight="1" x14ac:dyDescent="0.2">
      <c r="A2617" s="21" t="s">
        <v>1663</v>
      </c>
      <c r="B2617" s="21" t="s">
        <v>1146</v>
      </c>
      <c r="C2617" s="21" t="s">
        <v>1149</v>
      </c>
      <c r="D2617" s="21" t="s">
        <v>660</v>
      </c>
      <c r="E2617" s="21" t="s">
        <v>661</v>
      </c>
      <c r="F2617" s="22"/>
      <c r="G2617" s="21" t="s">
        <v>1165</v>
      </c>
      <c r="H2617" s="21" t="s">
        <v>1165</v>
      </c>
      <c r="I2617" s="21" t="s">
        <v>3055</v>
      </c>
      <c r="J2617" s="21">
        <v>41.033333300000002</v>
      </c>
      <c r="K2617" s="21">
        <v>17.033333299999999</v>
      </c>
      <c r="L2617" s="22"/>
      <c r="M2617" s="21" t="s">
        <v>1157</v>
      </c>
      <c r="N2617" s="22"/>
      <c r="O2617" s="21">
        <v>2018</v>
      </c>
      <c r="P2617" s="22"/>
      <c r="Q2617" s="21" t="s">
        <v>3056</v>
      </c>
      <c r="R2617" s="21" t="s">
        <v>3057</v>
      </c>
      <c r="T2617" s="21">
        <v>65</v>
      </c>
      <c r="U2617" s="21" t="s">
        <v>1340</v>
      </c>
      <c r="V2617" s="21">
        <v>25</v>
      </c>
      <c r="W2617" s="21">
        <v>60</v>
      </c>
      <c r="X2617" s="23">
        <v>15</v>
      </c>
      <c r="Y2617" s="22" t="s">
        <v>3064</v>
      </c>
      <c r="Z2617" s="22">
        <v>0</v>
      </c>
      <c r="AA2617" s="22"/>
      <c r="AB2617" s="22"/>
      <c r="AC2617" s="22">
        <v>2.0833299999999999E-2</v>
      </c>
      <c r="AD2617" s="22" t="s">
        <v>1165</v>
      </c>
      <c r="AE2617" s="22"/>
      <c r="AF2617" s="22" t="s">
        <v>153</v>
      </c>
      <c r="AG2617" s="22"/>
      <c r="AH2617" s="22"/>
      <c r="AI2617" s="21" t="s">
        <v>153</v>
      </c>
      <c r="AJ2617" s="21" t="s">
        <v>1148</v>
      </c>
      <c r="AK2617" s="21">
        <v>63.47</v>
      </c>
      <c r="AL2617" s="21" t="s">
        <v>1277</v>
      </c>
      <c r="AM2617" s="21" t="s">
        <v>3003</v>
      </c>
      <c r="AN2617" s="21">
        <v>3</v>
      </c>
      <c r="AO2617" s="21">
        <v>30</v>
      </c>
      <c r="AP2617" s="21">
        <v>150</v>
      </c>
      <c r="AQ2617" s="22" t="s">
        <v>3060</v>
      </c>
      <c r="AR2617" s="21" t="s">
        <v>3062</v>
      </c>
    </row>
    <row r="2618" spans="1:45" x14ac:dyDescent="0.2">
      <c r="A2618" s="21" t="s">
        <v>1682</v>
      </c>
      <c r="B2618" s="21" t="s">
        <v>1146</v>
      </c>
      <c r="C2618" s="21" t="s">
        <v>1149</v>
      </c>
      <c r="D2618" s="21" t="s">
        <v>3067</v>
      </c>
      <c r="E2618" s="21" t="s">
        <v>1681</v>
      </c>
      <c r="G2618" s="21" t="s">
        <v>1165</v>
      </c>
      <c r="H2618" s="21" t="s">
        <v>1165</v>
      </c>
      <c r="I2618" s="21" t="s">
        <v>3068</v>
      </c>
      <c r="J2618">
        <v>-34.642222222222202</v>
      </c>
      <c r="K2618">
        <v>116.123611111111</v>
      </c>
      <c r="M2618" s="21" t="s">
        <v>3069</v>
      </c>
      <c r="O2618" s="21">
        <v>2011</v>
      </c>
      <c r="Q2618" s="21" t="s">
        <v>3070</v>
      </c>
      <c r="R2618">
        <v>851.66800000000001</v>
      </c>
      <c r="S2618">
        <v>15</v>
      </c>
      <c r="T2618" s="21">
        <v>15</v>
      </c>
      <c r="U2618" s="21" t="s">
        <v>1147</v>
      </c>
      <c r="X2618" s="9" t="s">
        <v>1291</v>
      </c>
      <c r="Z2618" s="22">
        <v>12</v>
      </c>
      <c r="AD2618" s="22" t="s">
        <v>1165</v>
      </c>
      <c r="AF2618" s="24" t="s">
        <v>1165</v>
      </c>
      <c r="AI2618" s="21" t="s">
        <v>153</v>
      </c>
      <c r="AJ2618" s="21" t="s">
        <v>1148</v>
      </c>
      <c r="AK2618" s="21">
        <v>88.147999999999996</v>
      </c>
      <c r="AL2618" s="21" t="s">
        <v>1263</v>
      </c>
      <c r="AM2618">
        <v>0</v>
      </c>
      <c r="AN2618" s="21">
        <v>4</v>
      </c>
      <c r="AO2618" s="21">
        <v>25</v>
      </c>
      <c r="AP2618" s="21">
        <v>15</v>
      </c>
      <c r="AQ2618" s="22" t="s">
        <v>3071</v>
      </c>
      <c r="AR2618" s="21" t="s">
        <v>1207</v>
      </c>
    </row>
    <row r="2619" spans="1:45" x14ac:dyDescent="0.2">
      <c r="A2619" s="21" t="s">
        <v>1682</v>
      </c>
      <c r="B2619" s="21" t="s">
        <v>1146</v>
      </c>
      <c r="C2619" s="21" t="s">
        <v>1149</v>
      </c>
      <c r="D2619" s="21" t="s">
        <v>3067</v>
      </c>
      <c r="E2619" s="21" t="s">
        <v>1681</v>
      </c>
      <c r="G2619" s="21" t="s">
        <v>1165</v>
      </c>
      <c r="H2619" s="21" t="s">
        <v>1165</v>
      </c>
      <c r="I2619" s="21" t="s">
        <v>3068</v>
      </c>
      <c r="J2619">
        <v>-34.642222222222202</v>
      </c>
      <c r="K2619">
        <v>116.123611111111</v>
      </c>
      <c r="M2619" s="21" t="s">
        <v>3069</v>
      </c>
      <c r="O2619" s="21">
        <v>2011</v>
      </c>
      <c r="Q2619" s="21" t="s">
        <v>3070</v>
      </c>
      <c r="R2619">
        <v>851.66800000000001</v>
      </c>
      <c r="S2619">
        <v>15</v>
      </c>
      <c r="T2619" s="21">
        <v>15</v>
      </c>
      <c r="U2619" s="21" t="s">
        <v>1147</v>
      </c>
      <c r="X2619" s="9" t="s">
        <v>1292</v>
      </c>
      <c r="Z2619" s="22">
        <v>12</v>
      </c>
      <c r="AD2619" s="22" t="s">
        <v>1165</v>
      </c>
      <c r="AF2619" s="24" t="s">
        <v>1165</v>
      </c>
      <c r="AI2619" s="21" t="s">
        <v>153</v>
      </c>
      <c r="AJ2619" s="21" t="s">
        <v>1148</v>
      </c>
      <c r="AK2619" s="21">
        <v>76.055000000000007</v>
      </c>
      <c r="AL2619" s="21" t="s">
        <v>1263</v>
      </c>
      <c r="AM2619">
        <f>81.016-71.094</f>
        <v>9.9220000000000113</v>
      </c>
      <c r="AN2619" s="21">
        <v>4</v>
      </c>
      <c r="AO2619" s="21">
        <v>25</v>
      </c>
      <c r="AP2619" s="21">
        <v>15</v>
      </c>
      <c r="AQ2619" s="22" t="s">
        <v>3071</v>
      </c>
      <c r="AR2619" s="21" t="s">
        <v>1207</v>
      </c>
    </row>
    <row r="2620" spans="1:45" x14ac:dyDescent="0.2">
      <c r="A2620" s="21" t="s">
        <v>1682</v>
      </c>
      <c r="B2620" s="21" t="s">
        <v>1146</v>
      </c>
      <c r="C2620" s="21" t="s">
        <v>1149</v>
      </c>
      <c r="D2620" s="21" t="s">
        <v>3067</v>
      </c>
      <c r="E2620" s="21" t="s">
        <v>1681</v>
      </c>
      <c r="G2620" s="21" t="s">
        <v>1165</v>
      </c>
      <c r="H2620" s="21" t="s">
        <v>1165</v>
      </c>
      <c r="I2620" s="21" t="s">
        <v>3068</v>
      </c>
      <c r="J2620">
        <v>-34.642222222222202</v>
      </c>
      <c r="K2620">
        <v>116.123611111111</v>
      </c>
      <c r="M2620" s="21" t="s">
        <v>3069</v>
      </c>
      <c r="O2620" s="21">
        <v>2011</v>
      </c>
      <c r="Q2620" s="21" t="s">
        <v>3070</v>
      </c>
      <c r="R2620">
        <v>851.66800000000001</v>
      </c>
      <c r="S2620">
        <v>15</v>
      </c>
      <c r="T2620" s="21">
        <v>15</v>
      </c>
      <c r="U2620" s="21" t="s">
        <v>1147</v>
      </c>
      <c r="X2620" s="9" t="s">
        <v>1294</v>
      </c>
      <c r="Z2620" s="22">
        <v>12</v>
      </c>
      <c r="AD2620" s="22" t="s">
        <v>1165</v>
      </c>
      <c r="AF2620" s="24" t="s">
        <v>1165</v>
      </c>
      <c r="AI2620" s="21" t="s">
        <v>153</v>
      </c>
      <c r="AJ2620" s="21" t="s">
        <v>1148</v>
      </c>
      <c r="AK2620" s="21">
        <v>90.078000000000003</v>
      </c>
      <c r="AL2620" s="21" t="s">
        <v>1263</v>
      </c>
      <c r="AM2620">
        <f>91.318-88.837</f>
        <v>2.4809999999999945</v>
      </c>
      <c r="AN2620" s="21">
        <v>4</v>
      </c>
      <c r="AO2620" s="21">
        <v>25</v>
      </c>
      <c r="AP2620" s="21">
        <v>15</v>
      </c>
      <c r="AQ2620" s="22" t="s">
        <v>3071</v>
      </c>
      <c r="AR2620" s="21" t="s">
        <v>1207</v>
      </c>
    </row>
    <row r="2621" spans="1:45" x14ac:dyDescent="0.2">
      <c r="A2621" s="21" t="s">
        <v>1682</v>
      </c>
      <c r="B2621" s="21" t="s">
        <v>1146</v>
      </c>
      <c r="C2621" s="21" t="s">
        <v>1149</v>
      </c>
      <c r="D2621" s="21" t="s">
        <v>3067</v>
      </c>
      <c r="E2621" s="21" t="s">
        <v>1681</v>
      </c>
      <c r="G2621" s="21" t="s">
        <v>1165</v>
      </c>
      <c r="H2621" s="21" t="s">
        <v>1165</v>
      </c>
      <c r="I2621" s="21" t="s">
        <v>3068</v>
      </c>
      <c r="J2621">
        <v>-34.642222222222202</v>
      </c>
      <c r="K2621">
        <v>116.123611111111</v>
      </c>
      <c r="M2621" s="21" t="s">
        <v>3069</v>
      </c>
      <c r="O2621" s="21">
        <v>2011</v>
      </c>
      <c r="Q2621" s="21" t="s">
        <v>3070</v>
      </c>
      <c r="R2621">
        <v>851.66800000000001</v>
      </c>
      <c r="S2621">
        <v>15</v>
      </c>
      <c r="T2621" s="21">
        <v>15</v>
      </c>
      <c r="U2621" s="21" t="s">
        <v>1147</v>
      </c>
      <c r="X2621" s="9" t="s">
        <v>1295</v>
      </c>
      <c r="Z2621" s="22">
        <v>12</v>
      </c>
      <c r="AD2621" s="22" t="s">
        <v>1165</v>
      </c>
      <c r="AF2621" s="24" t="s">
        <v>1165</v>
      </c>
      <c r="AI2621" s="21" t="s">
        <v>153</v>
      </c>
      <c r="AJ2621" s="21" t="s">
        <v>1148</v>
      </c>
      <c r="AK2621" s="21">
        <v>61.206000000000003</v>
      </c>
      <c r="AL2621" s="21" t="s">
        <v>1263</v>
      </c>
      <c r="AM2621">
        <f>68.786-53.213</f>
        <v>15.573</v>
      </c>
      <c r="AN2621" s="21">
        <v>4</v>
      </c>
      <c r="AO2621" s="21">
        <v>25</v>
      </c>
      <c r="AP2621" s="21">
        <v>15</v>
      </c>
      <c r="AQ2621" s="22" t="s">
        <v>3071</v>
      </c>
      <c r="AR2621" s="21" t="s">
        <v>1207</v>
      </c>
    </row>
    <row r="2622" spans="1:45" x14ac:dyDescent="0.2">
      <c r="A2622" s="21" t="s">
        <v>1682</v>
      </c>
      <c r="B2622" s="21" t="s">
        <v>1146</v>
      </c>
      <c r="C2622" s="21" t="s">
        <v>1149</v>
      </c>
      <c r="D2622" s="21" t="s">
        <v>3067</v>
      </c>
      <c r="E2622" s="21" t="s">
        <v>1681</v>
      </c>
      <c r="G2622" s="21" t="s">
        <v>1165</v>
      </c>
      <c r="H2622" s="21" t="s">
        <v>1165</v>
      </c>
      <c r="I2622" s="21" t="s">
        <v>3068</v>
      </c>
      <c r="J2622">
        <v>-34.642222222222202</v>
      </c>
      <c r="K2622">
        <v>116.123611111111</v>
      </c>
      <c r="M2622" s="21" t="s">
        <v>3069</v>
      </c>
      <c r="O2622" s="21">
        <v>2011</v>
      </c>
      <c r="Q2622" s="21" t="s">
        <v>3070</v>
      </c>
      <c r="R2622">
        <v>851.66800000000001</v>
      </c>
      <c r="S2622">
        <v>15</v>
      </c>
      <c r="T2622" s="21">
        <v>15</v>
      </c>
      <c r="U2622" s="21" t="s">
        <v>3074</v>
      </c>
      <c r="X2622" s="9" t="s">
        <v>1291</v>
      </c>
      <c r="Z2622" s="22">
        <v>12</v>
      </c>
      <c r="AD2622" s="22" t="s">
        <v>1165</v>
      </c>
      <c r="AF2622" s="24" t="s">
        <v>153</v>
      </c>
      <c r="AG2622" t="s">
        <v>3072</v>
      </c>
      <c r="AH2622">
        <f>28*24*60</f>
        <v>40320</v>
      </c>
      <c r="AI2622" s="21" t="s">
        <v>153</v>
      </c>
      <c r="AJ2622" s="21" t="s">
        <v>1148</v>
      </c>
      <c r="AK2622" s="21">
        <v>88.992000000000004</v>
      </c>
      <c r="AL2622" s="21" t="s">
        <v>1263</v>
      </c>
      <c r="AM2622">
        <f>95.177-82.911</f>
        <v>12.266000000000005</v>
      </c>
      <c r="AN2622" s="21">
        <v>4</v>
      </c>
      <c r="AO2622" s="21">
        <v>25</v>
      </c>
      <c r="AP2622" s="21">
        <v>15</v>
      </c>
      <c r="AQ2622" s="22" t="s">
        <v>3071</v>
      </c>
      <c r="AR2622" s="21" t="s">
        <v>1207</v>
      </c>
    </row>
    <row r="2623" spans="1:45" x14ac:dyDescent="0.2">
      <c r="A2623" s="21" t="s">
        <v>1682</v>
      </c>
      <c r="B2623" s="21" t="s">
        <v>1146</v>
      </c>
      <c r="C2623" s="21" t="s">
        <v>1149</v>
      </c>
      <c r="D2623" s="21" t="s">
        <v>3067</v>
      </c>
      <c r="E2623" s="21" t="s">
        <v>1681</v>
      </c>
      <c r="G2623" s="21" t="s">
        <v>1165</v>
      </c>
      <c r="H2623" s="21" t="s">
        <v>1165</v>
      </c>
      <c r="I2623" s="21" t="s">
        <v>3068</v>
      </c>
      <c r="J2623">
        <v>-34.642222222222202</v>
      </c>
      <c r="K2623">
        <v>116.123611111111</v>
      </c>
      <c r="M2623" s="21" t="s">
        <v>3069</v>
      </c>
      <c r="O2623" s="21">
        <v>2011</v>
      </c>
      <c r="Q2623" s="21" t="s">
        <v>3070</v>
      </c>
      <c r="R2623">
        <v>851.66800000000001</v>
      </c>
      <c r="S2623">
        <v>15</v>
      </c>
      <c r="T2623" s="21">
        <v>15</v>
      </c>
      <c r="U2623" s="21" t="s">
        <v>3074</v>
      </c>
      <c r="X2623" s="9" t="s">
        <v>1292</v>
      </c>
      <c r="Z2623" s="22">
        <v>12</v>
      </c>
      <c r="AD2623" s="22" t="s">
        <v>1165</v>
      </c>
      <c r="AF2623" s="24" t="s">
        <v>153</v>
      </c>
      <c r="AG2623" t="s">
        <v>3072</v>
      </c>
      <c r="AH2623">
        <f t="shared" ref="AH2623:AH2638" si="21">28*24*60</f>
        <v>40320</v>
      </c>
      <c r="AI2623" s="21" t="s">
        <v>153</v>
      </c>
      <c r="AJ2623" s="21" t="s">
        <v>1148</v>
      </c>
      <c r="AK2623" s="21">
        <v>76.158000000000001</v>
      </c>
      <c r="AL2623" s="21" t="s">
        <v>1263</v>
      </c>
      <c r="AM2623">
        <f>78.915-73.127</f>
        <v>5.7880000000000109</v>
      </c>
      <c r="AN2623" s="21">
        <v>4</v>
      </c>
      <c r="AO2623" s="21">
        <v>25</v>
      </c>
      <c r="AP2623" s="21">
        <v>15</v>
      </c>
      <c r="AQ2623" s="22" t="s">
        <v>3071</v>
      </c>
      <c r="AR2623" s="21" t="s">
        <v>1207</v>
      </c>
    </row>
    <row r="2624" spans="1:45" x14ac:dyDescent="0.2">
      <c r="A2624" s="21" t="s">
        <v>1682</v>
      </c>
      <c r="B2624" s="21" t="s">
        <v>1146</v>
      </c>
      <c r="C2624" s="21" t="s">
        <v>1149</v>
      </c>
      <c r="D2624" s="21" t="s">
        <v>3067</v>
      </c>
      <c r="E2624" s="21" t="s">
        <v>1681</v>
      </c>
      <c r="G2624" s="21" t="s">
        <v>1165</v>
      </c>
      <c r="H2624" s="21" t="s">
        <v>1165</v>
      </c>
      <c r="I2624" s="21" t="s">
        <v>3068</v>
      </c>
      <c r="J2624">
        <v>-34.642222222222202</v>
      </c>
      <c r="K2624">
        <v>116.123611111111</v>
      </c>
      <c r="M2624" s="21" t="s">
        <v>3069</v>
      </c>
      <c r="O2624" s="21">
        <v>2011</v>
      </c>
      <c r="Q2624" s="21" t="s">
        <v>3070</v>
      </c>
      <c r="R2624">
        <v>851.66800000000001</v>
      </c>
      <c r="S2624">
        <v>15</v>
      </c>
      <c r="T2624" s="21">
        <v>15</v>
      </c>
      <c r="U2624" s="21" t="s">
        <v>3074</v>
      </c>
      <c r="X2624" s="9" t="s">
        <v>1294</v>
      </c>
      <c r="Z2624" s="22">
        <v>12</v>
      </c>
      <c r="AD2624" s="22" t="s">
        <v>1165</v>
      </c>
      <c r="AF2624" s="24" t="s">
        <v>153</v>
      </c>
      <c r="AG2624" t="s">
        <v>3072</v>
      </c>
      <c r="AH2624">
        <f t="shared" si="21"/>
        <v>40320</v>
      </c>
      <c r="AI2624" s="21" t="s">
        <v>153</v>
      </c>
      <c r="AJ2624" s="21" t="s">
        <v>1148</v>
      </c>
      <c r="AK2624" s="21">
        <v>83.186999999999998</v>
      </c>
      <c r="AL2624" s="21" t="s">
        <v>1263</v>
      </c>
      <c r="AM2624">
        <f>87.321-78.915</f>
        <v>8.4059999999999917</v>
      </c>
      <c r="AN2624" s="21">
        <v>4</v>
      </c>
      <c r="AO2624" s="21">
        <v>25</v>
      </c>
      <c r="AP2624" s="21">
        <v>15</v>
      </c>
      <c r="AQ2624" s="22" t="s">
        <v>3071</v>
      </c>
      <c r="AR2624" s="21" t="s">
        <v>1207</v>
      </c>
    </row>
    <row r="2625" spans="1:45" x14ac:dyDescent="0.2">
      <c r="A2625" s="21" t="s">
        <v>1682</v>
      </c>
      <c r="B2625" s="21" t="s">
        <v>1146</v>
      </c>
      <c r="C2625" s="21" t="s">
        <v>1149</v>
      </c>
      <c r="D2625" s="21" t="s">
        <v>3067</v>
      </c>
      <c r="E2625" s="21" t="s">
        <v>1681</v>
      </c>
      <c r="G2625" s="21" t="s">
        <v>1165</v>
      </c>
      <c r="H2625" s="21" t="s">
        <v>1165</v>
      </c>
      <c r="I2625" s="21" t="s">
        <v>3068</v>
      </c>
      <c r="J2625">
        <v>-34.642222222222202</v>
      </c>
      <c r="K2625">
        <v>116.123611111111</v>
      </c>
      <c r="M2625" s="21" t="s">
        <v>3069</v>
      </c>
      <c r="O2625" s="21">
        <v>2011</v>
      </c>
      <c r="Q2625" s="21" t="s">
        <v>3070</v>
      </c>
      <c r="R2625">
        <v>851.66800000000001</v>
      </c>
      <c r="S2625">
        <v>15</v>
      </c>
      <c r="T2625" s="21">
        <v>15</v>
      </c>
      <c r="U2625" s="21" t="s">
        <v>3074</v>
      </c>
      <c r="X2625" s="9" t="s">
        <v>1295</v>
      </c>
      <c r="Z2625" s="22">
        <v>12</v>
      </c>
      <c r="AD2625" s="22" t="s">
        <v>1165</v>
      </c>
      <c r="AF2625" s="24" t="s">
        <v>153</v>
      </c>
      <c r="AG2625" t="s">
        <v>3072</v>
      </c>
      <c r="AH2625">
        <f t="shared" si="21"/>
        <v>40320</v>
      </c>
      <c r="AI2625" s="21" t="s">
        <v>153</v>
      </c>
      <c r="AJ2625" s="21" t="s">
        <v>1148</v>
      </c>
      <c r="AK2625" s="21">
        <v>61.963999999999999</v>
      </c>
      <c r="AL2625" s="21" t="s">
        <v>1263</v>
      </c>
      <c r="AM2625">
        <f>69.543-54.66</f>
        <v>14.88300000000001</v>
      </c>
      <c r="AN2625" s="21">
        <v>4</v>
      </c>
      <c r="AO2625" s="21">
        <v>25</v>
      </c>
      <c r="AP2625" s="21">
        <v>15</v>
      </c>
      <c r="AQ2625" s="22" t="s">
        <v>3071</v>
      </c>
      <c r="AR2625" s="21" t="s">
        <v>1207</v>
      </c>
    </row>
    <row r="2626" spans="1:45" x14ac:dyDescent="0.2">
      <c r="A2626" s="21" t="s">
        <v>1682</v>
      </c>
      <c r="B2626" s="21" t="s">
        <v>1146</v>
      </c>
      <c r="C2626" s="21" t="s">
        <v>1149</v>
      </c>
      <c r="D2626" s="21" t="s">
        <v>3067</v>
      </c>
      <c r="E2626" s="21" t="s">
        <v>1681</v>
      </c>
      <c r="G2626" s="21" t="s">
        <v>1165</v>
      </c>
      <c r="H2626" s="21" t="s">
        <v>1165</v>
      </c>
      <c r="I2626" s="21" t="s">
        <v>3068</v>
      </c>
      <c r="J2626">
        <v>-34.642222222222202</v>
      </c>
      <c r="K2626">
        <v>116.123611111111</v>
      </c>
      <c r="M2626" s="21" t="s">
        <v>3069</v>
      </c>
      <c r="O2626" s="21">
        <v>2011</v>
      </c>
      <c r="Q2626" s="21" t="s">
        <v>3070</v>
      </c>
      <c r="R2626">
        <v>851.66800000000001</v>
      </c>
      <c r="S2626">
        <v>15</v>
      </c>
      <c r="T2626" s="21">
        <v>15</v>
      </c>
      <c r="U2626" s="21" t="s">
        <v>3075</v>
      </c>
      <c r="X2626" s="9" t="s">
        <v>1291</v>
      </c>
      <c r="Z2626" s="22">
        <v>12</v>
      </c>
      <c r="AD2626" s="22" t="s">
        <v>1165</v>
      </c>
      <c r="AF2626" s="24" t="s">
        <v>153</v>
      </c>
      <c r="AG2626" t="s">
        <v>3072</v>
      </c>
      <c r="AH2626">
        <f t="shared" si="21"/>
        <v>40320</v>
      </c>
      <c r="AI2626" s="21" t="s">
        <v>153</v>
      </c>
      <c r="AJ2626" s="21" t="s">
        <v>1148</v>
      </c>
      <c r="AK2626" s="21">
        <v>94.108999999999995</v>
      </c>
      <c r="AL2626" s="21" t="s">
        <v>1263</v>
      </c>
      <c r="AM2626">
        <f>96.072-92.041</f>
        <v>4.0310000000000059</v>
      </c>
      <c r="AN2626" s="21">
        <v>4</v>
      </c>
      <c r="AO2626" s="21">
        <v>25</v>
      </c>
      <c r="AP2626" s="21">
        <v>15</v>
      </c>
      <c r="AQ2626" s="22" t="s">
        <v>3071</v>
      </c>
      <c r="AR2626" s="21" t="s">
        <v>1207</v>
      </c>
    </row>
    <row r="2627" spans="1:45" x14ac:dyDescent="0.2">
      <c r="A2627" s="21" t="s">
        <v>1682</v>
      </c>
      <c r="B2627" s="21" t="s">
        <v>1146</v>
      </c>
      <c r="C2627" s="21" t="s">
        <v>1149</v>
      </c>
      <c r="D2627" s="21" t="s">
        <v>3067</v>
      </c>
      <c r="E2627" s="21" t="s">
        <v>1681</v>
      </c>
      <c r="G2627" s="21" t="s">
        <v>1165</v>
      </c>
      <c r="H2627" s="21" t="s">
        <v>1165</v>
      </c>
      <c r="I2627" s="21" t="s">
        <v>3068</v>
      </c>
      <c r="J2627">
        <v>-34.642222222222202</v>
      </c>
      <c r="K2627">
        <v>116.123611111111</v>
      </c>
      <c r="M2627" s="21" t="s">
        <v>3069</v>
      </c>
      <c r="O2627" s="21">
        <v>2011</v>
      </c>
      <c r="Q2627" s="21" t="s">
        <v>3070</v>
      </c>
      <c r="R2627">
        <v>851.66800000000001</v>
      </c>
      <c r="S2627">
        <v>15</v>
      </c>
      <c r="T2627" s="21">
        <v>15</v>
      </c>
      <c r="U2627" s="21" t="s">
        <v>3075</v>
      </c>
      <c r="X2627" s="9" t="s">
        <v>1292</v>
      </c>
      <c r="Z2627" s="22">
        <v>12</v>
      </c>
      <c r="AD2627" s="22" t="s">
        <v>1165</v>
      </c>
      <c r="AF2627" s="24" t="s">
        <v>153</v>
      </c>
      <c r="AG2627" t="s">
        <v>3072</v>
      </c>
      <c r="AH2627">
        <f t="shared" si="21"/>
        <v>40320</v>
      </c>
      <c r="AI2627" s="21" t="s">
        <v>153</v>
      </c>
      <c r="AJ2627" s="21" t="s">
        <v>1148</v>
      </c>
      <c r="AK2627" s="21">
        <v>91.111000000000004</v>
      </c>
      <c r="AL2627" s="21" t="s">
        <v>1263</v>
      </c>
      <c r="AM2627">
        <f>93.592-88.527</f>
        <v>5.0649999999999977</v>
      </c>
      <c r="AN2627" s="21">
        <v>4</v>
      </c>
      <c r="AO2627" s="21">
        <v>25</v>
      </c>
      <c r="AP2627" s="21">
        <v>15</v>
      </c>
      <c r="AQ2627" s="22" t="s">
        <v>3071</v>
      </c>
      <c r="AR2627" s="21" t="s">
        <v>1207</v>
      </c>
    </row>
    <row r="2628" spans="1:45" x14ac:dyDescent="0.2">
      <c r="A2628" s="21" t="s">
        <v>1682</v>
      </c>
      <c r="B2628" s="21" t="s">
        <v>1146</v>
      </c>
      <c r="C2628" s="21" t="s">
        <v>1149</v>
      </c>
      <c r="D2628" s="21" t="s">
        <v>3067</v>
      </c>
      <c r="E2628" s="21" t="s">
        <v>1681</v>
      </c>
      <c r="G2628" s="21" t="s">
        <v>1165</v>
      </c>
      <c r="H2628" s="21" t="s">
        <v>1165</v>
      </c>
      <c r="I2628" s="21" t="s">
        <v>3068</v>
      </c>
      <c r="J2628">
        <v>-34.642222222222202</v>
      </c>
      <c r="K2628">
        <v>116.123611111111</v>
      </c>
      <c r="M2628" s="21" t="s">
        <v>3069</v>
      </c>
      <c r="O2628" s="21">
        <v>2011</v>
      </c>
      <c r="Q2628" s="21" t="s">
        <v>3070</v>
      </c>
      <c r="R2628">
        <v>851.66800000000001</v>
      </c>
      <c r="S2628">
        <v>15</v>
      </c>
      <c r="T2628" s="21">
        <v>15</v>
      </c>
      <c r="U2628" s="21" t="s">
        <v>3075</v>
      </c>
      <c r="X2628" s="9" t="s">
        <v>1294</v>
      </c>
      <c r="Z2628" s="22">
        <v>12</v>
      </c>
      <c r="AD2628" s="22" t="s">
        <v>1165</v>
      </c>
      <c r="AF2628" s="24" t="s">
        <v>153</v>
      </c>
      <c r="AG2628" t="s">
        <v>3072</v>
      </c>
      <c r="AH2628">
        <f t="shared" si="21"/>
        <v>40320</v>
      </c>
      <c r="AI2628" s="21" t="s">
        <v>153</v>
      </c>
      <c r="AJ2628" s="21" t="s">
        <v>1148</v>
      </c>
      <c r="AK2628" s="21">
        <v>94.057000000000002</v>
      </c>
      <c r="AL2628" s="21" t="s">
        <v>1263</v>
      </c>
      <c r="AM2628">
        <f>95.142-92.972</f>
        <v>2.1700000000000017</v>
      </c>
      <c r="AN2628" s="21">
        <v>4</v>
      </c>
      <c r="AO2628" s="21">
        <v>25</v>
      </c>
      <c r="AP2628" s="21">
        <v>15</v>
      </c>
      <c r="AQ2628" s="22" t="s">
        <v>3071</v>
      </c>
      <c r="AR2628" s="21" t="s">
        <v>1207</v>
      </c>
    </row>
    <row r="2629" spans="1:45" x14ac:dyDescent="0.2">
      <c r="A2629" s="21" t="s">
        <v>1682</v>
      </c>
      <c r="B2629" s="21" t="s">
        <v>1146</v>
      </c>
      <c r="C2629" s="21" t="s">
        <v>1149</v>
      </c>
      <c r="D2629" s="21" t="s">
        <v>3067</v>
      </c>
      <c r="E2629" s="21" t="s">
        <v>1681</v>
      </c>
      <c r="G2629" s="21" t="s">
        <v>1165</v>
      </c>
      <c r="H2629" s="21" t="s">
        <v>1165</v>
      </c>
      <c r="I2629" s="21" t="s">
        <v>3068</v>
      </c>
      <c r="J2629">
        <v>-34.642222222222202</v>
      </c>
      <c r="K2629">
        <v>116.123611111111</v>
      </c>
      <c r="M2629" s="21" t="s">
        <v>3069</v>
      </c>
      <c r="O2629" s="21">
        <v>2011</v>
      </c>
      <c r="Q2629" s="21" t="s">
        <v>3070</v>
      </c>
      <c r="R2629">
        <v>851.66800000000001</v>
      </c>
      <c r="S2629">
        <v>15</v>
      </c>
      <c r="T2629" s="21">
        <v>15</v>
      </c>
      <c r="U2629" s="21" t="s">
        <v>3075</v>
      </c>
      <c r="X2629" s="9" t="s">
        <v>1295</v>
      </c>
      <c r="Z2629" s="22">
        <v>12</v>
      </c>
      <c r="AD2629" s="22" t="s">
        <v>1165</v>
      </c>
      <c r="AF2629" s="24" t="s">
        <v>153</v>
      </c>
      <c r="AG2629" t="s">
        <v>3072</v>
      </c>
      <c r="AH2629">
        <f t="shared" si="21"/>
        <v>40320</v>
      </c>
      <c r="AI2629" s="21" t="s">
        <v>153</v>
      </c>
      <c r="AJ2629" s="21" t="s">
        <v>1148</v>
      </c>
      <c r="AK2629" s="21">
        <v>59.018000000000001</v>
      </c>
      <c r="AL2629" s="21" t="s">
        <v>1263</v>
      </c>
      <c r="AM2629">
        <f>64.651-53.488</f>
        <v>11.162999999999997</v>
      </c>
      <c r="AN2629" s="21">
        <v>4</v>
      </c>
      <c r="AO2629" s="21">
        <v>25</v>
      </c>
      <c r="AP2629" s="21">
        <v>15</v>
      </c>
      <c r="AQ2629" s="22" t="s">
        <v>3071</v>
      </c>
      <c r="AR2629" s="21" t="s">
        <v>1207</v>
      </c>
    </row>
    <row r="2630" spans="1:45" x14ac:dyDescent="0.2">
      <c r="A2630" s="21" t="s">
        <v>1682</v>
      </c>
      <c r="B2630" s="21" t="s">
        <v>1146</v>
      </c>
      <c r="C2630" s="21" t="s">
        <v>1149</v>
      </c>
      <c r="D2630" s="21" t="s">
        <v>3067</v>
      </c>
      <c r="E2630" s="21" t="s">
        <v>1681</v>
      </c>
      <c r="G2630" s="21" t="s">
        <v>1165</v>
      </c>
      <c r="H2630" s="21" t="s">
        <v>1165</v>
      </c>
      <c r="I2630" s="21" t="s">
        <v>3068</v>
      </c>
      <c r="J2630">
        <v>-34.642222222222202</v>
      </c>
      <c r="K2630">
        <v>116.123611111111</v>
      </c>
      <c r="M2630" s="21" t="s">
        <v>3069</v>
      </c>
      <c r="O2630" s="21">
        <v>2011</v>
      </c>
      <c r="Q2630" s="21" t="s">
        <v>3070</v>
      </c>
      <c r="R2630">
        <v>851.66800000000001</v>
      </c>
      <c r="S2630">
        <v>15</v>
      </c>
      <c r="T2630" s="21">
        <v>15</v>
      </c>
      <c r="U2630" s="21" t="s">
        <v>3076</v>
      </c>
      <c r="V2630" s="9" t="s">
        <v>1217</v>
      </c>
      <c r="W2630">
        <v>28</v>
      </c>
      <c r="X2630" s="9" t="s">
        <v>1291</v>
      </c>
      <c r="Z2630" s="22">
        <v>12</v>
      </c>
      <c r="AD2630" s="22" t="s">
        <v>1165</v>
      </c>
      <c r="AF2630" s="24" t="s">
        <v>153</v>
      </c>
      <c r="AG2630" t="s">
        <v>3072</v>
      </c>
      <c r="AH2630">
        <f t="shared" si="21"/>
        <v>40320</v>
      </c>
      <c r="AI2630" s="21" t="s">
        <v>153</v>
      </c>
      <c r="AJ2630" s="21" t="s">
        <v>1148</v>
      </c>
      <c r="AK2630" s="21">
        <v>92.438000000000002</v>
      </c>
      <c r="AL2630" s="21" t="s">
        <v>1263</v>
      </c>
      <c r="AM2630">
        <v>0</v>
      </c>
      <c r="AN2630" s="21">
        <v>4</v>
      </c>
      <c r="AO2630" s="21">
        <v>25</v>
      </c>
      <c r="AP2630" s="21">
        <f t="shared" ref="AP2630:AP2638" si="22">4*7</f>
        <v>28</v>
      </c>
      <c r="AQ2630" s="22" t="s">
        <v>3077</v>
      </c>
      <c r="AR2630" s="21" t="s">
        <v>1279</v>
      </c>
      <c r="AS2630" t="s">
        <v>3078</v>
      </c>
    </row>
    <row r="2631" spans="1:45" x14ac:dyDescent="0.2">
      <c r="A2631" s="21" t="s">
        <v>1682</v>
      </c>
      <c r="B2631" s="21" t="s">
        <v>1146</v>
      </c>
      <c r="C2631" s="21" t="s">
        <v>1149</v>
      </c>
      <c r="D2631" s="21" t="s">
        <v>3067</v>
      </c>
      <c r="E2631" s="21" t="s">
        <v>1681</v>
      </c>
      <c r="G2631" s="21" t="s">
        <v>1165</v>
      </c>
      <c r="H2631" s="21" t="s">
        <v>1165</v>
      </c>
      <c r="I2631" s="21" t="s">
        <v>3068</v>
      </c>
      <c r="J2631">
        <v>-34.642222222222202</v>
      </c>
      <c r="K2631">
        <v>116.123611111111</v>
      </c>
      <c r="M2631" s="21" t="s">
        <v>3069</v>
      </c>
      <c r="O2631" s="21">
        <v>2011</v>
      </c>
      <c r="Q2631" s="21" t="s">
        <v>3070</v>
      </c>
      <c r="R2631">
        <v>851.66800000000001</v>
      </c>
      <c r="S2631">
        <v>15</v>
      </c>
      <c r="T2631" s="21">
        <v>15</v>
      </c>
      <c r="U2631" s="21" t="s">
        <v>3076</v>
      </c>
      <c r="V2631" s="9" t="s">
        <v>1290</v>
      </c>
      <c r="W2631">
        <v>28</v>
      </c>
      <c r="X2631" s="9" t="s">
        <v>1291</v>
      </c>
      <c r="Z2631" s="22">
        <v>12</v>
      </c>
      <c r="AD2631" s="22" t="s">
        <v>1165</v>
      </c>
      <c r="AF2631" s="24" t="s">
        <v>153</v>
      </c>
      <c r="AG2631" t="s">
        <v>3072</v>
      </c>
      <c r="AH2631">
        <f t="shared" si="21"/>
        <v>40320</v>
      </c>
      <c r="AI2631" s="21" t="s">
        <v>153</v>
      </c>
      <c r="AJ2631" s="21" t="s">
        <v>1148</v>
      </c>
      <c r="AK2631" s="21">
        <v>91.430999999999997</v>
      </c>
      <c r="AL2631" s="21" t="s">
        <v>1263</v>
      </c>
      <c r="AM2631">
        <f>95.247-87.403</f>
        <v>7.8439999999999941</v>
      </c>
      <c r="AN2631" s="21">
        <v>4</v>
      </c>
      <c r="AO2631" s="21">
        <v>25</v>
      </c>
      <c r="AP2631" s="21">
        <f t="shared" si="22"/>
        <v>28</v>
      </c>
      <c r="AQ2631" s="22" t="s">
        <v>3077</v>
      </c>
      <c r="AR2631" s="21" t="s">
        <v>1279</v>
      </c>
      <c r="AS2631" t="s">
        <v>3078</v>
      </c>
    </row>
    <row r="2632" spans="1:45" x14ac:dyDescent="0.2">
      <c r="A2632" s="21" t="s">
        <v>1682</v>
      </c>
      <c r="B2632" s="21" t="s">
        <v>1146</v>
      </c>
      <c r="C2632" s="21" t="s">
        <v>1149</v>
      </c>
      <c r="D2632" s="21" t="s">
        <v>3067</v>
      </c>
      <c r="E2632" s="21" t="s">
        <v>1681</v>
      </c>
      <c r="G2632" s="21" t="s">
        <v>1165</v>
      </c>
      <c r="H2632" s="21" t="s">
        <v>1165</v>
      </c>
      <c r="I2632" s="21" t="s">
        <v>3068</v>
      </c>
      <c r="J2632">
        <v>-34.642222222222202</v>
      </c>
      <c r="K2632">
        <v>116.123611111111</v>
      </c>
      <c r="M2632" s="21" t="s">
        <v>3069</v>
      </c>
      <c r="O2632" s="21">
        <v>2011</v>
      </c>
      <c r="Q2632" s="21" t="s">
        <v>3070</v>
      </c>
      <c r="R2632">
        <v>851.66800000000001</v>
      </c>
      <c r="S2632">
        <v>15</v>
      </c>
      <c r="T2632" s="21">
        <v>15</v>
      </c>
      <c r="U2632" s="21" t="s">
        <v>1340</v>
      </c>
      <c r="V2632" s="9" t="s">
        <v>1201</v>
      </c>
      <c r="W2632">
        <v>28</v>
      </c>
      <c r="X2632" s="9" t="s">
        <v>1291</v>
      </c>
      <c r="Z2632" s="22">
        <v>12</v>
      </c>
      <c r="AD2632" s="22" t="s">
        <v>1165</v>
      </c>
      <c r="AF2632" s="24" t="s">
        <v>153</v>
      </c>
      <c r="AG2632" t="s">
        <v>3072</v>
      </c>
      <c r="AH2632">
        <f t="shared" si="21"/>
        <v>40320</v>
      </c>
      <c r="AI2632" s="21" t="s">
        <v>153</v>
      </c>
      <c r="AJ2632" s="21" t="s">
        <v>1148</v>
      </c>
      <c r="AK2632" s="21">
        <v>51.148000000000003</v>
      </c>
      <c r="AL2632" s="21" t="s">
        <v>1263</v>
      </c>
      <c r="AM2632">
        <f>57.297-45.212</f>
        <v>12.084999999999994</v>
      </c>
      <c r="AN2632" s="21">
        <v>4</v>
      </c>
      <c r="AO2632" s="21">
        <v>25</v>
      </c>
      <c r="AP2632" s="21">
        <f t="shared" si="22"/>
        <v>28</v>
      </c>
      <c r="AQ2632" s="22" t="s">
        <v>3077</v>
      </c>
      <c r="AR2632" s="21" t="s">
        <v>1279</v>
      </c>
      <c r="AS2632" t="s">
        <v>3078</v>
      </c>
    </row>
    <row r="2633" spans="1:45" x14ac:dyDescent="0.2">
      <c r="A2633" s="21" t="s">
        <v>1682</v>
      </c>
      <c r="B2633" s="21" t="s">
        <v>1146</v>
      </c>
      <c r="C2633" s="21" t="s">
        <v>1149</v>
      </c>
      <c r="D2633" s="21" t="s">
        <v>3067</v>
      </c>
      <c r="E2633" s="21" t="s">
        <v>1681</v>
      </c>
      <c r="G2633" s="21" t="s">
        <v>1165</v>
      </c>
      <c r="H2633" s="21" t="s">
        <v>1165</v>
      </c>
      <c r="I2633" s="21" t="s">
        <v>3068</v>
      </c>
      <c r="J2633">
        <v>-34.642222222222202</v>
      </c>
      <c r="K2633">
        <v>116.123611111111</v>
      </c>
      <c r="M2633" s="21" t="s">
        <v>3069</v>
      </c>
      <c r="O2633" s="21">
        <v>2011</v>
      </c>
      <c r="Q2633" s="21" t="s">
        <v>3070</v>
      </c>
      <c r="R2633">
        <v>851.66800000000001</v>
      </c>
      <c r="S2633">
        <v>15</v>
      </c>
      <c r="T2633" s="21">
        <v>15</v>
      </c>
      <c r="U2633" s="21" t="s">
        <v>3076</v>
      </c>
      <c r="V2633" s="9" t="s">
        <v>1217</v>
      </c>
      <c r="W2633">
        <v>28</v>
      </c>
      <c r="X2633" s="9" t="s">
        <v>1291</v>
      </c>
      <c r="Z2633" s="22">
        <v>12</v>
      </c>
      <c r="AD2633" s="22" t="s">
        <v>1165</v>
      </c>
      <c r="AF2633" s="24" t="s">
        <v>153</v>
      </c>
      <c r="AG2633" t="s">
        <v>3073</v>
      </c>
      <c r="AH2633">
        <f t="shared" si="21"/>
        <v>40320</v>
      </c>
      <c r="AI2633" s="21" t="s">
        <v>153</v>
      </c>
      <c r="AJ2633" s="21" t="s">
        <v>1148</v>
      </c>
      <c r="AK2633" s="21">
        <v>96.465999999999994</v>
      </c>
      <c r="AL2633" s="21" t="s">
        <v>1263</v>
      </c>
      <c r="AM2633">
        <f>98.428-94.611</f>
        <v>3.8169999999999931</v>
      </c>
      <c r="AN2633" s="21">
        <v>4</v>
      </c>
      <c r="AO2633" s="21">
        <v>25</v>
      </c>
      <c r="AP2633" s="21">
        <f t="shared" si="22"/>
        <v>28</v>
      </c>
      <c r="AQ2633" s="22" t="s">
        <v>3077</v>
      </c>
      <c r="AR2633" s="21" t="s">
        <v>1279</v>
      </c>
      <c r="AS2633" t="s">
        <v>3078</v>
      </c>
    </row>
    <row r="2634" spans="1:45" x14ac:dyDescent="0.2">
      <c r="A2634" s="21" t="s">
        <v>1682</v>
      </c>
      <c r="B2634" s="21" t="s">
        <v>1146</v>
      </c>
      <c r="C2634" s="21" t="s">
        <v>1149</v>
      </c>
      <c r="D2634" s="21" t="s">
        <v>3067</v>
      </c>
      <c r="E2634" s="21" t="s">
        <v>1681</v>
      </c>
      <c r="G2634" s="21" t="s">
        <v>1165</v>
      </c>
      <c r="H2634" s="21" t="s">
        <v>1165</v>
      </c>
      <c r="I2634" s="21" t="s">
        <v>3068</v>
      </c>
      <c r="J2634">
        <v>-34.642222222222202</v>
      </c>
      <c r="K2634">
        <v>116.123611111111</v>
      </c>
      <c r="M2634" s="21" t="s">
        <v>3069</v>
      </c>
      <c r="O2634" s="21">
        <v>2011</v>
      </c>
      <c r="Q2634" s="21" t="s">
        <v>3070</v>
      </c>
      <c r="R2634">
        <v>851.66800000000001</v>
      </c>
      <c r="S2634">
        <v>15</v>
      </c>
      <c r="T2634" s="21">
        <v>15</v>
      </c>
      <c r="U2634" s="21" t="s">
        <v>3076</v>
      </c>
      <c r="V2634" s="9" t="s">
        <v>1290</v>
      </c>
      <c r="W2634">
        <v>28</v>
      </c>
      <c r="X2634" s="9" t="s">
        <v>1291</v>
      </c>
      <c r="Z2634" s="22">
        <v>12</v>
      </c>
      <c r="AD2634" s="22" t="s">
        <v>1165</v>
      </c>
      <c r="AF2634" s="24" t="s">
        <v>153</v>
      </c>
      <c r="AG2634" t="s">
        <v>3073</v>
      </c>
      <c r="AH2634">
        <f t="shared" si="21"/>
        <v>40320</v>
      </c>
      <c r="AI2634" s="21" t="s">
        <v>153</v>
      </c>
      <c r="AJ2634" s="21" t="s">
        <v>1148</v>
      </c>
      <c r="AK2634" s="21">
        <v>96.519000000000005</v>
      </c>
      <c r="AL2634" s="21" t="s">
        <v>1263</v>
      </c>
      <c r="AM2634">
        <f>100.336-92.279</f>
        <v>8.0570000000000022</v>
      </c>
      <c r="AN2634" s="21">
        <v>4</v>
      </c>
      <c r="AO2634" s="21">
        <v>25</v>
      </c>
      <c r="AP2634" s="21">
        <f t="shared" si="22"/>
        <v>28</v>
      </c>
      <c r="AQ2634" s="22" t="s">
        <v>3077</v>
      </c>
      <c r="AR2634" s="21" t="s">
        <v>1279</v>
      </c>
      <c r="AS2634" t="s">
        <v>3078</v>
      </c>
    </row>
    <row r="2635" spans="1:45" x14ac:dyDescent="0.2">
      <c r="A2635" s="21" t="s">
        <v>1682</v>
      </c>
      <c r="B2635" s="21" t="s">
        <v>1146</v>
      </c>
      <c r="C2635" s="21" t="s">
        <v>1149</v>
      </c>
      <c r="D2635" s="21" t="s">
        <v>3067</v>
      </c>
      <c r="E2635" s="21" t="s">
        <v>1681</v>
      </c>
      <c r="G2635" s="21" t="s">
        <v>1165</v>
      </c>
      <c r="H2635" s="21" t="s">
        <v>1165</v>
      </c>
      <c r="I2635" s="21" t="s">
        <v>3068</v>
      </c>
      <c r="J2635">
        <v>-34.642222222222202</v>
      </c>
      <c r="K2635">
        <v>116.123611111111</v>
      </c>
      <c r="M2635" s="21" t="s">
        <v>3069</v>
      </c>
      <c r="O2635" s="21">
        <v>2011</v>
      </c>
      <c r="Q2635" s="21" t="s">
        <v>3070</v>
      </c>
      <c r="R2635">
        <v>851.66800000000001</v>
      </c>
      <c r="S2635">
        <v>15</v>
      </c>
      <c r="T2635" s="21">
        <v>15</v>
      </c>
      <c r="U2635" s="21" t="s">
        <v>1340</v>
      </c>
      <c r="V2635" s="9" t="s">
        <v>1201</v>
      </c>
      <c r="W2635">
        <v>28</v>
      </c>
      <c r="X2635" s="9" t="s">
        <v>1291</v>
      </c>
      <c r="Z2635" s="22">
        <v>12</v>
      </c>
      <c r="AD2635" s="22" t="s">
        <v>1165</v>
      </c>
      <c r="AF2635" s="24" t="s">
        <v>153</v>
      </c>
      <c r="AG2635" t="s">
        <v>3073</v>
      </c>
      <c r="AH2635">
        <f t="shared" si="21"/>
        <v>40320</v>
      </c>
      <c r="AI2635" s="21" t="s">
        <v>153</v>
      </c>
      <c r="AJ2635" s="21" t="s">
        <v>1148</v>
      </c>
      <c r="AK2635" s="21">
        <v>55.124000000000002</v>
      </c>
      <c r="AL2635" s="21" t="s">
        <v>1263</v>
      </c>
      <c r="AM2635">
        <f>59.205-51.148</f>
        <v>8.0569999999999951</v>
      </c>
      <c r="AN2635" s="21">
        <v>4</v>
      </c>
      <c r="AO2635" s="21">
        <v>25</v>
      </c>
      <c r="AP2635" s="21">
        <f t="shared" si="22"/>
        <v>28</v>
      </c>
      <c r="AQ2635" s="22" t="s">
        <v>3077</v>
      </c>
      <c r="AR2635" s="21" t="s">
        <v>1279</v>
      </c>
      <c r="AS2635" t="s">
        <v>3078</v>
      </c>
    </row>
    <row r="2636" spans="1:45" x14ac:dyDescent="0.2">
      <c r="A2636" s="21" t="s">
        <v>1682</v>
      </c>
      <c r="B2636" s="21" t="s">
        <v>1146</v>
      </c>
      <c r="C2636" s="21" t="s">
        <v>1149</v>
      </c>
      <c r="D2636" s="21" t="s">
        <v>3067</v>
      </c>
      <c r="E2636" s="21" t="s">
        <v>1681</v>
      </c>
      <c r="G2636" s="21" t="s">
        <v>1165</v>
      </c>
      <c r="H2636" s="21" t="s">
        <v>1165</v>
      </c>
      <c r="I2636" s="21" t="s">
        <v>3068</v>
      </c>
      <c r="J2636">
        <v>-34.642222222222202</v>
      </c>
      <c r="K2636">
        <v>116.123611111111</v>
      </c>
      <c r="M2636" s="21" t="s">
        <v>3069</v>
      </c>
      <c r="O2636" s="21">
        <v>2011</v>
      </c>
      <c r="Q2636" s="21" t="s">
        <v>3070</v>
      </c>
      <c r="R2636">
        <v>851.66800000000001</v>
      </c>
      <c r="S2636">
        <v>15</v>
      </c>
      <c r="T2636" s="21">
        <v>15</v>
      </c>
      <c r="U2636" s="21" t="s">
        <v>3076</v>
      </c>
      <c r="V2636" s="9" t="s">
        <v>1217</v>
      </c>
      <c r="W2636">
        <v>28</v>
      </c>
      <c r="X2636" s="9" t="s">
        <v>1291</v>
      </c>
      <c r="Z2636" s="22">
        <v>12</v>
      </c>
      <c r="AD2636" s="22" t="s">
        <v>1165</v>
      </c>
      <c r="AF2636" s="24" t="s">
        <v>153</v>
      </c>
      <c r="AG2636" t="s">
        <v>1160</v>
      </c>
      <c r="AH2636">
        <f t="shared" si="21"/>
        <v>40320</v>
      </c>
      <c r="AI2636" s="21" t="s">
        <v>153</v>
      </c>
      <c r="AJ2636" s="21" t="s">
        <v>1148</v>
      </c>
      <c r="AK2636" s="21">
        <v>89.522999999999996</v>
      </c>
      <c r="AL2636" s="21" t="s">
        <v>1263</v>
      </c>
      <c r="AM2636">
        <f>94.399-84.435</f>
        <v>9.9639999999999986</v>
      </c>
      <c r="AN2636" s="21">
        <v>4</v>
      </c>
      <c r="AO2636" s="21">
        <v>25</v>
      </c>
      <c r="AP2636" s="21">
        <f t="shared" si="22"/>
        <v>28</v>
      </c>
      <c r="AQ2636" s="22" t="s">
        <v>3077</v>
      </c>
      <c r="AR2636" s="21" t="s">
        <v>1279</v>
      </c>
      <c r="AS2636" t="s">
        <v>3078</v>
      </c>
    </row>
    <row r="2637" spans="1:45" x14ac:dyDescent="0.2">
      <c r="A2637" s="21" t="s">
        <v>1682</v>
      </c>
      <c r="B2637" s="21" t="s">
        <v>1146</v>
      </c>
      <c r="C2637" s="21" t="s">
        <v>1149</v>
      </c>
      <c r="D2637" s="21" t="s">
        <v>3067</v>
      </c>
      <c r="E2637" s="21" t="s">
        <v>1681</v>
      </c>
      <c r="G2637" s="21" t="s">
        <v>1165</v>
      </c>
      <c r="H2637" s="21" t="s">
        <v>1165</v>
      </c>
      <c r="I2637" s="21" t="s">
        <v>3068</v>
      </c>
      <c r="J2637">
        <v>-34.642222222222202</v>
      </c>
      <c r="K2637">
        <v>116.123611111111</v>
      </c>
      <c r="M2637" s="21" t="s">
        <v>3069</v>
      </c>
      <c r="O2637" s="21">
        <v>2011</v>
      </c>
      <c r="Q2637" s="21" t="s">
        <v>3070</v>
      </c>
      <c r="R2637">
        <v>851.66800000000001</v>
      </c>
      <c r="S2637">
        <v>15</v>
      </c>
      <c r="T2637" s="21">
        <v>15</v>
      </c>
      <c r="U2637" s="21" t="s">
        <v>3076</v>
      </c>
      <c r="V2637" s="9" t="s">
        <v>1290</v>
      </c>
      <c r="W2637">
        <v>28</v>
      </c>
      <c r="X2637" s="9" t="s">
        <v>1291</v>
      </c>
      <c r="Z2637" s="22">
        <v>12</v>
      </c>
      <c r="AD2637" s="22" t="s">
        <v>1165</v>
      </c>
      <c r="AF2637" s="24" t="s">
        <v>153</v>
      </c>
      <c r="AG2637" t="s">
        <v>1160</v>
      </c>
      <c r="AH2637">
        <f t="shared" si="21"/>
        <v>40320</v>
      </c>
      <c r="AI2637" s="21" t="s">
        <v>153</v>
      </c>
      <c r="AJ2637" s="21" t="s">
        <v>1148</v>
      </c>
      <c r="AK2637" s="21">
        <v>96.519000000000005</v>
      </c>
      <c r="AL2637" s="21" t="s">
        <v>1263</v>
      </c>
      <c r="AM2637">
        <f>98.428-94.399</f>
        <v>4.0289999999999964</v>
      </c>
      <c r="AN2637" s="21">
        <v>4</v>
      </c>
      <c r="AO2637" s="21">
        <v>25</v>
      </c>
      <c r="AP2637" s="21">
        <f t="shared" si="22"/>
        <v>28</v>
      </c>
      <c r="AQ2637" s="22" t="s">
        <v>3077</v>
      </c>
      <c r="AR2637" s="21" t="s">
        <v>1279</v>
      </c>
      <c r="AS2637" t="s">
        <v>3078</v>
      </c>
    </row>
    <row r="2638" spans="1:45" x14ac:dyDescent="0.2">
      <c r="A2638" s="21" t="s">
        <v>1682</v>
      </c>
      <c r="B2638" s="21" t="s">
        <v>1146</v>
      </c>
      <c r="C2638" s="21" t="s">
        <v>1149</v>
      </c>
      <c r="D2638" s="21" t="s">
        <v>3067</v>
      </c>
      <c r="E2638" s="21" t="s">
        <v>1681</v>
      </c>
      <c r="G2638" s="21" t="s">
        <v>1165</v>
      </c>
      <c r="H2638" s="21" t="s">
        <v>1165</v>
      </c>
      <c r="I2638" s="21" t="s">
        <v>3068</v>
      </c>
      <c r="J2638">
        <v>-34.642222222222202</v>
      </c>
      <c r="K2638">
        <v>116.123611111111</v>
      </c>
      <c r="M2638" s="21" t="s">
        <v>3069</v>
      </c>
      <c r="O2638" s="21">
        <v>2011</v>
      </c>
      <c r="Q2638" s="21" t="s">
        <v>3070</v>
      </c>
      <c r="R2638">
        <v>851.66800000000001</v>
      </c>
      <c r="S2638">
        <v>15</v>
      </c>
      <c r="T2638" s="21">
        <v>15</v>
      </c>
      <c r="U2638" s="21" t="s">
        <v>1340</v>
      </c>
      <c r="V2638" s="9" t="s">
        <v>1201</v>
      </c>
      <c r="W2638">
        <v>28</v>
      </c>
      <c r="X2638" s="9" t="s">
        <v>1291</v>
      </c>
      <c r="Z2638" s="22">
        <v>12</v>
      </c>
      <c r="AD2638" s="22" t="s">
        <v>1165</v>
      </c>
      <c r="AF2638" s="24" t="s">
        <v>153</v>
      </c>
      <c r="AG2638" t="s">
        <v>1160</v>
      </c>
      <c r="AH2638">
        <f t="shared" si="21"/>
        <v>40320</v>
      </c>
      <c r="AI2638" s="21" t="s">
        <v>153</v>
      </c>
      <c r="AJ2638" s="21" t="s">
        <v>1148</v>
      </c>
      <c r="AK2638" s="21">
        <v>47.332000000000001</v>
      </c>
      <c r="AL2638" s="21" t="s">
        <v>1263</v>
      </c>
      <c r="AM2638">
        <f>56.449-38.004</f>
        <v>18.445</v>
      </c>
      <c r="AN2638" s="21">
        <v>4</v>
      </c>
      <c r="AO2638" s="21">
        <v>25</v>
      </c>
      <c r="AP2638" s="21">
        <f t="shared" si="22"/>
        <v>28</v>
      </c>
      <c r="AQ2638" s="22" t="s">
        <v>3077</v>
      </c>
      <c r="AR2638" s="21" t="s">
        <v>1279</v>
      </c>
      <c r="AS2638" t="s">
        <v>3078</v>
      </c>
    </row>
    <row r="2639" spans="1:45" x14ac:dyDescent="0.2">
      <c r="A2639" s="21" t="s">
        <v>1682</v>
      </c>
      <c r="B2639" s="21" t="s">
        <v>1146</v>
      </c>
      <c r="C2639" s="21" t="s">
        <v>1149</v>
      </c>
      <c r="D2639" s="21" t="s">
        <v>3067</v>
      </c>
      <c r="E2639" s="21" t="s">
        <v>1681</v>
      </c>
      <c r="G2639" s="21" t="s">
        <v>1165</v>
      </c>
      <c r="H2639" s="21" t="s">
        <v>1165</v>
      </c>
      <c r="I2639" s="21" t="s">
        <v>3068</v>
      </c>
      <c r="J2639">
        <v>-34.642222222222202</v>
      </c>
      <c r="K2639">
        <v>116.123611111111</v>
      </c>
      <c r="M2639" s="21" t="s">
        <v>3069</v>
      </c>
      <c r="O2639" s="21">
        <v>2011</v>
      </c>
      <c r="Q2639" s="21" t="s">
        <v>3070</v>
      </c>
      <c r="R2639">
        <v>851.66800000000001</v>
      </c>
      <c r="S2639">
        <v>15</v>
      </c>
      <c r="T2639" s="21">
        <v>15</v>
      </c>
      <c r="U2639" s="21" t="s">
        <v>1147</v>
      </c>
      <c r="V2639" s="9" t="s">
        <v>1201</v>
      </c>
      <c r="W2639">
        <v>28</v>
      </c>
      <c r="X2639" s="9" t="s">
        <v>1291</v>
      </c>
      <c r="Z2639" s="22">
        <v>12</v>
      </c>
      <c r="AD2639" s="22" t="s">
        <v>1165</v>
      </c>
      <c r="AF2639" s="24" t="s">
        <v>153</v>
      </c>
      <c r="AG2639" t="s">
        <v>3079</v>
      </c>
      <c r="AH2639">
        <v>0</v>
      </c>
      <c r="AI2639" s="21" t="s">
        <v>153</v>
      </c>
      <c r="AJ2639" s="21" t="s">
        <v>1148</v>
      </c>
      <c r="AK2639" s="21">
        <v>0</v>
      </c>
      <c r="AL2639" s="21" t="s">
        <v>1263</v>
      </c>
      <c r="AM2639">
        <v>0</v>
      </c>
      <c r="AN2639" s="21">
        <v>4</v>
      </c>
      <c r="AO2639" s="21">
        <v>25</v>
      </c>
      <c r="AP2639" s="21">
        <v>0</v>
      </c>
      <c r="AQ2639" s="22" t="s">
        <v>3080</v>
      </c>
      <c r="AR2639" s="21" t="s">
        <v>1155</v>
      </c>
      <c r="AS2639" t="s">
        <v>3081</v>
      </c>
    </row>
    <row r="2640" spans="1:45" x14ac:dyDescent="0.2">
      <c r="A2640" s="21" t="s">
        <v>1682</v>
      </c>
      <c r="B2640" s="21" t="s">
        <v>1146</v>
      </c>
      <c r="C2640" s="21" t="s">
        <v>1149</v>
      </c>
      <c r="D2640" s="21" t="s">
        <v>3067</v>
      </c>
      <c r="E2640" s="21" t="s">
        <v>1681</v>
      </c>
      <c r="G2640" s="21" t="s">
        <v>1165</v>
      </c>
      <c r="H2640" s="21" t="s">
        <v>1165</v>
      </c>
      <c r="I2640" s="21" t="s">
        <v>3068</v>
      </c>
      <c r="J2640">
        <v>-34.642222222222202</v>
      </c>
      <c r="K2640">
        <v>116.123611111111</v>
      </c>
      <c r="M2640" s="21" t="s">
        <v>3069</v>
      </c>
      <c r="O2640" s="21">
        <v>2011</v>
      </c>
      <c r="Q2640" s="21" t="s">
        <v>3070</v>
      </c>
      <c r="R2640">
        <v>851.66800000000001</v>
      </c>
      <c r="S2640">
        <v>15</v>
      </c>
      <c r="T2640" s="21">
        <v>15</v>
      </c>
      <c r="U2640" s="21" t="s">
        <v>1147</v>
      </c>
      <c r="V2640" s="9" t="s">
        <v>1201</v>
      </c>
      <c r="W2640">
        <v>28</v>
      </c>
      <c r="X2640" s="9" t="s">
        <v>1291</v>
      </c>
      <c r="Z2640" s="22">
        <v>12</v>
      </c>
      <c r="AD2640" s="22" t="s">
        <v>1165</v>
      </c>
      <c r="AF2640" s="24" t="s">
        <v>153</v>
      </c>
      <c r="AG2640" t="s">
        <v>3079</v>
      </c>
      <c r="AH2640">
        <f>60*24</f>
        <v>1440</v>
      </c>
      <c r="AI2640" s="21" t="s">
        <v>153</v>
      </c>
      <c r="AJ2640" s="21" t="s">
        <v>1148</v>
      </c>
      <c r="AK2640" s="21">
        <v>0</v>
      </c>
      <c r="AL2640" s="21" t="s">
        <v>1263</v>
      </c>
      <c r="AM2640">
        <v>0</v>
      </c>
      <c r="AN2640" s="21">
        <v>4</v>
      </c>
      <c r="AO2640" s="21">
        <v>25</v>
      </c>
      <c r="AP2640" s="21">
        <f>1</f>
        <v>1</v>
      </c>
      <c r="AQ2640" s="22" t="s">
        <v>3080</v>
      </c>
      <c r="AR2640" s="21" t="s">
        <v>1155</v>
      </c>
      <c r="AS2640" t="s">
        <v>3081</v>
      </c>
    </row>
    <row r="2641" spans="1:45" x14ac:dyDescent="0.2">
      <c r="A2641" s="21" t="s">
        <v>1682</v>
      </c>
      <c r="B2641" s="21" t="s">
        <v>1146</v>
      </c>
      <c r="C2641" s="21" t="s">
        <v>1149</v>
      </c>
      <c r="D2641" s="21" t="s">
        <v>3067</v>
      </c>
      <c r="E2641" s="21" t="s">
        <v>1681</v>
      </c>
      <c r="G2641" s="21" t="s">
        <v>1165</v>
      </c>
      <c r="H2641" s="21" t="s">
        <v>1165</v>
      </c>
      <c r="I2641" s="21" t="s">
        <v>3068</v>
      </c>
      <c r="J2641">
        <v>-34.642222222222202</v>
      </c>
      <c r="K2641">
        <v>116.123611111111</v>
      </c>
      <c r="M2641" s="21" t="s">
        <v>3069</v>
      </c>
      <c r="O2641" s="21">
        <v>2011</v>
      </c>
      <c r="Q2641" s="21" t="s">
        <v>3070</v>
      </c>
      <c r="R2641">
        <v>851.66800000000001</v>
      </c>
      <c r="S2641">
        <v>15</v>
      </c>
      <c r="T2641" s="21">
        <v>15</v>
      </c>
      <c r="U2641" s="21" t="s">
        <v>1147</v>
      </c>
      <c r="V2641" s="9" t="s">
        <v>1201</v>
      </c>
      <c r="W2641">
        <v>28</v>
      </c>
      <c r="X2641" s="9" t="s">
        <v>1291</v>
      </c>
      <c r="Z2641" s="22">
        <v>12</v>
      </c>
      <c r="AD2641" s="22" t="s">
        <v>1165</v>
      </c>
      <c r="AF2641" s="24" t="s">
        <v>153</v>
      </c>
      <c r="AG2641" t="s">
        <v>3079</v>
      </c>
      <c r="AH2641">
        <f>60*24*2</f>
        <v>2880</v>
      </c>
      <c r="AI2641" s="21" t="s">
        <v>153</v>
      </c>
      <c r="AJ2641" s="21" t="s">
        <v>1148</v>
      </c>
      <c r="AK2641" s="21">
        <v>0</v>
      </c>
      <c r="AL2641" s="21" t="s">
        <v>1263</v>
      </c>
      <c r="AM2641">
        <v>0</v>
      </c>
      <c r="AN2641" s="21">
        <v>4</v>
      </c>
      <c r="AO2641" s="21">
        <v>25</v>
      </c>
      <c r="AP2641" s="21">
        <v>2</v>
      </c>
      <c r="AQ2641" s="22" t="s">
        <v>3080</v>
      </c>
      <c r="AR2641" s="21" t="s">
        <v>1155</v>
      </c>
      <c r="AS2641" t="s">
        <v>3081</v>
      </c>
    </row>
    <row r="2642" spans="1:45" x14ac:dyDescent="0.2">
      <c r="A2642" s="21" t="s">
        <v>1682</v>
      </c>
      <c r="B2642" s="21" t="s">
        <v>1146</v>
      </c>
      <c r="C2642" s="21" t="s">
        <v>1149</v>
      </c>
      <c r="D2642" s="21" t="s">
        <v>3067</v>
      </c>
      <c r="E2642" s="21" t="s">
        <v>1681</v>
      </c>
      <c r="G2642" s="21" t="s">
        <v>1165</v>
      </c>
      <c r="H2642" s="21" t="s">
        <v>1165</v>
      </c>
      <c r="I2642" s="21" t="s">
        <v>3068</v>
      </c>
      <c r="J2642">
        <v>-34.642222222222202</v>
      </c>
      <c r="K2642">
        <v>116.123611111111</v>
      </c>
      <c r="M2642" s="21" t="s">
        <v>3069</v>
      </c>
      <c r="O2642" s="21">
        <v>2011</v>
      </c>
      <c r="Q2642" s="21" t="s">
        <v>3070</v>
      </c>
      <c r="R2642">
        <v>851.66800000000001</v>
      </c>
      <c r="S2642">
        <v>15</v>
      </c>
      <c r="T2642" s="21">
        <v>15</v>
      </c>
      <c r="U2642" s="21" t="s">
        <v>1147</v>
      </c>
      <c r="V2642" s="9" t="s">
        <v>1201</v>
      </c>
      <c r="W2642">
        <v>28</v>
      </c>
      <c r="X2642" s="9" t="s">
        <v>1291</v>
      </c>
      <c r="Z2642" s="22">
        <v>12</v>
      </c>
      <c r="AD2642" s="22" t="s">
        <v>1165</v>
      </c>
      <c r="AF2642" s="24" t="s">
        <v>153</v>
      </c>
      <c r="AG2642" t="s">
        <v>3079</v>
      </c>
      <c r="AH2642">
        <f>60*24*3</f>
        <v>4320</v>
      </c>
      <c r="AI2642" s="21" t="s">
        <v>153</v>
      </c>
      <c r="AJ2642" s="21" t="s">
        <v>1148</v>
      </c>
      <c r="AK2642" s="21">
        <v>0</v>
      </c>
      <c r="AL2642" s="21" t="s">
        <v>1263</v>
      </c>
      <c r="AM2642">
        <v>0</v>
      </c>
      <c r="AN2642" s="21">
        <v>4</v>
      </c>
      <c r="AO2642" s="21">
        <v>25</v>
      </c>
      <c r="AP2642" s="21">
        <v>3</v>
      </c>
      <c r="AQ2642" s="22" t="s">
        <v>3080</v>
      </c>
      <c r="AR2642" s="21" t="s">
        <v>1155</v>
      </c>
      <c r="AS2642" t="s">
        <v>3081</v>
      </c>
    </row>
    <row r="2643" spans="1:45" x14ac:dyDescent="0.2">
      <c r="A2643" s="21" t="s">
        <v>1682</v>
      </c>
      <c r="B2643" s="21" t="s">
        <v>1146</v>
      </c>
      <c r="C2643" s="21" t="s">
        <v>1149</v>
      </c>
      <c r="D2643" s="21" t="s">
        <v>3067</v>
      </c>
      <c r="E2643" s="21" t="s">
        <v>1681</v>
      </c>
      <c r="G2643" s="21" t="s">
        <v>1165</v>
      </c>
      <c r="H2643" s="21" t="s">
        <v>1165</v>
      </c>
      <c r="I2643" s="21" t="s">
        <v>3068</v>
      </c>
      <c r="J2643">
        <v>-34.642222222222202</v>
      </c>
      <c r="K2643">
        <v>116.123611111111</v>
      </c>
      <c r="M2643" s="21" t="s">
        <v>3069</v>
      </c>
      <c r="O2643" s="21">
        <v>2011</v>
      </c>
      <c r="Q2643" s="21" t="s">
        <v>3070</v>
      </c>
      <c r="R2643">
        <v>851.66800000000001</v>
      </c>
      <c r="S2643">
        <v>15</v>
      </c>
      <c r="T2643" s="21">
        <v>15</v>
      </c>
      <c r="U2643" s="21" t="s">
        <v>1147</v>
      </c>
      <c r="V2643" s="9" t="s">
        <v>1201</v>
      </c>
      <c r="W2643">
        <v>28</v>
      </c>
      <c r="X2643" s="9" t="s">
        <v>1291</v>
      </c>
      <c r="Z2643" s="22">
        <v>12</v>
      </c>
      <c r="AD2643" s="22" t="s">
        <v>1165</v>
      </c>
      <c r="AF2643" s="24" t="s">
        <v>153</v>
      </c>
      <c r="AG2643" t="s">
        <v>3079</v>
      </c>
      <c r="AH2643">
        <f>60*24*4</f>
        <v>5760</v>
      </c>
      <c r="AI2643" s="21" t="s">
        <v>153</v>
      </c>
      <c r="AJ2643" s="21" t="s">
        <v>1148</v>
      </c>
      <c r="AK2643" s="21">
        <v>0</v>
      </c>
      <c r="AL2643" s="21" t="s">
        <v>1263</v>
      </c>
      <c r="AM2643">
        <v>0</v>
      </c>
      <c r="AN2643" s="21">
        <v>4</v>
      </c>
      <c r="AO2643" s="21">
        <v>25</v>
      </c>
      <c r="AP2643" s="21">
        <v>4</v>
      </c>
      <c r="AQ2643" s="22" t="s">
        <v>3080</v>
      </c>
      <c r="AR2643" s="21" t="s">
        <v>1155</v>
      </c>
      <c r="AS2643" t="s">
        <v>3081</v>
      </c>
    </row>
    <row r="2644" spans="1:45" x14ac:dyDescent="0.2">
      <c r="A2644" s="21" t="s">
        <v>1682</v>
      </c>
      <c r="B2644" s="21" t="s">
        <v>1146</v>
      </c>
      <c r="C2644" s="21" t="s">
        <v>1149</v>
      </c>
      <c r="D2644" s="21" t="s">
        <v>3067</v>
      </c>
      <c r="E2644" s="21" t="s">
        <v>1681</v>
      </c>
      <c r="G2644" s="21" t="s">
        <v>1165</v>
      </c>
      <c r="H2644" s="21" t="s">
        <v>1165</v>
      </c>
      <c r="I2644" s="21" t="s">
        <v>3068</v>
      </c>
      <c r="J2644">
        <v>-34.642222222222202</v>
      </c>
      <c r="K2644">
        <v>116.123611111111</v>
      </c>
      <c r="M2644" s="21" t="s">
        <v>3069</v>
      </c>
      <c r="O2644" s="21">
        <v>2011</v>
      </c>
      <c r="Q2644" s="21" t="s">
        <v>3070</v>
      </c>
      <c r="R2644">
        <v>851.66800000000001</v>
      </c>
      <c r="S2644">
        <v>15</v>
      </c>
      <c r="T2644" s="21">
        <v>15</v>
      </c>
      <c r="U2644" s="21" t="s">
        <v>1147</v>
      </c>
      <c r="V2644" s="9" t="s">
        <v>1201</v>
      </c>
      <c r="W2644">
        <v>28</v>
      </c>
      <c r="X2644" s="9" t="s">
        <v>1291</v>
      </c>
      <c r="Z2644" s="22">
        <v>12</v>
      </c>
      <c r="AD2644" s="22" t="s">
        <v>1165</v>
      </c>
      <c r="AF2644" s="24" t="s">
        <v>153</v>
      </c>
      <c r="AG2644" t="s">
        <v>3079</v>
      </c>
      <c r="AH2644">
        <f>60*24*5</f>
        <v>7200</v>
      </c>
      <c r="AI2644" s="21" t="s">
        <v>153</v>
      </c>
      <c r="AJ2644" s="21" t="s">
        <v>1148</v>
      </c>
      <c r="AK2644" s="21">
        <v>0</v>
      </c>
      <c r="AL2644" s="21" t="s">
        <v>1263</v>
      </c>
      <c r="AM2644">
        <v>0</v>
      </c>
      <c r="AN2644" s="21">
        <v>4</v>
      </c>
      <c r="AO2644" s="21">
        <v>25</v>
      </c>
      <c r="AP2644" s="21">
        <v>5</v>
      </c>
      <c r="AQ2644" s="22" t="s">
        <v>3080</v>
      </c>
      <c r="AR2644" s="21" t="s">
        <v>1155</v>
      </c>
      <c r="AS2644" t="s">
        <v>3081</v>
      </c>
    </row>
    <row r="2645" spans="1:45" x14ac:dyDescent="0.2">
      <c r="A2645" s="21" t="s">
        <v>1682</v>
      </c>
      <c r="B2645" s="21" t="s">
        <v>1146</v>
      </c>
      <c r="C2645" s="21" t="s">
        <v>1149</v>
      </c>
      <c r="D2645" s="21" t="s">
        <v>3067</v>
      </c>
      <c r="E2645" s="21" t="s">
        <v>1681</v>
      </c>
      <c r="G2645" s="21" t="s">
        <v>1165</v>
      </c>
      <c r="H2645" s="21" t="s">
        <v>1165</v>
      </c>
      <c r="I2645" s="21" t="s">
        <v>3068</v>
      </c>
      <c r="J2645">
        <v>-34.642222222222202</v>
      </c>
      <c r="K2645">
        <v>116.123611111111</v>
      </c>
      <c r="M2645" s="21" t="s">
        <v>3069</v>
      </c>
      <c r="O2645" s="21">
        <v>2011</v>
      </c>
      <c r="Q2645" s="21" t="s">
        <v>3070</v>
      </c>
      <c r="R2645">
        <v>851.66800000000001</v>
      </c>
      <c r="S2645">
        <v>15</v>
      </c>
      <c r="T2645" s="21">
        <v>15</v>
      </c>
      <c r="U2645" s="21" t="s">
        <v>1147</v>
      </c>
      <c r="V2645" s="9" t="s">
        <v>1201</v>
      </c>
      <c r="W2645">
        <v>28</v>
      </c>
      <c r="X2645" s="9" t="s">
        <v>1291</v>
      </c>
      <c r="Z2645" s="22">
        <v>12</v>
      </c>
      <c r="AD2645" s="22" t="s">
        <v>1165</v>
      </c>
      <c r="AF2645" s="24" t="s">
        <v>153</v>
      </c>
      <c r="AG2645" t="s">
        <v>3079</v>
      </c>
      <c r="AH2645">
        <f>60*24*6</f>
        <v>8640</v>
      </c>
      <c r="AI2645" s="21" t="s">
        <v>153</v>
      </c>
      <c r="AJ2645" s="21" t="s">
        <v>1148</v>
      </c>
      <c r="AK2645" s="21">
        <v>0</v>
      </c>
      <c r="AL2645" s="21" t="s">
        <v>1263</v>
      </c>
      <c r="AM2645">
        <v>0</v>
      </c>
      <c r="AN2645" s="21">
        <v>4</v>
      </c>
      <c r="AO2645" s="21">
        <v>25</v>
      </c>
      <c r="AP2645" s="21">
        <v>6</v>
      </c>
      <c r="AQ2645" s="22" t="s">
        <v>3080</v>
      </c>
      <c r="AR2645" s="21" t="s">
        <v>1155</v>
      </c>
      <c r="AS2645" t="s">
        <v>3081</v>
      </c>
    </row>
    <row r="2646" spans="1:45" x14ac:dyDescent="0.2">
      <c r="A2646" s="21" t="s">
        <v>1682</v>
      </c>
      <c r="B2646" s="21" t="s">
        <v>1146</v>
      </c>
      <c r="C2646" s="21" t="s">
        <v>1149</v>
      </c>
      <c r="D2646" s="21" t="s">
        <v>3067</v>
      </c>
      <c r="E2646" s="21" t="s">
        <v>1681</v>
      </c>
      <c r="G2646" s="21" t="s">
        <v>1165</v>
      </c>
      <c r="H2646" s="21" t="s">
        <v>1165</v>
      </c>
      <c r="I2646" s="21" t="s">
        <v>3068</v>
      </c>
      <c r="J2646">
        <v>-34.642222222222202</v>
      </c>
      <c r="K2646">
        <v>116.123611111111</v>
      </c>
      <c r="M2646" s="21" t="s">
        <v>3069</v>
      </c>
      <c r="O2646" s="21">
        <v>2011</v>
      </c>
      <c r="Q2646" s="21" t="s">
        <v>3070</v>
      </c>
      <c r="R2646">
        <v>851.66800000000001</v>
      </c>
      <c r="S2646">
        <v>15</v>
      </c>
      <c r="T2646" s="21">
        <v>15</v>
      </c>
      <c r="U2646" s="21" t="s">
        <v>1147</v>
      </c>
      <c r="V2646" s="9" t="s">
        <v>1201</v>
      </c>
      <c r="W2646">
        <v>28</v>
      </c>
      <c r="X2646" s="9" t="s">
        <v>1291</v>
      </c>
      <c r="Z2646" s="22">
        <v>12</v>
      </c>
      <c r="AD2646" s="22" t="s">
        <v>1165</v>
      </c>
      <c r="AF2646" s="24" t="s">
        <v>153</v>
      </c>
      <c r="AG2646" t="s">
        <v>3079</v>
      </c>
      <c r="AH2646">
        <f>60*24*7</f>
        <v>10080</v>
      </c>
      <c r="AI2646" s="21" t="s">
        <v>153</v>
      </c>
      <c r="AJ2646" s="21" t="s">
        <v>1148</v>
      </c>
      <c r="AK2646" s="21">
        <v>0</v>
      </c>
      <c r="AL2646" s="21" t="s">
        <v>1263</v>
      </c>
      <c r="AM2646">
        <v>0</v>
      </c>
      <c r="AN2646" s="21">
        <v>4</v>
      </c>
      <c r="AO2646" s="21">
        <v>25</v>
      </c>
      <c r="AP2646" s="21">
        <v>7</v>
      </c>
      <c r="AQ2646" s="22" t="s">
        <v>3080</v>
      </c>
      <c r="AR2646" s="21" t="s">
        <v>1155</v>
      </c>
      <c r="AS2646" t="s">
        <v>3081</v>
      </c>
    </row>
    <row r="2647" spans="1:45" ht="15" customHeight="1" x14ac:dyDescent="0.2">
      <c r="A2647" s="21" t="s">
        <v>1682</v>
      </c>
      <c r="B2647" s="21" t="s">
        <v>1146</v>
      </c>
      <c r="C2647" s="21" t="s">
        <v>1149</v>
      </c>
      <c r="D2647" s="21" t="s">
        <v>3067</v>
      </c>
      <c r="E2647" s="21" t="s">
        <v>1681</v>
      </c>
      <c r="G2647" s="21" t="s">
        <v>1165</v>
      </c>
      <c r="H2647" s="21" t="s">
        <v>1165</v>
      </c>
      <c r="I2647" s="21" t="s">
        <v>3068</v>
      </c>
      <c r="J2647">
        <v>-34.642222222222202</v>
      </c>
      <c r="K2647">
        <v>116.123611111111</v>
      </c>
      <c r="M2647" s="21" t="s">
        <v>3069</v>
      </c>
      <c r="O2647" s="21">
        <v>2011</v>
      </c>
      <c r="Q2647" s="21" t="s">
        <v>3070</v>
      </c>
      <c r="R2647">
        <v>851.66800000000001</v>
      </c>
      <c r="S2647">
        <v>15</v>
      </c>
      <c r="T2647" s="21">
        <v>15</v>
      </c>
      <c r="U2647" s="21" t="s">
        <v>1147</v>
      </c>
      <c r="V2647" s="9" t="s">
        <v>1201</v>
      </c>
      <c r="W2647">
        <v>28</v>
      </c>
      <c r="X2647" s="9" t="s">
        <v>1291</v>
      </c>
      <c r="Z2647" s="22">
        <v>12</v>
      </c>
      <c r="AD2647" s="22" t="s">
        <v>1165</v>
      </c>
      <c r="AF2647" s="24" t="s">
        <v>153</v>
      </c>
      <c r="AG2647" t="s">
        <v>3079</v>
      </c>
      <c r="AH2647">
        <f>60*24*8</f>
        <v>11520</v>
      </c>
      <c r="AI2647" s="21" t="s">
        <v>153</v>
      </c>
      <c r="AJ2647" s="21" t="s">
        <v>1148</v>
      </c>
      <c r="AK2647" s="21">
        <v>0</v>
      </c>
      <c r="AL2647" s="21" t="s">
        <v>1263</v>
      </c>
      <c r="AM2647">
        <v>0</v>
      </c>
      <c r="AN2647" s="21">
        <v>4</v>
      </c>
      <c r="AO2647" s="21">
        <v>25</v>
      </c>
      <c r="AP2647" s="21">
        <v>8</v>
      </c>
      <c r="AQ2647" s="22" t="s">
        <v>3080</v>
      </c>
      <c r="AR2647" s="21" t="s">
        <v>1155</v>
      </c>
      <c r="AS2647" t="s">
        <v>3081</v>
      </c>
    </row>
    <row r="2648" spans="1:45" ht="15" customHeight="1" x14ac:dyDescent="0.2">
      <c r="A2648" s="21" t="s">
        <v>1682</v>
      </c>
      <c r="B2648" s="21" t="s">
        <v>1146</v>
      </c>
      <c r="C2648" s="21" t="s">
        <v>1149</v>
      </c>
      <c r="D2648" s="21" t="s">
        <v>3067</v>
      </c>
      <c r="E2648" s="21" t="s">
        <v>1681</v>
      </c>
      <c r="G2648" s="21" t="s">
        <v>1165</v>
      </c>
      <c r="H2648" s="21" t="s">
        <v>1165</v>
      </c>
      <c r="I2648" s="21" t="s">
        <v>3068</v>
      </c>
      <c r="J2648">
        <v>-34.642222222222202</v>
      </c>
      <c r="K2648">
        <v>116.123611111111</v>
      </c>
      <c r="M2648" s="21" t="s">
        <v>3069</v>
      </c>
      <c r="O2648" s="21">
        <v>2011</v>
      </c>
      <c r="Q2648" s="21" t="s">
        <v>3070</v>
      </c>
      <c r="R2648">
        <v>851.66800000000001</v>
      </c>
      <c r="S2648">
        <v>15</v>
      </c>
      <c r="T2648" s="21">
        <v>15</v>
      </c>
      <c r="U2648" s="21" t="s">
        <v>1147</v>
      </c>
      <c r="V2648" s="9" t="s">
        <v>1201</v>
      </c>
      <c r="W2648">
        <v>28</v>
      </c>
      <c r="X2648" s="9" t="s">
        <v>1291</v>
      </c>
      <c r="Z2648" s="22">
        <v>12</v>
      </c>
      <c r="AD2648" s="22" t="s">
        <v>1165</v>
      </c>
      <c r="AF2648" s="24" t="s">
        <v>153</v>
      </c>
      <c r="AG2648" t="s">
        <v>3079</v>
      </c>
      <c r="AH2648">
        <f>60*60*9</f>
        <v>32400</v>
      </c>
      <c r="AI2648" s="21" t="s">
        <v>153</v>
      </c>
      <c r="AJ2648" s="21" t="s">
        <v>1148</v>
      </c>
      <c r="AK2648" s="21">
        <v>0</v>
      </c>
      <c r="AL2648" s="21" t="s">
        <v>1263</v>
      </c>
      <c r="AM2648">
        <v>0</v>
      </c>
      <c r="AN2648" s="21">
        <v>4</v>
      </c>
      <c r="AO2648" s="21">
        <v>25</v>
      </c>
      <c r="AP2648" s="21">
        <v>9</v>
      </c>
      <c r="AQ2648" s="22" t="s">
        <v>3080</v>
      </c>
      <c r="AR2648" s="21" t="s">
        <v>1155</v>
      </c>
      <c r="AS2648" t="s">
        <v>3081</v>
      </c>
    </row>
    <row r="2649" spans="1:45" ht="15" customHeight="1" x14ac:dyDescent="0.2">
      <c r="A2649" s="21" t="s">
        <v>1682</v>
      </c>
      <c r="B2649" s="21" t="s">
        <v>1146</v>
      </c>
      <c r="C2649" s="21" t="s">
        <v>1149</v>
      </c>
      <c r="D2649" s="21" t="s">
        <v>3067</v>
      </c>
      <c r="E2649" s="21" t="s">
        <v>1681</v>
      </c>
      <c r="G2649" s="21" t="s">
        <v>1165</v>
      </c>
      <c r="H2649" s="21" t="s">
        <v>1165</v>
      </c>
      <c r="I2649" s="21" t="s">
        <v>3068</v>
      </c>
      <c r="J2649">
        <v>-34.642222222222202</v>
      </c>
      <c r="K2649">
        <v>116.123611111111</v>
      </c>
      <c r="M2649" s="21" t="s">
        <v>3069</v>
      </c>
      <c r="O2649" s="21">
        <v>2011</v>
      </c>
      <c r="Q2649" s="21" t="s">
        <v>3070</v>
      </c>
      <c r="R2649">
        <v>851.66800000000001</v>
      </c>
      <c r="S2649">
        <v>15</v>
      </c>
      <c r="T2649" s="21">
        <v>15</v>
      </c>
      <c r="U2649" s="21" t="s">
        <v>1147</v>
      </c>
      <c r="V2649" s="9" t="s">
        <v>1201</v>
      </c>
      <c r="W2649">
        <v>28</v>
      </c>
      <c r="X2649" s="9" t="s">
        <v>1291</v>
      </c>
      <c r="Z2649" s="22">
        <v>12</v>
      </c>
      <c r="AD2649" s="22" t="s">
        <v>1165</v>
      </c>
      <c r="AF2649" s="24" t="s">
        <v>153</v>
      </c>
      <c r="AG2649" t="s">
        <v>3079</v>
      </c>
      <c r="AH2649">
        <f>60*24*10</f>
        <v>14400</v>
      </c>
      <c r="AI2649" s="21" t="s">
        <v>153</v>
      </c>
      <c r="AJ2649" s="21" t="s">
        <v>1148</v>
      </c>
      <c r="AK2649" s="21">
        <v>0</v>
      </c>
      <c r="AL2649" s="21" t="s">
        <v>1263</v>
      </c>
      <c r="AM2649">
        <v>0</v>
      </c>
      <c r="AN2649" s="21">
        <v>4</v>
      </c>
      <c r="AO2649" s="21">
        <v>25</v>
      </c>
      <c r="AP2649" s="21">
        <v>10</v>
      </c>
      <c r="AQ2649" s="22" t="s">
        <v>3080</v>
      </c>
      <c r="AR2649" s="21" t="s">
        <v>1155</v>
      </c>
      <c r="AS2649" t="s">
        <v>3081</v>
      </c>
    </row>
    <row r="2650" spans="1:45" ht="15" customHeight="1" x14ac:dyDescent="0.2">
      <c r="A2650" s="21" t="s">
        <v>1682</v>
      </c>
      <c r="B2650" s="21" t="s">
        <v>1146</v>
      </c>
      <c r="C2650" s="21" t="s">
        <v>1149</v>
      </c>
      <c r="D2650" s="21" t="s">
        <v>3067</v>
      </c>
      <c r="E2650" s="21" t="s">
        <v>1681</v>
      </c>
      <c r="G2650" s="21" t="s">
        <v>1165</v>
      </c>
      <c r="H2650" s="21" t="s">
        <v>1165</v>
      </c>
      <c r="I2650" s="21" t="s">
        <v>3068</v>
      </c>
      <c r="J2650">
        <v>-34.642222222222202</v>
      </c>
      <c r="K2650">
        <v>116.123611111111</v>
      </c>
      <c r="M2650" s="21" t="s">
        <v>3069</v>
      </c>
      <c r="O2650" s="21">
        <v>2011</v>
      </c>
      <c r="Q2650" s="21" t="s">
        <v>3070</v>
      </c>
      <c r="R2650">
        <v>851.66800000000001</v>
      </c>
      <c r="S2650">
        <v>15</v>
      </c>
      <c r="T2650" s="21">
        <v>15</v>
      </c>
      <c r="U2650" s="21" t="s">
        <v>1147</v>
      </c>
      <c r="V2650" s="9" t="s">
        <v>1201</v>
      </c>
      <c r="W2650">
        <v>28</v>
      </c>
      <c r="X2650" s="9" t="s">
        <v>1291</v>
      </c>
      <c r="Z2650" s="22">
        <v>12</v>
      </c>
      <c r="AD2650" s="22" t="s">
        <v>1165</v>
      </c>
      <c r="AF2650" s="24" t="s">
        <v>153</v>
      </c>
      <c r="AG2650" t="s">
        <v>3079</v>
      </c>
      <c r="AH2650">
        <f>60*24*11</f>
        <v>15840</v>
      </c>
      <c r="AI2650" s="21" t="s">
        <v>153</v>
      </c>
      <c r="AJ2650" s="21" t="s">
        <v>1148</v>
      </c>
      <c r="AK2650" s="21">
        <v>0</v>
      </c>
      <c r="AL2650" s="21" t="s">
        <v>1263</v>
      </c>
      <c r="AM2650">
        <v>0</v>
      </c>
      <c r="AN2650" s="21">
        <v>4</v>
      </c>
      <c r="AO2650" s="21">
        <v>25</v>
      </c>
      <c r="AP2650" s="21">
        <v>11</v>
      </c>
      <c r="AQ2650" s="22" t="s">
        <v>3080</v>
      </c>
      <c r="AR2650" s="21" t="s">
        <v>1155</v>
      </c>
      <c r="AS2650" t="s">
        <v>3081</v>
      </c>
    </row>
    <row r="2651" spans="1:45" ht="15" customHeight="1" x14ac:dyDescent="0.2">
      <c r="A2651" s="21" t="s">
        <v>1682</v>
      </c>
      <c r="B2651" s="21" t="s">
        <v>1146</v>
      </c>
      <c r="C2651" s="21" t="s">
        <v>1149</v>
      </c>
      <c r="D2651" s="21" t="s">
        <v>3067</v>
      </c>
      <c r="E2651" s="21" t="s">
        <v>1681</v>
      </c>
      <c r="G2651" s="21" t="s">
        <v>1165</v>
      </c>
      <c r="H2651" s="21" t="s">
        <v>1165</v>
      </c>
      <c r="I2651" s="21" t="s">
        <v>3068</v>
      </c>
      <c r="J2651">
        <v>-34.642222222222202</v>
      </c>
      <c r="K2651">
        <v>116.123611111111</v>
      </c>
      <c r="M2651" s="21" t="s">
        <v>3069</v>
      </c>
      <c r="O2651" s="21">
        <v>2011</v>
      </c>
      <c r="Q2651" s="21" t="s">
        <v>3070</v>
      </c>
      <c r="R2651">
        <v>851.66800000000001</v>
      </c>
      <c r="S2651">
        <v>15</v>
      </c>
      <c r="T2651" s="21">
        <v>15</v>
      </c>
      <c r="U2651" s="21" t="s">
        <v>1147</v>
      </c>
      <c r="V2651" s="9" t="s">
        <v>1201</v>
      </c>
      <c r="W2651">
        <v>28</v>
      </c>
      <c r="X2651" s="9" t="s">
        <v>1291</v>
      </c>
      <c r="Z2651" s="22">
        <v>12</v>
      </c>
      <c r="AD2651" s="22" t="s">
        <v>1165</v>
      </c>
      <c r="AF2651" s="24" t="s">
        <v>153</v>
      </c>
      <c r="AG2651" t="s">
        <v>3079</v>
      </c>
      <c r="AH2651">
        <f>60*24*12</f>
        <v>17280</v>
      </c>
      <c r="AI2651" s="21" t="s">
        <v>153</v>
      </c>
      <c r="AJ2651" s="21" t="s">
        <v>1148</v>
      </c>
      <c r="AK2651" s="21">
        <v>0</v>
      </c>
      <c r="AL2651" s="21" t="s">
        <v>1263</v>
      </c>
      <c r="AM2651">
        <v>0</v>
      </c>
      <c r="AN2651" s="21">
        <v>4</v>
      </c>
      <c r="AO2651" s="21">
        <v>25</v>
      </c>
      <c r="AP2651" s="21">
        <v>12</v>
      </c>
      <c r="AQ2651" s="22" t="s">
        <v>3080</v>
      </c>
      <c r="AR2651" s="21" t="s">
        <v>1155</v>
      </c>
      <c r="AS2651" t="s">
        <v>3081</v>
      </c>
    </row>
    <row r="2652" spans="1:45" ht="15" customHeight="1" x14ac:dyDescent="0.2">
      <c r="A2652" s="21" t="s">
        <v>1682</v>
      </c>
      <c r="B2652" s="21" t="s">
        <v>1146</v>
      </c>
      <c r="C2652" s="21" t="s">
        <v>1149</v>
      </c>
      <c r="D2652" s="21" t="s">
        <v>3067</v>
      </c>
      <c r="E2652" s="21" t="s">
        <v>1681</v>
      </c>
      <c r="G2652" s="21" t="s">
        <v>1165</v>
      </c>
      <c r="H2652" s="21" t="s">
        <v>1165</v>
      </c>
      <c r="I2652" s="21" t="s">
        <v>3068</v>
      </c>
      <c r="J2652">
        <v>-34.642222222222202</v>
      </c>
      <c r="K2652">
        <v>116.123611111111</v>
      </c>
      <c r="M2652" s="21" t="s">
        <v>3069</v>
      </c>
      <c r="O2652" s="21">
        <v>2011</v>
      </c>
      <c r="Q2652" s="21" t="s">
        <v>3070</v>
      </c>
      <c r="R2652">
        <v>851.66800000000001</v>
      </c>
      <c r="S2652">
        <v>15</v>
      </c>
      <c r="T2652" s="21">
        <v>15</v>
      </c>
      <c r="U2652" s="21" t="s">
        <v>1147</v>
      </c>
      <c r="V2652" s="9" t="s">
        <v>1201</v>
      </c>
      <c r="W2652">
        <v>28</v>
      </c>
      <c r="X2652" s="9" t="s">
        <v>1291</v>
      </c>
      <c r="Z2652" s="22">
        <v>12</v>
      </c>
      <c r="AD2652" s="22" t="s">
        <v>1165</v>
      </c>
      <c r="AF2652" s="24" t="s">
        <v>153</v>
      </c>
      <c r="AG2652" t="s">
        <v>3079</v>
      </c>
      <c r="AH2652">
        <f>60*24*13</f>
        <v>18720</v>
      </c>
      <c r="AI2652" s="21" t="s">
        <v>153</v>
      </c>
      <c r="AJ2652" s="21" t="s">
        <v>1148</v>
      </c>
      <c r="AK2652" s="21">
        <v>0</v>
      </c>
      <c r="AL2652" s="21" t="s">
        <v>1263</v>
      </c>
      <c r="AM2652">
        <v>0</v>
      </c>
      <c r="AN2652" s="21">
        <v>4</v>
      </c>
      <c r="AO2652" s="21">
        <v>25</v>
      </c>
      <c r="AP2652" s="21">
        <v>13</v>
      </c>
      <c r="AQ2652" s="22" t="s">
        <v>3080</v>
      </c>
      <c r="AR2652" s="21" t="s">
        <v>1155</v>
      </c>
      <c r="AS2652" t="s">
        <v>3081</v>
      </c>
    </row>
    <row r="2653" spans="1:45" ht="15" customHeight="1" x14ac:dyDescent="0.2">
      <c r="A2653" s="21" t="s">
        <v>1682</v>
      </c>
      <c r="B2653" s="21" t="s">
        <v>1146</v>
      </c>
      <c r="C2653" s="21" t="s">
        <v>1149</v>
      </c>
      <c r="D2653" s="21" t="s">
        <v>3067</v>
      </c>
      <c r="E2653" s="21" t="s">
        <v>1681</v>
      </c>
      <c r="G2653" s="21" t="s">
        <v>1165</v>
      </c>
      <c r="H2653" s="21" t="s">
        <v>1165</v>
      </c>
      <c r="I2653" s="21" t="s">
        <v>3068</v>
      </c>
      <c r="J2653">
        <v>-34.642222222222202</v>
      </c>
      <c r="K2653">
        <v>116.123611111111</v>
      </c>
      <c r="M2653" s="21" t="s">
        <v>3069</v>
      </c>
      <c r="O2653" s="21">
        <v>2011</v>
      </c>
      <c r="Q2653" s="21" t="s">
        <v>3070</v>
      </c>
      <c r="R2653">
        <v>851.66800000000001</v>
      </c>
      <c r="S2653">
        <v>15</v>
      </c>
      <c r="T2653" s="21">
        <v>15</v>
      </c>
      <c r="U2653" s="21" t="s">
        <v>1147</v>
      </c>
      <c r="V2653" s="9" t="s">
        <v>1201</v>
      </c>
      <c r="W2653">
        <v>28</v>
      </c>
      <c r="X2653" s="9" t="s">
        <v>1291</v>
      </c>
      <c r="Z2653" s="22">
        <v>12</v>
      </c>
      <c r="AD2653" s="22" t="s">
        <v>1165</v>
      </c>
      <c r="AF2653" s="24" t="s">
        <v>153</v>
      </c>
      <c r="AG2653" t="s">
        <v>3079</v>
      </c>
      <c r="AH2653">
        <f>60*24*14</f>
        <v>20160</v>
      </c>
      <c r="AI2653" s="21" t="s">
        <v>153</v>
      </c>
      <c r="AJ2653" s="21" t="s">
        <v>1148</v>
      </c>
      <c r="AK2653" s="21">
        <v>0</v>
      </c>
      <c r="AL2653" s="21" t="s">
        <v>1263</v>
      </c>
      <c r="AM2653">
        <v>0</v>
      </c>
      <c r="AN2653" s="21">
        <v>4</v>
      </c>
      <c r="AO2653" s="21">
        <v>25</v>
      </c>
      <c r="AP2653" s="21">
        <v>14</v>
      </c>
      <c r="AQ2653" s="22" t="s">
        <v>3080</v>
      </c>
      <c r="AR2653" s="21" t="s">
        <v>1155</v>
      </c>
      <c r="AS2653" t="s">
        <v>3081</v>
      </c>
    </row>
    <row r="2654" spans="1:45" ht="15" customHeight="1" x14ac:dyDescent="0.2">
      <c r="A2654" s="21" t="s">
        <v>1682</v>
      </c>
      <c r="B2654" s="21" t="s">
        <v>1146</v>
      </c>
      <c r="C2654" s="21" t="s">
        <v>1149</v>
      </c>
      <c r="D2654" s="21" t="s">
        <v>3067</v>
      </c>
      <c r="E2654" s="21" t="s">
        <v>1681</v>
      </c>
      <c r="G2654" s="21" t="s">
        <v>1165</v>
      </c>
      <c r="H2654" s="21" t="s">
        <v>1165</v>
      </c>
      <c r="I2654" s="21" t="s">
        <v>3068</v>
      </c>
      <c r="J2654">
        <v>-34.642222222222202</v>
      </c>
      <c r="K2654">
        <v>116.123611111111</v>
      </c>
      <c r="M2654" s="21" t="s">
        <v>3069</v>
      </c>
      <c r="O2654" s="21">
        <v>2011</v>
      </c>
      <c r="Q2654" s="21" t="s">
        <v>3070</v>
      </c>
      <c r="R2654">
        <v>851.66800000000001</v>
      </c>
      <c r="S2654">
        <v>15</v>
      </c>
      <c r="T2654" s="21">
        <v>15</v>
      </c>
      <c r="U2654" s="21" t="s">
        <v>1147</v>
      </c>
      <c r="V2654" s="9" t="s">
        <v>1201</v>
      </c>
      <c r="W2654">
        <v>28</v>
      </c>
      <c r="X2654" s="9" t="s">
        <v>1291</v>
      </c>
      <c r="Z2654" s="22">
        <v>12</v>
      </c>
      <c r="AD2654" s="22" t="s">
        <v>1165</v>
      </c>
      <c r="AF2654" s="24" t="s">
        <v>153</v>
      </c>
      <c r="AG2654" t="s">
        <v>3079</v>
      </c>
      <c r="AH2654">
        <f>60*24*15</f>
        <v>21600</v>
      </c>
      <c r="AI2654" s="21" t="s">
        <v>153</v>
      </c>
      <c r="AJ2654" s="21" t="s">
        <v>1148</v>
      </c>
      <c r="AK2654" s="21">
        <v>0</v>
      </c>
      <c r="AL2654" s="21" t="s">
        <v>1263</v>
      </c>
      <c r="AM2654">
        <v>0</v>
      </c>
      <c r="AN2654" s="21">
        <v>4</v>
      </c>
      <c r="AO2654" s="21">
        <v>25</v>
      </c>
      <c r="AP2654" s="21">
        <v>15</v>
      </c>
      <c r="AQ2654" s="22" t="s">
        <v>3080</v>
      </c>
      <c r="AR2654" s="21" t="s">
        <v>1155</v>
      </c>
      <c r="AS2654" t="s">
        <v>3081</v>
      </c>
    </row>
    <row r="2655" spans="1:45" ht="15" customHeight="1" x14ac:dyDescent="0.2">
      <c r="A2655" s="21" t="s">
        <v>1682</v>
      </c>
      <c r="B2655" s="21" t="s">
        <v>1146</v>
      </c>
      <c r="C2655" s="21" t="s">
        <v>1149</v>
      </c>
      <c r="D2655" s="21" t="s">
        <v>3067</v>
      </c>
      <c r="E2655" s="21" t="s">
        <v>1681</v>
      </c>
      <c r="G2655" s="21" t="s">
        <v>1165</v>
      </c>
      <c r="H2655" s="21" t="s">
        <v>1165</v>
      </c>
      <c r="I2655" s="21" t="s">
        <v>3068</v>
      </c>
      <c r="J2655">
        <v>-34.642222222222202</v>
      </c>
      <c r="K2655">
        <v>116.123611111111</v>
      </c>
      <c r="M2655" s="21" t="s">
        <v>3069</v>
      </c>
      <c r="O2655" s="21">
        <v>2011</v>
      </c>
      <c r="Q2655" s="21" t="s">
        <v>3070</v>
      </c>
      <c r="R2655">
        <v>851.66800000000001</v>
      </c>
      <c r="S2655">
        <v>15</v>
      </c>
      <c r="T2655" s="21">
        <v>15</v>
      </c>
      <c r="U2655" s="21" t="s">
        <v>1147</v>
      </c>
      <c r="V2655" s="9" t="s">
        <v>1201</v>
      </c>
      <c r="W2655">
        <v>28</v>
      </c>
      <c r="X2655" s="9" t="s">
        <v>1291</v>
      </c>
      <c r="Z2655" s="22">
        <v>12</v>
      </c>
      <c r="AD2655" s="22" t="s">
        <v>1165</v>
      </c>
      <c r="AF2655" s="24" t="s">
        <v>153</v>
      </c>
      <c r="AG2655" t="s">
        <v>3079</v>
      </c>
      <c r="AH2655">
        <f>60*24*16</f>
        <v>23040</v>
      </c>
      <c r="AI2655" s="21" t="s">
        <v>153</v>
      </c>
      <c r="AJ2655" s="21" t="s">
        <v>1148</v>
      </c>
      <c r="AK2655" s="21">
        <v>0</v>
      </c>
      <c r="AL2655" s="21" t="s">
        <v>1263</v>
      </c>
      <c r="AM2655">
        <v>0</v>
      </c>
      <c r="AN2655" s="21">
        <v>4</v>
      </c>
      <c r="AO2655" s="21">
        <v>25</v>
      </c>
      <c r="AP2655" s="21">
        <v>16</v>
      </c>
      <c r="AQ2655" s="22" t="s">
        <v>3080</v>
      </c>
      <c r="AR2655" s="21" t="s">
        <v>1155</v>
      </c>
      <c r="AS2655" t="s">
        <v>3081</v>
      </c>
    </row>
    <row r="2656" spans="1:45" ht="15" customHeight="1" x14ac:dyDescent="0.2">
      <c r="A2656" s="21" t="s">
        <v>1682</v>
      </c>
      <c r="B2656" s="21" t="s">
        <v>1146</v>
      </c>
      <c r="C2656" s="21" t="s">
        <v>1149</v>
      </c>
      <c r="D2656" s="21" t="s">
        <v>3067</v>
      </c>
      <c r="E2656" s="21" t="s">
        <v>1681</v>
      </c>
      <c r="G2656" s="21" t="s">
        <v>1165</v>
      </c>
      <c r="H2656" s="21" t="s">
        <v>1165</v>
      </c>
      <c r="I2656" s="21" t="s">
        <v>3068</v>
      </c>
      <c r="J2656">
        <v>-34.642222222222202</v>
      </c>
      <c r="K2656">
        <v>116.123611111111</v>
      </c>
      <c r="M2656" s="21" t="s">
        <v>3069</v>
      </c>
      <c r="O2656" s="21">
        <v>2011</v>
      </c>
      <c r="Q2656" s="21" t="s">
        <v>3070</v>
      </c>
      <c r="R2656">
        <v>851.66800000000001</v>
      </c>
      <c r="S2656">
        <v>15</v>
      </c>
      <c r="T2656" s="21">
        <v>15</v>
      </c>
      <c r="U2656" s="21" t="s">
        <v>1147</v>
      </c>
      <c r="V2656" s="9" t="s">
        <v>1201</v>
      </c>
      <c r="W2656">
        <v>28</v>
      </c>
      <c r="X2656" s="9" t="s">
        <v>1291</v>
      </c>
      <c r="Z2656" s="22">
        <v>12</v>
      </c>
      <c r="AD2656" s="22" t="s">
        <v>1165</v>
      </c>
      <c r="AF2656" s="24" t="s">
        <v>153</v>
      </c>
      <c r="AG2656" t="s">
        <v>3079</v>
      </c>
      <c r="AH2656">
        <f>60*24*17</f>
        <v>24480</v>
      </c>
      <c r="AI2656" s="21" t="s">
        <v>153</v>
      </c>
      <c r="AJ2656" s="21" t="s">
        <v>1148</v>
      </c>
      <c r="AK2656" s="21">
        <v>0</v>
      </c>
      <c r="AL2656" s="21" t="s">
        <v>1263</v>
      </c>
      <c r="AM2656">
        <v>0</v>
      </c>
      <c r="AN2656" s="21">
        <v>4</v>
      </c>
      <c r="AO2656" s="21">
        <v>25</v>
      </c>
      <c r="AP2656" s="21">
        <v>17</v>
      </c>
      <c r="AQ2656" s="22" t="s">
        <v>3080</v>
      </c>
      <c r="AR2656" s="21" t="s">
        <v>1155</v>
      </c>
      <c r="AS2656" t="s">
        <v>3081</v>
      </c>
    </row>
    <row r="2657" spans="1:45" ht="15" customHeight="1" x14ac:dyDescent="0.2">
      <c r="A2657" s="21" t="s">
        <v>1682</v>
      </c>
      <c r="B2657" s="21" t="s">
        <v>1146</v>
      </c>
      <c r="C2657" s="21" t="s">
        <v>1149</v>
      </c>
      <c r="D2657" s="21" t="s">
        <v>3067</v>
      </c>
      <c r="E2657" s="21" t="s">
        <v>1681</v>
      </c>
      <c r="G2657" s="21" t="s">
        <v>1165</v>
      </c>
      <c r="H2657" s="21" t="s">
        <v>1165</v>
      </c>
      <c r="I2657" s="21" t="s">
        <v>3068</v>
      </c>
      <c r="J2657">
        <v>-34.642222222222202</v>
      </c>
      <c r="K2657">
        <v>116.123611111111</v>
      </c>
      <c r="M2657" s="21" t="s">
        <v>3069</v>
      </c>
      <c r="O2657" s="21">
        <v>2011</v>
      </c>
      <c r="Q2657" s="21" t="s">
        <v>3070</v>
      </c>
      <c r="R2657">
        <v>851.66800000000001</v>
      </c>
      <c r="S2657">
        <v>15</v>
      </c>
      <c r="T2657" s="21">
        <v>15</v>
      </c>
      <c r="U2657" s="21" t="s">
        <v>1147</v>
      </c>
      <c r="V2657" s="9" t="s">
        <v>1201</v>
      </c>
      <c r="W2657">
        <v>28</v>
      </c>
      <c r="X2657" s="9" t="s">
        <v>1291</v>
      </c>
      <c r="Z2657" s="22">
        <v>12</v>
      </c>
      <c r="AD2657" s="22" t="s">
        <v>1165</v>
      </c>
      <c r="AF2657" s="24" t="s">
        <v>153</v>
      </c>
      <c r="AG2657" t="s">
        <v>3079</v>
      </c>
      <c r="AH2657">
        <f>60*24*18</f>
        <v>25920</v>
      </c>
      <c r="AI2657" s="21" t="s">
        <v>153</v>
      </c>
      <c r="AJ2657" s="21" t="s">
        <v>1148</v>
      </c>
      <c r="AK2657" s="21">
        <v>6.6520000000000001</v>
      </c>
      <c r="AL2657" s="21" t="s">
        <v>1263</v>
      </c>
      <c r="AM2657">
        <f>10.478-3</f>
        <v>7.4779999999999998</v>
      </c>
      <c r="AN2657" s="21">
        <v>4</v>
      </c>
      <c r="AO2657" s="21">
        <v>25</v>
      </c>
      <c r="AP2657" s="21">
        <v>18</v>
      </c>
      <c r="AQ2657" s="22" t="s">
        <v>3080</v>
      </c>
      <c r="AR2657" s="21" t="s">
        <v>1155</v>
      </c>
      <c r="AS2657" t="s">
        <v>3081</v>
      </c>
    </row>
    <row r="2658" spans="1:45" ht="15" customHeight="1" x14ac:dyDescent="0.2">
      <c r="A2658" s="21" t="s">
        <v>1682</v>
      </c>
      <c r="B2658" s="21" t="s">
        <v>1146</v>
      </c>
      <c r="C2658" s="21" t="s">
        <v>1149</v>
      </c>
      <c r="D2658" s="21" t="s">
        <v>3067</v>
      </c>
      <c r="E2658" s="21" t="s">
        <v>1681</v>
      </c>
      <c r="G2658" s="21" t="s">
        <v>1165</v>
      </c>
      <c r="H2658" s="21" t="s">
        <v>1165</v>
      </c>
      <c r="I2658" s="21" t="s">
        <v>3068</v>
      </c>
      <c r="J2658">
        <v>-34.642222222222202</v>
      </c>
      <c r="K2658">
        <v>116.123611111111</v>
      </c>
      <c r="M2658" s="21" t="s">
        <v>3069</v>
      </c>
      <c r="O2658" s="21">
        <v>2011</v>
      </c>
      <c r="Q2658" s="21" t="s">
        <v>3070</v>
      </c>
      <c r="R2658">
        <v>851.66800000000001</v>
      </c>
      <c r="S2658">
        <v>15</v>
      </c>
      <c r="T2658" s="21">
        <v>15</v>
      </c>
      <c r="U2658" s="21" t="s">
        <v>1147</v>
      </c>
      <c r="V2658" s="9" t="s">
        <v>1201</v>
      </c>
      <c r="W2658">
        <v>28</v>
      </c>
      <c r="X2658" s="9" t="s">
        <v>1291</v>
      </c>
      <c r="Z2658" s="22">
        <v>12</v>
      </c>
      <c r="AD2658" s="22" t="s">
        <v>1165</v>
      </c>
      <c r="AF2658" s="24" t="s">
        <v>153</v>
      </c>
      <c r="AG2658" t="s">
        <v>3079</v>
      </c>
      <c r="AH2658">
        <f>60*24*19</f>
        <v>27360</v>
      </c>
      <c r="AI2658" s="21" t="s">
        <v>153</v>
      </c>
      <c r="AJ2658" s="21" t="s">
        <v>1148</v>
      </c>
      <c r="AK2658" s="21">
        <v>12.522</v>
      </c>
      <c r="AL2658" s="21" t="s">
        <v>1263</v>
      </c>
      <c r="AM2658">
        <f>15.348-9.609</f>
        <v>5.7390000000000008</v>
      </c>
      <c r="AN2658" s="21">
        <v>4</v>
      </c>
      <c r="AO2658" s="21">
        <v>25</v>
      </c>
      <c r="AP2658" s="21">
        <v>19</v>
      </c>
      <c r="AQ2658" s="22" t="s">
        <v>3080</v>
      </c>
      <c r="AR2658" s="21" t="s">
        <v>1155</v>
      </c>
      <c r="AS2658" t="s">
        <v>3081</v>
      </c>
    </row>
    <row r="2659" spans="1:45" ht="15" customHeight="1" x14ac:dyDescent="0.2">
      <c r="A2659" s="21" t="s">
        <v>1682</v>
      </c>
      <c r="B2659" s="21" t="s">
        <v>1146</v>
      </c>
      <c r="C2659" s="21" t="s">
        <v>1149</v>
      </c>
      <c r="D2659" s="21" t="s">
        <v>3067</v>
      </c>
      <c r="E2659" s="21" t="s">
        <v>1681</v>
      </c>
      <c r="G2659" s="21" t="s">
        <v>1165</v>
      </c>
      <c r="H2659" s="21" t="s">
        <v>1165</v>
      </c>
      <c r="I2659" s="21" t="s">
        <v>3068</v>
      </c>
      <c r="J2659">
        <v>-34.642222222222202</v>
      </c>
      <c r="K2659">
        <v>116.123611111111</v>
      </c>
      <c r="M2659" s="21" t="s">
        <v>3069</v>
      </c>
      <c r="O2659" s="21">
        <v>2011</v>
      </c>
      <c r="Q2659" s="21" t="s">
        <v>3070</v>
      </c>
      <c r="R2659">
        <v>851.66800000000001</v>
      </c>
      <c r="S2659">
        <v>15</v>
      </c>
      <c r="T2659" s="21">
        <v>15</v>
      </c>
      <c r="U2659" s="21" t="s">
        <v>1147</v>
      </c>
      <c r="V2659" s="9" t="s">
        <v>1201</v>
      </c>
      <c r="W2659">
        <v>28</v>
      </c>
      <c r="X2659" s="9" t="s">
        <v>1291</v>
      </c>
      <c r="Z2659" s="22">
        <v>12</v>
      </c>
      <c r="AD2659" s="22" t="s">
        <v>1165</v>
      </c>
      <c r="AF2659" s="24" t="s">
        <v>153</v>
      </c>
      <c r="AG2659" t="s">
        <v>3079</v>
      </c>
      <c r="AH2659">
        <f>60*24*20</f>
        <v>28800</v>
      </c>
      <c r="AI2659" s="21" t="s">
        <v>153</v>
      </c>
      <c r="AJ2659" s="21" t="s">
        <v>1148</v>
      </c>
      <c r="AK2659" s="21">
        <v>40.738999999999997</v>
      </c>
      <c r="AL2659" s="21" t="s">
        <v>1263</v>
      </c>
      <c r="AM2659">
        <f>47.522-34.13</f>
        <v>13.391999999999996</v>
      </c>
      <c r="AN2659" s="21">
        <v>4</v>
      </c>
      <c r="AO2659" s="21">
        <v>25</v>
      </c>
      <c r="AP2659" s="21">
        <v>20</v>
      </c>
      <c r="AQ2659" s="22" t="s">
        <v>3080</v>
      </c>
      <c r="AR2659" s="21" t="s">
        <v>1155</v>
      </c>
      <c r="AS2659" t="s">
        <v>3081</v>
      </c>
    </row>
    <row r="2660" spans="1:45" ht="15" customHeight="1" x14ac:dyDescent="0.2">
      <c r="A2660" s="21" t="s">
        <v>1682</v>
      </c>
      <c r="B2660" s="21" t="s">
        <v>1146</v>
      </c>
      <c r="C2660" s="21" t="s">
        <v>1149</v>
      </c>
      <c r="D2660" s="21" t="s">
        <v>3067</v>
      </c>
      <c r="E2660" s="21" t="s">
        <v>1681</v>
      </c>
      <c r="G2660" s="21" t="s">
        <v>1165</v>
      </c>
      <c r="H2660" s="21" t="s">
        <v>1165</v>
      </c>
      <c r="I2660" s="21" t="s">
        <v>3068</v>
      </c>
      <c r="J2660">
        <v>-34.642222222222202</v>
      </c>
      <c r="K2660">
        <v>116.123611111111</v>
      </c>
      <c r="M2660" s="21" t="s">
        <v>3069</v>
      </c>
      <c r="O2660" s="21">
        <v>2011</v>
      </c>
      <c r="Q2660" s="21" t="s">
        <v>3070</v>
      </c>
      <c r="R2660">
        <v>851.66800000000001</v>
      </c>
      <c r="S2660">
        <v>15</v>
      </c>
      <c r="T2660" s="21">
        <v>15</v>
      </c>
      <c r="U2660" s="21" t="s">
        <v>1147</v>
      </c>
      <c r="V2660" s="9" t="s">
        <v>1201</v>
      </c>
      <c r="W2660">
        <v>28</v>
      </c>
      <c r="X2660" s="9" t="s">
        <v>1291</v>
      </c>
      <c r="Z2660" s="22">
        <v>12</v>
      </c>
      <c r="AD2660" s="22" t="s">
        <v>1165</v>
      </c>
      <c r="AF2660" s="24" t="s">
        <v>153</v>
      </c>
      <c r="AG2660" t="s">
        <v>3079</v>
      </c>
      <c r="AH2660">
        <f>60*24*21</f>
        <v>30240</v>
      </c>
      <c r="AI2660" s="21" t="s">
        <v>153</v>
      </c>
      <c r="AJ2660" s="21" t="s">
        <v>1148</v>
      </c>
      <c r="AK2660" s="21">
        <v>43.695999999999998</v>
      </c>
      <c r="AL2660" s="21" t="s">
        <v>1263</v>
      </c>
      <c r="AM2660">
        <f>51.174-36.217</f>
        <v>14.957000000000001</v>
      </c>
      <c r="AN2660" s="21">
        <v>4</v>
      </c>
      <c r="AO2660" s="21">
        <v>25</v>
      </c>
      <c r="AP2660" s="21">
        <v>21</v>
      </c>
      <c r="AQ2660" s="22" t="s">
        <v>3080</v>
      </c>
      <c r="AR2660" s="21" t="s">
        <v>1155</v>
      </c>
      <c r="AS2660" t="s">
        <v>3081</v>
      </c>
    </row>
    <row r="2661" spans="1:45" ht="15" customHeight="1" x14ac:dyDescent="0.2">
      <c r="A2661" s="21" t="s">
        <v>1682</v>
      </c>
      <c r="B2661" s="21" t="s">
        <v>1146</v>
      </c>
      <c r="C2661" s="21" t="s">
        <v>1149</v>
      </c>
      <c r="D2661" s="21" t="s">
        <v>3067</v>
      </c>
      <c r="E2661" s="21" t="s">
        <v>1681</v>
      </c>
      <c r="G2661" s="21" t="s">
        <v>1165</v>
      </c>
      <c r="H2661" s="21" t="s">
        <v>1165</v>
      </c>
      <c r="I2661" s="21" t="s">
        <v>3068</v>
      </c>
      <c r="J2661">
        <v>-34.642222222222202</v>
      </c>
      <c r="K2661">
        <v>116.123611111111</v>
      </c>
      <c r="M2661" s="21" t="s">
        <v>3069</v>
      </c>
      <c r="O2661" s="21">
        <v>2011</v>
      </c>
      <c r="Q2661" s="21" t="s">
        <v>3070</v>
      </c>
      <c r="R2661">
        <v>851.66800000000001</v>
      </c>
      <c r="S2661">
        <v>15</v>
      </c>
      <c r="T2661" s="21">
        <v>15</v>
      </c>
      <c r="U2661" s="21" t="s">
        <v>1147</v>
      </c>
      <c r="V2661" s="9" t="s">
        <v>1201</v>
      </c>
      <c r="W2661">
        <v>28</v>
      </c>
      <c r="X2661" s="9" t="s">
        <v>1291</v>
      </c>
      <c r="Z2661" s="22">
        <v>12</v>
      </c>
      <c r="AD2661" s="22" t="s">
        <v>1165</v>
      </c>
      <c r="AF2661" s="24" t="s">
        <v>153</v>
      </c>
      <c r="AG2661" t="s">
        <v>3079</v>
      </c>
      <c r="AH2661">
        <f>60*24*23</f>
        <v>33120</v>
      </c>
      <c r="AI2661" s="21" t="s">
        <v>153</v>
      </c>
      <c r="AJ2661" s="21" t="s">
        <v>1148</v>
      </c>
      <c r="AK2661" s="21">
        <v>68.87</v>
      </c>
      <c r="AL2661" s="21" t="s">
        <v>1263</v>
      </c>
      <c r="AM2661">
        <f>73.609-64.391</f>
        <v>9.2179999999999893</v>
      </c>
      <c r="AN2661" s="21">
        <v>4</v>
      </c>
      <c r="AO2661" s="21">
        <v>25</v>
      </c>
      <c r="AP2661" s="21">
        <v>23</v>
      </c>
      <c r="AQ2661" s="22" t="s">
        <v>3080</v>
      </c>
      <c r="AR2661" s="21" t="s">
        <v>1155</v>
      </c>
      <c r="AS2661" t="s">
        <v>3081</v>
      </c>
    </row>
    <row r="2662" spans="1:45" ht="15" customHeight="1" x14ac:dyDescent="0.2">
      <c r="A2662" s="21" t="s">
        <v>1682</v>
      </c>
      <c r="B2662" s="21" t="s">
        <v>1146</v>
      </c>
      <c r="C2662" s="21" t="s">
        <v>1149</v>
      </c>
      <c r="D2662" s="21" t="s">
        <v>3067</v>
      </c>
      <c r="E2662" s="21" t="s">
        <v>1681</v>
      </c>
      <c r="G2662" s="21" t="s">
        <v>1165</v>
      </c>
      <c r="H2662" s="21" t="s">
        <v>1165</v>
      </c>
      <c r="I2662" s="21" t="s">
        <v>3068</v>
      </c>
      <c r="J2662">
        <v>-34.642222222222202</v>
      </c>
      <c r="K2662">
        <v>116.123611111111</v>
      </c>
      <c r="M2662" s="21" t="s">
        <v>3069</v>
      </c>
      <c r="O2662" s="21">
        <v>2011</v>
      </c>
      <c r="Q2662" s="21" t="s">
        <v>3070</v>
      </c>
      <c r="R2662">
        <v>851.66800000000001</v>
      </c>
      <c r="S2662">
        <v>15</v>
      </c>
      <c r="T2662" s="21">
        <v>15</v>
      </c>
      <c r="U2662" s="21" t="s">
        <v>1147</v>
      </c>
      <c r="V2662" s="9" t="s">
        <v>1201</v>
      </c>
      <c r="W2662">
        <v>28</v>
      </c>
      <c r="X2662" s="9" t="s">
        <v>1291</v>
      </c>
      <c r="Z2662" s="22">
        <v>12</v>
      </c>
      <c r="AD2662" s="22" t="s">
        <v>1165</v>
      </c>
      <c r="AF2662" s="24" t="s">
        <v>153</v>
      </c>
      <c r="AG2662" t="s">
        <v>3079</v>
      </c>
      <c r="AH2662">
        <f>60*24*25</f>
        <v>36000</v>
      </c>
      <c r="AI2662" s="21" t="s">
        <v>153</v>
      </c>
      <c r="AJ2662" s="21" t="s">
        <v>1148</v>
      </c>
      <c r="AK2662" s="21">
        <v>80.739000000000004</v>
      </c>
      <c r="AL2662" s="21" t="s">
        <v>1263</v>
      </c>
      <c r="AM2662">
        <f>84.043-77.261</f>
        <v>6.7820000000000107</v>
      </c>
      <c r="AN2662" s="21">
        <v>4</v>
      </c>
      <c r="AO2662" s="21">
        <v>25</v>
      </c>
      <c r="AP2662" s="21">
        <v>25</v>
      </c>
      <c r="AQ2662" s="22" t="s">
        <v>3080</v>
      </c>
      <c r="AR2662" s="21" t="s">
        <v>1155</v>
      </c>
      <c r="AS2662" t="s">
        <v>3081</v>
      </c>
    </row>
    <row r="2663" spans="1:45" ht="15" customHeight="1" x14ac:dyDescent="0.2">
      <c r="A2663" s="21" t="s">
        <v>1682</v>
      </c>
      <c r="B2663" s="21" t="s">
        <v>1146</v>
      </c>
      <c r="C2663" s="21" t="s">
        <v>1149</v>
      </c>
      <c r="D2663" s="21" t="s">
        <v>3067</v>
      </c>
      <c r="E2663" s="21" t="s">
        <v>1681</v>
      </c>
      <c r="G2663" s="21" t="s">
        <v>1165</v>
      </c>
      <c r="H2663" s="21" t="s">
        <v>1165</v>
      </c>
      <c r="I2663" s="21" t="s">
        <v>3068</v>
      </c>
      <c r="J2663">
        <v>-34.642222222222202</v>
      </c>
      <c r="K2663">
        <v>116.123611111111</v>
      </c>
      <c r="M2663" s="21" t="s">
        <v>3069</v>
      </c>
      <c r="O2663" s="21">
        <v>2011</v>
      </c>
      <c r="Q2663" s="21" t="s">
        <v>3070</v>
      </c>
      <c r="R2663">
        <v>851.66800000000001</v>
      </c>
      <c r="S2663">
        <v>15</v>
      </c>
      <c r="T2663" s="21">
        <v>15</v>
      </c>
      <c r="U2663" s="21" t="s">
        <v>1147</v>
      </c>
      <c r="V2663" s="9" t="s">
        <v>1201</v>
      </c>
      <c r="W2663">
        <v>28</v>
      </c>
      <c r="X2663" s="9" t="s">
        <v>1291</v>
      </c>
      <c r="Z2663" s="22">
        <v>12</v>
      </c>
      <c r="AD2663" s="22" t="s">
        <v>1165</v>
      </c>
      <c r="AF2663" s="24" t="s">
        <v>153</v>
      </c>
      <c r="AG2663" t="s">
        <v>3079</v>
      </c>
      <c r="AH2663">
        <f>60*24*26</f>
        <v>37440</v>
      </c>
      <c r="AI2663" s="21" t="s">
        <v>153</v>
      </c>
      <c r="AJ2663" s="21" t="s">
        <v>1148</v>
      </c>
      <c r="AK2663" s="21">
        <v>80.564999999999998</v>
      </c>
      <c r="AL2663" s="21" t="s">
        <v>1263</v>
      </c>
      <c r="AM2663">
        <f>84.043-77.261</f>
        <v>6.7820000000000107</v>
      </c>
      <c r="AN2663" s="21">
        <v>4</v>
      </c>
      <c r="AO2663" s="21">
        <v>25</v>
      </c>
      <c r="AP2663" s="21">
        <v>26</v>
      </c>
      <c r="AQ2663" s="22" t="s">
        <v>3080</v>
      </c>
      <c r="AR2663" s="21" t="s">
        <v>1155</v>
      </c>
      <c r="AS2663" t="s">
        <v>3081</v>
      </c>
    </row>
    <row r="2664" spans="1:45" ht="15" customHeight="1" x14ac:dyDescent="0.2">
      <c r="A2664" s="21" t="s">
        <v>1682</v>
      </c>
      <c r="B2664" s="21" t="s">
        <v>1146</v>
      </c>
      <c r="C2664" s="21" t="s">
        <v>1149</v>
      </c>
      <c r="D2664" s="21" t="s">
        <v>3067</v>
      </c>
      <c r="E2664" s="21" t="s">
        <v>1681</v>
      </c>
      <c r="G2664" s="21" t="s">
        <v>1165</v>
      </c>
      <c r="H2664" s="21" t="s">
        <v>1165</v>
      </c>
      <c r="I2664" s="21" t="s">
        <v>3068</v>
      </c>
      <c r="J2664">
        <v>-34.642222222222202</v>
      </c>
      <c r="K2664">
        <v>116.123611111111</v>
      </c>
      <c r="M2664" s="21" t="s">
        <v>3069</v>
      </c>
      <c r="O2664" s="21">
        <v>2011</v>
      </c>
      <c r="Q2664" s="21" t="s">
        <v>3070</v>
      </c>
      <c r="R2664">
        <v>851.66800000000001</v>
      </c>
      <c r="S2664">
        <v>15</v>
      </c>
      <c r="T2664" s="21">
        <v>15</v>
      </c>
      <c r="U2664" s="21" t="s">
        <v>1147</v>
      </c>
      <c r="V2664" s="9" t="s">
        <v>1201</v>
      </c>
      <c r="W2664">
        <v>28</v>
      </c>
      <c r="X2664" s="9" t="s">
        <v>1291</v>
      </c>
      <c r="Z2664" s="22">
        <v>12</v>
      </c>
      <c r="AD2664" s="22" t="s">
        <v>1165</v>
      </c>
      <c r="AF2664" s="24" t="s">
        <v>153</v>
      </c>
      <c r="AG2664" t="s">
        <v>3079</v>
      </c>
      <c r="AH2664">
        <f>60*24*27</f>
        <v>38880</v>
      </c>
      <c r="AI2664" s="21" t="s">
        <v>153</v>
      </c>
      <c r="AJ2664" s="21" t="s">
        <v>1148</v>
      </c>
      <c r="AK2664" s="21">
        <v>82.652000000000001</v>
      </c>
      <c r="AL2664" s="21" t="s">
        <v>1263</v>
      </c>
      <c r="AM2664">
        <f>86.304-79</f>
        <v>7.304000000000002</v>
      </c>
      <c r="AN2664" s="21">
        <v>4</v>
      </c>
      <c r="AO2664" s="21">
        <v>25</v>
      </c>
      <c r="AP2664" s="21">
        <v>27</v>
      </c>
      <c r="AQ2664" s="22" t="s">
        <v>3080</v>
      </c>
      <c r="AR2664" s="21" t="s">
        <v>1155</v>
      </c>
      <c r="AS2664" t="s">
        <v>3081</v>
      </c>
    </row>
    <row r="2665" spans="1:45" ht="15" customHeight="1" x14ac:dyDescent="0.2">
      <c r="A2665" s="21" t="s">
        <v>1682</v>
      </c>
      <c r="B2665" s="21" t="s">
        <v>1146</v>
      </c>
      <c r="C2665" s="21" t="s">
        <v>1149</v>
      </c>
      <c r="D2665" s="21" t="s">
        <v>3067</v>
      </c>
      <c r="E2665" s="21" t="s">
        <v>1681</v>
      </c>
      <c r="G2665" s="21" t="s">
        <v>1165</v>
      </c>
      <c r="H2665" s="21" t="s">
        <v>1165</v>
      </c>
      <c r="I2665" s="21" t="s">
        <v>3068</v>
      </c>
      <c r="J2665">
        <v>-34.642222222222202</v>
      </c>
      <c r="K2665">
        <v>116.123611111111</v>
      </c>
      <c r="M2665" s="21" t="s">
        <v>3069</v>
      </c>
      <c r="O2665" s="21">
        <v>2011</v>
      </c>
      <c r="Q2665" s="21" t="s">
        <v>3070</v>
      </c>
      <c r="R2665">
        <v>851.66800000000001</v>
      </c>
      <c r="S2665">
        <v>15</v>
      </c>
      <c r="T2665" s="21">
        <v>15</v>
      </c>
      <c r="U2665" s="21" t="s">
        <v>1147</v>
      </c>
      <c r="V2665" s="9" t="s">
        <v>1201</v>
      </c>
      <c r="W2665">
        <v>28</v>
      </c>
      <c r="X2665" s="9" t="s">
        <v>1291</v>
      </c>
      <c r="Z2665" s="22">
        <v>12</v>
      </c>
      <c r="AD2665" s="22" t="s">
        <v>1165</v>
      </c>
      <c r="AF2665" s="24" t="s">
        <v>153</v>
      </c>
      <c r="AG2665" t="s">
        <v>3079</v>
      </c>
      <c r="AH2665">
        <f>60*24*28</f>
        <v>40320</v>
      </c>
      <c r="AI2665" s="21" t="s">
        <v>153</v>
      </c>
      <c r="AJ2665" s="21" t="s">
        <v>1148</v>
      </c>
      <c r="AK2665" s="21">
        <v>83.522000000000006</v>
      </c>
      <c r="AL2665" s="21" t="s">
        <v>1263</v>
      </c>
      <c r="AM2665">
        <f>86.304-80.739</f>
        <v>5.5649999999999977</v>
      </c>
      <c r="AN2665" s="21">
        <v>4</v>
      </c>
      <c r="AO2665" s="21">
        <v>25</v>
      </c>
      <c r="AP2665" s="21">
        <v>28</v>
      </c>
      <c r="AQ2665" s="22" t="s">
        <v>3080</v>
      </c>
      <c r="AR2665" s="21" t="s">
        <v>1155</v>
      </c>
      <c r="AS2665" t="s">
        <v>3081</v>
      </c>
    </row>
    <row r="2666" spans="1:45" x14ac:dyDescent="0.2">
      <c r="A2666" s="21" t="s">
        <v>1682</v>
      </c>
      <c r="B2666" s="21" t="s">
        <v>1146</v>
      </c>
      <c r="C2666" s="21" t="s">
        <v>1149</v>
      </c>
      <c r="D2666" s="21" t="s">
        <v>3067</v>
      </c>
      <c r="E2666" s="21" t="s">
        <v>1681</v>
      </c>
      <c r="G2666" s="21" t="s">
        <v>1165</v>
      </c>
      <c r="H2666" s="21" t="s">
        <v>1165</v>
      </c>
      <c r="I2666" s="21" t="s">
        <v>3068</v>
      </c>
      <c r="J2666">
        <v>-34.642222222222202</v>
      </c>
      <c r="K2666">
        <v>116.123611111111</v>
      </c>
      <c r="M2666" s="21" t="s">
        <v>3069</v>
      </c>
      <c r="O2666" s="21">
        <v>2011</v>
      </c>
      <c r="Q2666" s="21" t="s">
        <v>3070</v>
      </c>
      <c r="R2666">
        <v>851.66800000000001</v>
      </c>
      <c r="S2666">
        <v>15</v>
      </c>
      <c r="T2666" s="21">
        <v>15</v>
      </c>
      <c r="U2666" s="21" t="s">
        <v>1147</v>
      </c>
      <c r="V2666" s="9" t="s">
        <v>1201</v>
      </c>
      <c r="W2666">
        <v>28</v>
      </c>
      <c r="X2666" s="9" t="s">
        <v>1291</v>
      </c>
      <c r="Z2666" s="22">
        <v>12</v>
      </c>
      <c r="AD2666" s="22" t="s">
        <v>1165</v>
      </c>
      <c r="AF2666" s="24" t="s">
        <v>153</v>
      </c>
      <c r="AG2666" t="s">
        <v>3082</v>
      </c>
      <c r="AH2666">
        <v>0</v>
      </c>
      <c r="AI2666" s="21" t="s">
        <v>153</v>
      </c>
      <c r="AJ2666" s="21" t="s">
        <v>1148</v>
      </c>
      <c r="AK2666" s="21">
        <v>0</v>
      </c>
      <c r="AL2666" s="21" t="s">
        <v>1263</v>
      </c>
      <c r="AM2666">
        <v>0</v>
      </c>
      <c r="AN2666" s="21">
        <v>4</v>
      </c>
      <c r="AO2666" s="21">
        <v>25</v>
      </c>
      <c r="AP2666" s="21">
        <v>0</v>
      </c>
      <c r="AQ2666" s="22" t="s">
        <v>3080</v>
      </c>
      <c r="AR2666" s="21" t="s">
        <v>1155</v>
      </c>
      <c r="AS2666" t="s">
        <v>3081</v>
      </c>
    </row>
    <row r="2667" spans="1:45" x14ac:dyDescent="0.2">
      <c r="A2667" s="21" t="s">
        <v>1682</v>
      </c>
      <c r="B2667" s="21" t="s">
        <v>1146</v>
      </c>
      <c r="C2667" s="21" t="s">
        <v>1149</v>
      </c>
      <c r="D2667" s="21" t="s">
        <v>3067</v>
      </c>
      <c r="E2667" s="21" t="s">
        <v>1681</v>
      </c>
      <c r="G2667" s="21" t="s">
        <v>1165</v>
      </c>
      <c r="H2667" s="21" t="s">
        <v>1165</v>
      </c>
      <c r="I2667" s="21" t="s">
        <v>3068</v>
      </c>
      <c r="J2667">
        <v>-34.642222222222202</v>
      </c>
      <c r="K2667">
        <v>116.123611111111</v>
      </c>
      <c r="M2667" s="21" t="s">
        <v>3069</v>
      </c>
      <c r="O2667" s="21">
        <v>2011</v>
      </c>
      <c r="Q2667" s="21" t="s">
        <v>3070</v>
      </c>
      <c r="R2667">
        <v>851.66800000000001</v>
      </c>
      <c r="S2667">
        <v>15</v>
      </c>
      <c r="T2667" s="21">
        <v>15</v>
      </c>
      <c r="U2667" s="21" t="s">
        <v>1147</v>
      </c>
      <c r="V2667" s="9" t="s">
        <v>1201</v>
      </c>
      <c r="W2667">
        <v>28</v>
      </c>
      <c r="X2667" s="9" t="s">
        <v>1291</v>
      </c>
      <c r="Z2667" s="22">
        <v>12</v>
      </c>
      <c r="AD2667" s="22" t="s">
        <v>1165</v>
      </c>
      <c r="AF2667" s="24" t="s">
        <v>153</v>
      </c>
      <c r="AG2667" t="s">
        <v>3082</v>
      </c>
      <c r="AH2667">
        <f>60*24</f>
        <v>1440</v>
      </c>
      <c r="AI2667" s="21" t="s">
        <v>153</v>
      </c>
      <c r="AJ2667" s="21" t="s">
        <v>1148</v>
      </c>
      <c r="AK2667" s="21">
        <v>0</v>
      </c>
      <c r="AL2667" s="21" t="s">
        <v>1263</v>
      </c>
      <c r="AM2667">
        <v>0</v>
      </c>
      <c r="AN2667" s="21">
        <v>4</v>
      </c>
      <c r="AO2667" s="21">
        <v>25</v>
      </c>
      <c r="AP2667" s="21">
        <v>1</v>
      </c>
      <c r="AQ2667" s="22" t="s">
        <v>3080</v>
      </c>
      <c r="AR2667" s="21" t="s">
        <v>1155</v>
      </c>
      <c r="AS2667" t="s">
        <v>3081</v>
      </c>
    </row>
    <row r="2668" spans="1:45" x14ac:dyDescent="0.2">
      <c r="A2668" s="21" t="s">
        <v>1682</v>
      </c>
      <c r="B2668" s="21" t="s">
        <v>1146</v>
      </c>
      <c r="C2668" s="21" t="s">
        <v>1149</v>
      </c>
      <c r="D2668" s="21" t="s">
        <v>3067</v>
      </c>
      <c r="E2668" s="21" t="s">
        <v>1681</v>
      </c>
      <c r="G2668" s="21" t="s">
        <v>1165</v>
      </c>
      <c r="H2668" s="21" t="s">
        <v>1165</v>
      </c>
      <c r="I2668" s="21" t="s">
        <v>3068</v>
      </c>
      <c r="J2668">
        <v>-34.642222222222202</v>
      </c>
      <c r="K2668">
        <v>116.123611111111</v>
      </c>
      <c r="M2668" s="21" t="s">
        <v>3069</v>
      </c>
      <c r="O2668" s="21">
        <v>2011</v>
      </c>
      <c r="Q2668" s="21" t="s">
        <v>3070</v>
      </c>
      <c r="R2668">
        <v>851.66800000000001</v>
      </c>
      <c r="S2668">
        <v>15</v>
      </c>
      <c r="T2668" s="21">
        <v>15</v>
      </c>
      <c r="U2668" s="21" t="s">
        <v>1147</v>
      </c>
      <c r="V2668" s="9" t="s">
        <v>1201</v>
      </c>
      <c r="W2668">
        <v>28</v>
      </c>
      <c r="X2668" s="9" t="s">
        <v>1291</v>
      </c>
      <c r="Z2668" s="22">
        <v>12</v>
      </c>
      <c r="AD2668" s="22" t="s">
        <v>1165</v>
      </c>
      <c r="AF2668" s="24" t="s">
        <v>153</v>
      </c>
      <c r="AG2668" t="s">
        <v>3082</v>
      </c>
      <c r="AH2668">
        <f>60*24*2</f>
        <v>2880</v>
      </c>
      <c r="AI2668" s="21" t="s">
        <v>153</v>
      </c>
      <c r="AJ2668" s="21" t="s">
        <v>1148</v>
      </c>
      <c r="AK2668" s="21">
        <v>0</v>
      </c>
      <c r="AL2668" s="21" t="s">
        <v>1263</v>
      </c>
      <c r="AM2668">
        <v>0</v>
      </c>
      <c r="AN2668" s="21">
        <v>4</v>
      </c>
      <c r="AO2668" s="21">
        <v>25</v>
      </c>
      <c r="AP2668" s="21">
        <v>2</v>
      </c>
      <c r="AQ2668" s="22" t="s">
        <v>3080</v>
      </c>
      <c r="AR2668" s="21" t="s">
        <v>1155</v>
      </c>
      <c r="AS2668" t="s">
        <v>3081</v>
      </c>
    </row>
    <row r="2669" spans="1:45" x14ac:dyDescent="0.2">
      <c r="A2669" s="21" t="s">
        <v>1682</v>
      </c>
      <c r="B2669" s="21" t="s">
        <v>1146</v>
      </c>
      <c r="C2669" s="21" t="s">
        <v>1149</v>
      </c>
      <c r="D2669" s="21" t="s">
        <v>3067</v>
      </c>
      <c r="E2669" s="21" t="s">
        <v>1681</v>
      </c>
      <c r="G2669" s="21" t="s">
        <v>1165</v>
      </c>
      <c r="H2669" s="21" t="s">
        <v>1165</v>
      </c>
      <c r="I2669" s="21" t="s">
        <v>3068</v>
      </c>
      <c r="J2669">
        <v>-34.642222222222202</v>
      </c>
      <c r="K2669">
        <v>116.123611111111</v>
      </c>
      <c r="M2669" s="21" t="s">
        <v>3069</v>
      </c>
      <c r="O2669" s="21">
        <v>2011</v>
      </c>
      <c r="Q2669" s="21" t="s">
        <v>3070</v>
      </c>
      <c r="R2669">
        <v>851.66800000000001</v>
      </c>
      <c r="S2669">
        <v>15</v>
      </c>
      <c r="T2669" s="21">
        <v>15</v>
      </c>
      <c r="U2669" s="21" t="s">
        <v>1147</v>
      </c>
      <c r="V2669" s="9" t="s">
        <v>1201</v>
      </c>
      <c r="W2669">
        <v>28</v>
      </c>
      <c r="X2669" s="9" t="s">
        <v>1291</v>
      </c>
      <c r="Z2669" s="22">
        <v>12</v>
      </c>
      <c r="AD2669" s="22" t="s">
        <v>1165</v>
      </c>
      <c r="AF2669" s="24" t="s">
        <v>153</v>
      </c>
      <c r="AG2669" t="s">
        <v>3082</v>
      </c>
      <c r="AH2669">
        <f>60*24*3</f>
        <v>4320</v>
      </c>
      <c r="AI2669" s="21" t="s">
        <v>153</v>
      </c>
      <c r="AJ2669" s="21" t="s">
        <v>1148</v>
      </c>
      <c r="AK2669" s="21">
        <v>0</v>
      </c>
      <c r="AL2669" s="21" t="s">
        <v>1263</v>
      </c>
      <c r="AM2669">
        <v>0</v>
      </c>
      <c r="AN2669" s="21">
        <v>4</v>
      </c>
      <c r="AO2669" s="21">
        <v>25</v>
      </c>
      <c r="AP2669" s="21">
        <v>3</v>
      </c>
      <c r="AQ2669" s="22" t="s">
        <v>3080</v>
      </c>
      <c r="AR2669" s="21" t="s">
        <v>1155</v>
      </c>
      <c r="AS2669" t="s">
        <v>3081</v>
      </c>
    </row>
    <row r="2670" spans="1:45" x14ac:dyDescent="0.2">
      <c r="A2670" s="21" t="s">
        <v>1682</v>
      </c>
      <c r="B2670" s="21" t="s">
        <v>1146</v>
      </c>
      <c r="C2670" s="21" t="s">
        <v>1149</v>
      </c>
      <c r="D2670" s="21" t="s">
        <v>3067</v>
      </c>
      <c r="E2670" s="21" t="s">
        <v>1681</v>
      </c>
      <c r="G2670" s="21" t="s">
        <v>1165</v>
      </c>
      <c r="H2670" s="21" t="s">
        <v>1165</v>
      </c>
      <c r="I2670" s="21" t="s">
        <v>3068</v>
      </c>
      <c r="J2670">
        <v>-34.642222222222202</v>
      </c>
      <c r="K2670">
        <v>116.123611111111</v>
      </c>
      <c r="M2670" s="21" t="s">
        <v>3069</v>
      </c>
      <c r="O2670" s="21">
        <v>2011</v>
      </c>
      <c r="Q2670" s="21" t="s">
        <v>3070</v>
      </c>
      <c r="R2670">
        <v>851.66800000000001</v>
      </c>
      <c r="S2670">
        <v>15</v>
      </c>
      <c r="T2670" s="21">
        <v>15</v>
      </c>
      <c r="U2670" s="21" t="s">
        <v>1147</v>
      </c>
      <c r="V2670" s="9" t="s">
        <v>1201</v>
      </c>
      <c r="W2670">
        <v>28</v>
      </c>
      <c r="X2670" s="9" t="s">
        <v>1291</v>
      </c>
      <c r="Z2670" s="22">
        <v>12</v>
      </c>
      <c r="AD2670" s="22" t="s">
        <v>1165</v>
      </c>
      <c r="AF2670" s="24" t="s">
        <v>153</v>
      </c>
      <c r="AG2670" t="s">
        <v>3082</v>
      </c>
      <c r="AH2670">
        <f>60*24*4</f>
        <v>5760</v>
      </c>
      <c r="AI2670" s="21" t="s">
        <v>153</v>
      </c>
      <c r="AJ2670" s="21" t="s">
        <v>1148</v>
      </c>
      <c r="AK2670" s="21">
        <v>0</v>
      </c>
      <c r="AL2670" s="21" t="s">
        <v>1263</v>
      </c>
      <c r="AM2670">
        <v>0</v>
      </c>
      <c r="AN2670" s="21">
        <v>4</v>
      </c>
      <c r="AO2670" s="21">
        <v>25</v>
      </c>
      <c r="AP2670" s="21">
        <v>4</v>
      </c>
      <c r="AQ2670" s="22" t="s">
        <v>3080</v>
      </c>
      <c r="AR2670" s="21" t="s">
        <v>1155</v>
      </c>
      <c r="AS2670" t="s">
        <v>3081</v>
      </c>
    </row>
    <row r="2671" spans="1:45" x14ac:dyDescent="0.2">
      <c r="A2671" s="21" t="s">
        <v>1682</v>
      </c>
      <c r="B2671" s="21" t="s">
        <v>1146</v>
      </c>
      <c r="C2671" s="21" t="s">
        <v>1149</v>
      </c>
      <c r="D2671" s="21" t="s">
        <v>3067</v>
      </c>
      <c r="E2671" s="21" t="s">
        <v>1681</v>
      </c>
      <c r="G2671" s="21" t="s">
        <v>1165</v>
      </c>
      <c r="H2671" s="21" t="s">
        <v>1165</v>
      </c>
      <c r="I2671" s="21" t="s">
        <v>3068</v>
      </c>
      <c r="J2671">
        <v>-34.642222222222202</v>
      </c>
      <c r="K2671">
        <v>116.123611111111</v>
      </c>
      <c r="M2671" s="21" t="s">
        <v>3069</v>
      </c>
      <c r="O2671" s="21">
        <v>2011</v>
      </c>
      <c r="Q2671" s="21" t="s">
        <v>3070</v>
      </c>
      <c r="R2671">
        <v>851.66800000000001</v>
      </c>
      <c r="S2671">
        <v>15</v>
      </c>
      <c r="T2671" s="21">
        <v>15</v>
      </c>
      <c r="U2671" s="21" t="s">
        <v>1147</v>
      </c>
      <c r="V2671" s="9" t="s">
        <v>1201</v>
      </c>
      <c r="W2671">
        <v>28</v>
      </c>
      <c r="X2671" s="9" t="s">
        <v>1291</v>
      </c>
      <c r="Z2671" s="22">
        <v>12</v>
      </c>
      <c r="AD2671" s="22" t="s">
        <v>1165</v>
      </c>
      <c r="AF2671" s="24" t="s">
        <v>153</v>
      </c>
      <c r="AG2671" t="s">
        <v>3082</v>
      </c>
      <c r="AH2671">
        <f>60*24*5</f>
        <v>7200</v>
      </c>
      <c r="AI2671" s="21" t="s">
        <v>153</v>
      </c>
      <c r="AJ2671" s="21" t="s">
        <v>1148</v>
      </c>
      <c r="AK2671" s="21">
        <v>0</v>
      </c>
      <c r="AL2671" s="21" t="s">
        <v>1263</v>
      </c>
      <c r="AM2671">
        <v>0</v>
      </c>
      <c r="AN2671" s="21">
        <v>4</v>
      </c>
      <c r="AO2671" s="21">
        <v>25</v>
      </c>
      <c r="AP2671" s="21">
        <v>5</v>
      </c>
      <c r="AQ2671" s="22" t="s">
        <v>3080</v>
      </c>
      <c r="AR2671" s="21" t="s">
        <v>1155</v>
      </c>
      <c r="AS2671" t="s">
        <v>3081</v>
      </c>
    </row>
    <row r="2672" spans="1:45" x14ac:dyDescent="0.2">
      <c r="A2672" s="21" t="s">
        <v>1682</v>
      </c>
      <c r="B2672" s="21" t="s">
        <v>1146</v>
      </c>
      <c r="C2672" s="21" t="s">
        <v>1149</v>
      </c>
      <c r="D2672" s="21" t="s">
        <v>3067</v>
      </c>
      <c r="E2672" s="21" t="s">
        <v>1681</v>
      </c>
      <c r="G2672" s="21" t="s">
        <v>1165</v>
      </c>
      <c r="H2672" s="21" t="s">
        <v>1165</v>
      </c>
      <c r="I2672" s="21" t="s">
        <v>3068</v>
      </c>
      <c r="J2672">
        <v>-34.642222222222202</v>
      </c>
      <c r="K2672">
        <v>116.123611111111</v>
      </c>
      <c r="M2672" s="21" t="s">
        <v>3069</v>
      </c>
      <c r="O2672" s="21">
        <v>2011</v>
      </c>
      <c r="Q2672" s="21" t="s">
        <v>3070</v>
      </c>
      <c r="R2672">
        <v>851.66800000000001</v>
      </c>
      <c r="S2672">
        <v>15</v>
      </c>
      <c r="T2672" s="21">
        <v>15</v>
      </c>
      <c r="U2672" s="21" t="s">
        <v>1147</v>
      </c>
      <c r="V2672" s="9" t="s">
        <v>1201</v>
      </c>
      <c r="W2672">
        <v>28</v>
      </c>
      <c r="X2672" s="9" t="s">
        <v>1291</v>
      </c>
      <c r="Z2672" s="22">
        <v>12</v>
      </c>
      <c r="AD2672" s="22" t="s">
        <v>1165</v>
      </c>
      <c r="AF2672" s="24" t="s">
        <v>153</v>
      </c>
      <c r="AG2672" t="s">
        <v>3082</v>
      </c>
      <c r="AH2672">
        <f>60*24*6</f>
        <v>8640</v>
      </c>
      <c r="AI2672" s="21" t="s">
        <v>153</v>
      </c>
      <c r="AJ2672" s="21" t="s">
        <v>1148</v>
      </c>
      <c r="AK2672" s="21">
        <v>0</v>
      </c>
      <c r="AL2672" s="21" t="s">
        <v>1263</v>
      </c>
      <c r="AM2672">
        <v>0</v>
      </c>
      <c r="AN2672" s="21">
        <v>4</v>
      </c>
      <c r="AO2672" s="21">
        <v>25</v>
      </c>
      <c r="AP2672" s="21">
        <v>6</v>
      </c>
      <c r="AQ2672" s="22" t="s">
        <v>3080</v>
      </c>
      <c r="AR2672" s="21" t="s">
        <v>1155</v>
      </c>
      <c r="AS2672" t="s">
        <v>3081</v>
      </c>
    </row>
    <row r="2673" spans="1:45" x14ac:dyDescent="0.2">
      <c r="A2673" s="21" t="s">
        <v>1682</v>
      </c>
      <c r="B2673" s="21" t="s">
        <v>1146</v>
      </c>
      <c r="C2673" s="21" t="s">
        <v>1149</v>
      </c>
      <c r="D2673" s="21" t="s">
        <v>3067</v>
      </c>
      <c r="E2673" s="21" t="s">
        <v>1681</v>
      </c>
      <c r="G2673" s="21" t="s">
        <v>1165</v>
      </c>
      <c r="H2673" s="21" t="s">
        <v>1165</v>
      </c>
      <c r="I2673" s="21" t="s">
        <v>3068</v>
      </c>
      <c r="J2673">
        <v>-34.642222222222202</v>
      </c>
      <c r="K2673">
        <v>116.123611111111</v>
      </c>
      <c r="M2673" s="21" t="s">
        <v>3069</v>
      </c>
      <c r="O2673" s="21">
        <v>2011</v>
      </c>
      <c r="Q2673" s="21" t="s">
        <v>3070</v>
      </c>
      <c r="R2673">
        <v>851.66800000000001</v>
      </c>
      <c r="S2673">
        <v>15</v>
      </c>
      <c r="T2673" s="21">
        <v>15</v>
      </c>
      <c r="U2673" s="21" t="s">
        <v>1147</v>
      </c>
      <c r="V2673" s="9" t="s">
        <v>1201</v>
      </c>
      <c r="W2673">
        <v>28</v>
      </c>
      <c r="X2673" s="9" t="s">
        <v>1291</v>
      </c>
      <c r="Z2673" s="22">
        <v>12</v>
      </c>
      <c r="AD2673" s="22" t="s">
        <v>1165</v>
      </c>
      <c r="AF2673" s="24" t="s">
        <v>153</v>
      </c>
      <c r="AG2673" t="s">
        <v>3082</v>
      </c>
      <c r="AH2673">
        <f>60*24*7</f>
        <v>10080</v>
      </c>
      <c r="AI2673" s="21" t="s">
        <v>153</v>
      </c>
      <c r="AJ2673" s="21" t="s">
        <v>1148</v>
      </c>
      <c r="AK2673" s="21">
        <v>0</v>
      </c>
      <c r="AL2673" s="21" t="s">
        <v>1263</v>
      </c>
      <c r="AM2673">
        <v>0</v>
      </c>
      <c r="AN2673" s="21">
        <v>4</v>
      </c>
      <c r="AO2673" s="21">
        <v>25</v>
      </c>
      <c r="AP2673" s="21">
        <v>7</v>
      </c>
      <c r="AQ2673" s="22" t="s">
        <v>3080</v>
      </c>
      <c r="AR2673" s="21" t="s">
        <v>1155</v>
      </c>
      <c r="AS2673" t="s">
        <v>3081</v>
      </c>
    </row>
    <row r="2674" spans="1:45" ht="15" customHeight="1" x14ac:dyDescent="0.2">
      <c r="A2674" s="21" t="s">
        <v>1682</v>
      </c>
      <c r="B2674" s="21" t="s">
        <v>1146</v>
      </c>
      <c r="C2674" s="21" t="s">
        <v>1149</v>
      </c>
      <c r="D2674" s="21" t="s">
        <v>3067</v>
      </c>
      <c r="E2674" s="21" t="s">
        <v>1681</v>
      </c>
      <c r="G2674" s="21" t="s">
        <v>1165</v>
      </c>
      <c r="H2674" s="21" t="s">
        <v>1165</v>
      </c>
      <c r="I2674" s="21" t="s">
        <v>3068</v>
      </c>
      <c r="J2674">
        <v>-34.642222222222202</v>
      </c>
      <c r="K2674">
        <v>116.123611111111</v>
      </c>
      <c r="M2674" s="21" t="s">
        <v>3069</v>
      </c>
      <c r="O2674" s="21">
        <v>2011</v>
      </c>
      <c r="Q2674" s="21" t="s">
        <v>3070</v>
      </c>
      <c r="R2674">
        <v>851.66800000000001</v>
      </c>
      <c r="S2674">
        <v>15</v>
      </c>
      <c r="T2674" s="21">
        <v>15</v>
      </c>
      <c r="U2674" s="21" t="s">
        <v>1147</v>
      </c>
      <c r="V2674" s="9" t="s">
        <v>1201</v>
      </c>
      <c r="W2674">
        <v>28</v>
      </c>
      <c r="X2674" s="9" t="s">
        <v>1291</v>
      </c>
      <c r="Z2674" s="22">
        <v>12</v>
      </c>
      <c r="AD2674" s="22" t="s">
        <v>1165</v>
      </c>
      <c r="AF2674" s="24" t="s">
        <v>153</v>
      </c>
      <c r="AG2674" t="s">
        <v>3082</v>
      </c>
      <c r="AH2674">
        <f>60*24*8</f>
        <v>11520</v>
      </c>
      <c r="AI2674" s="21" t="s">
        <v>153</v>
      </c>
      <c r="AJ2674" s="21" t="s">
        <v>1148</v>
      </c>
      <c r="AK2674" s="21">
        <v>0</v>
      </c>
      <c r="AL2674" s="21" t="s">
        <v>1263</v>
      </c>
      <c r="AM2674">
        <v>0</v>
      </c>
      <c r="AN2674" s="21">
        <v>4</v>
      </c>
      <c r="AO2674" s="21">
        <v>25</v>
      </c>
      <c r="AP2674" s="21">
        <v>8</v>
      </c>
      <c r="AQ2674" s="22" t="s">
        <v>3080</v>
      </c>
      <c r="AR2674" s="21" t="s">
        <v>1155</v>
      </c>
      <c r="AS2674" t="s">
        <v>3081</v>
      </c>
    </row>
    <row r="2675" spans="1:45" ht="15" customHeight="1" x14ac:dyDescent="0.2">
      <c r="A2675" s="21" t="s">
        <v>1682</v>
      </c>
      <c r="B2675" s="21" t="s">
        <v>1146</v>
      </c>
      <c r="C2675" s="21" t="s">
        <v>1149</v>
      </c>
      <c r="D2675" s="21" t="s">
        <v>3067</v>
      </c>
      <c r="E2675" s="21" t="s">
        <v>1681</v>
      </c>
      <c r="G2675" s="21" t="s">
        <v>1165</v>
      </c>
      <c r="H2675" s="21" t="s">
        <v>1165</v>
      </c>
      <c r="I2675" s="21" t="s">
        <v>3068</v>
      </c>
      <c r="J2675">
        <v>-34.642222222222202</v>
      </c>
      <c r="K2675">
        <v>116.123611111111</v>
      </c>
      <c r="M2675" s="21" t="s">
        <v>3069</v>
      </c>
      <c r="O2675" s="21">
        <v>2011</v>
      </c>
      <c r="Q2675" s="21" t="s">
        <v>3070</v>
      </c>
      <c r="R2675">
        <v>851.66800000000001</v>
      </c>
      <c r="S2675">
        <v>15</v>
      </c>
      <c r="T2675" s="21">
        <v>15</v>
      </c>
      <c r="U2675" s="21" t="s">
        <v>1147</v>
      </c>
      <c r="V2675" s="9" t="s">
        <v>1201</v>
      </c>
      <c r="W2675">
        <v>28</v>
      </c>
      <c r="X2675" s="9" t="s">
        <v>1291</v>
      </c>
      <c r="Z2675" s="22">
        <v>12</v>
      </c>
      <c r="AD2675" s="22" t="s">
        <v>1165</v>
      </c>
      <c r="AF2675" s="24" t="s">
        <v>153</v>
      </c>
      <c r="AG2675" t="s">
        <v>3082</v>
      </c>
      <c r="AH2675">
        <f>60*24*9</f>
        <v>12960</v>
      </c>
      <c r="AI2675" s="21" t="s">
        <v>153</v>
      </c>
      <c r="AJ2675" s="21" t="s">
        <v>1148</v>
      </c>
      <c r="AK2675" s="21">
        <v>0</v>
      </c>
      <c r="AL2675" s="21" t="s">
        <v>1263</v>
      </c>
      <c r="AM2675">
        <v>0</v>
      </c>
      <c r="AN2675" s="21">
        <v>4</v>
      </c>
      <c r="AO2675" s="21">
        <v>25</v>
      </c>
      <c r="AP2675" s="21">
        <v>9</v>
      </c>
      <c r="AQ2675" s="22" t="s">
        <v>3080</v>
      </c>
      <c r="AR2675" s="21" t="s">
        <v>1155</v>
      </c>
      <c r="AS2675" t="s">
        <v>3081</v>
      </c>
    </row>
    <row r="2676" spans="1:45" ht="15" customHeight="1" x14ac:dyDescent="0.2">
      <c r="A2676" s="21" t="s">
        <v>1682</v>
      </c>
      <c r="B2676" s="21" t="s">
        <v>1146</v>
      </c>
      <c r="C2676" s="21" t="s">
        <v>1149</v>
      </c>
      <c r="D2676" s="21" t="s">
        <v>3067</v>
      </c>
      <c r="E2676" s="21" t="s">
        <v>1681</v>
      </c>
      <c r="G2676" s="21" t="s">
        <v>1165</v>
      </c>
      <c r="H2676" s="21" t="s">
        <v>1165</v>
      </c>
      <c r="I2676" s="21" t="s">
        <v>3068</v>
      </c>
      <c r="J2676">
        <v>-34.642222222222202</v>
      </c>
      <c r="K2676">
        <v>116.123611111111</v>
      </c>
      <c r="M2676" s="21" t="s">
        <v>3069</v>
      </c>
      <c r="O2676" s="21">
        <v>2011</v>
      </c>
      <c r="Q2676" s="21" t="s">
        <v>3070</v>
      </c>
      <c r="R2676">
        <v>851.66800000000001</v>
      </c>
      <c r="S2676">
        <v>15</v>
      </c>
      <c r="T2676" s="21">
        <v>15</v>
      </c>
      <c r="U2676" s="21" t="s">
        <v>1147</v>
      </c>
      <c r="V2676" s="9" t="s">
        <v>1201</v>
      </c>
      <c r="W2676">
        <v>28</v>
      </c>
      <c r="X2676" s="9" t="s">
        <v>1291</v>
      </c>
      <c r="Z2676" s="22">
        <v>12</v>
      </c>
      <c r="AD2676" s="22" t="s">
        <v>1165</v>
      </c>
      <c r="AF2676" s="24" t="s">
        <v>153</v>
      </c>
      <c r="AG2676" t="s">
        <v>3082</v>
      </c>
      <c r="AH2676">
        <f>60*24*10</f>
        <v>14400</v>
      </c>
      <c r="AI2676" s="21" t="s">
        <v>153</v>
      </c>
      <c r="AJ2676" s="21" t="s">
        <v>1148</v>
      </c>
      <c r="AK2676" s="21">
        <v>0</v>
      </c>
      <c r="AL2676" s="21" t="s">
        <v>1263</v>
      </c>
      <c r="AM2676">
        <v>0</v>
      </c>
      <c r="AN2676" s="21">
        <v>4</v>
      </c>
      <c r="AO2676" s="21">
        <v>25</v>
      </c>
      <c r="AP2676" s="21">
        <v>10</v>
      </c>
      <c r="AQ2676" s="22" t="s">
        <v>3080</v>
      </c>
      <c r="AR2676" s="21" t="s">
        <v>1155</v>
      </c>
      <c r="AS2676" t="s">
        <v>3081</v>
      </c>
    </row>
    <row r="2677" spans="1:45" ht="15" customHeight="1" x14ac:dyDescent="0.2">
      <c r="A2677" s="21" t="s">
        <v>1682</v>
      </c>
      <c r="B2677" s="21" t="s">
        <v>1146</v>
      </c>
      <c r="C2677" s="21" t="s">
        <v>1149</v>
      </c>
      <c r="D2677" s="21" t="s">
        <v>3067</v>
      </c>
      <c r="E2677" s="21" t="s">
        <v>1681</v>
      </c>
      <c r="G2677" s="21" t="s">
        <v>1165</v>
      </c>
      <c r="H2677" s="21" t="s">
        <v>1165</v>
      </c>
      <c r="I2677" s="21" t="s">
        <v>3068</v>
      </c>
      <c r="J2677">
        <v>-34.642222222222202</v>
      </c>
      <c r="K2677">
        <v>116.123611111111</v>
      </c>
      <c r="M2677" s="21" t="s">
        <v>3069</v>
      </c>
      <c r="O2677" s="21">
        <v>2011</v>
      </c>
      <c r="Q2677" s="21" t="s">
        <v>3070</v>
      </c>
      <c r="R2677">
        <v>851.66800000000001</v>
      </c>
      <c r="S2677">
        <v>15</v>
      </c>
      <c r="T2677" s="21">
        <v>15</v>
      </c>
      <c r="U2677" s="21" t="s">
        <v>1147</v>
      </c>
      <c r="V2677" s="9" t="s">
        <v>1201</v>
      </c>
      <c r="W2677">
        <v>28</v>
      </c>
      <c r="X2677" s="9" t="s">
        <v>1291</v>
      </c>
      <c r="Z2677" s="22">
        <v>12</v>
      </c>
      <c r="AD2677" s="22" t="s">
        <v>1165</v>
      </c>
      <c r="AF2677" s="24" t="s">
        <v>153</v>
      </c>
      <c r="AG2677" t="s">
        <v>3082</v>
      </c>
      <c r="AH2677">
        <f>60*24*11</f>
        <v>15840</v>
      </c>
      <c r="AI2677" s="21" t="s">
        <v>153</v>
      </c>
      <c r="AJ2677" s="21" t="s">
        <v>1148</v>
      </c>
      <c r="AK2677" s="21">
        <v>0</v>
      </c>
      <c r="AL2677" s="21" t="s">
        <v>1263</v>
      </c>
      <c r="AM2677">
        <v>0</v>
      </c>
      <c r="AN2677" s="21">
        <v>4</v>
      </c>
      <c r="AO2677" s="21">
        <v>25</v>
      </c>
      <c r="AP2677" s="21">
        <v>11</v>
      </c>
      <c r="AQ2677" s="22" t="s">
        <v>3080</v>
      </c>
      <c r="AR2677" s="21" t="s">
        <v>1155</v>
      </c>
      <c r="AS2677" t="s">
        <v>3081</v>
      </c>
    </row>
    <row r="2678" spans="1:45" ht="15" customHeight="1" x14ac:dyDescent="0.2">
      <c r="A2678" s="21" t="s">
        <v>1682</v>
      </c>
      <c r="B2678" s="21" t="s">
        <v>1146</v>
      </c>
      <c r="C2678" s="21" t="s">
        <v>1149</v>
      </c>
      <c r="D2678" s="21" t="s">
        <v>3067</v>
      </c>
      <c r="E2678" s="21" t="s">
        <v>1681</v>
      </c>
      <c r="G2678" s="21" t="s">
        <v>1165</v>
      </c>
      <c r="H2678" s="21" t="s">
        <v>1165</v>
      </c>
      <c r="I2678" s="21" t="s">
        <v>3068</v>
      </c>
      <c r="J2678">
        <v>-34.642222222222202</v>
      </c>
      <c r="K2678">
        <v>116.123611111111</v>
      </c>
      <c r="M2678" s="21" t="s">
        <v>3069</v>
      </c>
      <c r="O2678" s="21">
        <v>2011</v>
      </c>
      <c r="Q2678" s="21" t="s">
        <v>3070</v>
      </c>
      <c r="R2678">
        <v>851.66800000000001</v>
      </c>
      <c r="S2678">
        <v>15</v>
      </c>
      <c r="T2678" s="21">
        <v>15</v>
      </c>
      <c r="U2678" s="21" t="s">
        <v>1147</v>
      </c>
      <c r="V2678" s="9" t="s">
        <v>1201</v>
      </c>
      <c r="W2678">
        <v>28</v>
      </c>
      <c r="X2678" s="9" t="s">
        <v>1291</v>
      </c>
      <c r="Z2678" s="22">
        <v>12</v>
      </c>
      <c r="AD2678" s="22" t="s">
        <v>1165</v>
      </c>
      <c r="AF2678" s="24" t="s">
        <v>153</v>
      </c>
      <c r="AG2678" t="s">
        <v>3082</v>
      </c>
      <c r="AH2678">
        <f>60*24*12</f>
        <v>17280</v>
      </c>
      <c r="AI2678" s="21" t="s">
        <v>153</v>
      </c>
      <c r="AJ2678" s="21" t="s">
        <v>1148</v>
      </c>
      <c r="AK2678" s="21">
        <v>0</v>
      </c>
      <c r="AL2678" s="21" t="s">
        <v>1263</v>
      </c>
      <c r="AM2678">
        <v>0</v>
      </c>
      <c r="AN2678" s="21">
        <v>4</v>
      </c>
      <c r="AO2678" s="21">
        <v>25</v>
      </c>
      <c r="AP2678" s="21">
        <v>12</v>
      </c>
      <c r="AQ2678" s="22" t="s">
        <v>3080</v>
      </c>
      <c r="AR2678" s="21" t="s">
        <v>1155</v>
      </c>
      <c r="AS2678" t="s">
        <v>3081</v>
      </c>
    </row>
    <row r="2679" spans="1:45" ht="15" customHeight="1" x14ac:dyDescent="0.2">
      <c r="A2679" s="21" t="s">
        <v>1682</v>
      </c>
      <c r="B2679" s="21" t="s">
        <v>1146</v>
      </c>
      <c r="C2679" s="21" t="s">
        <v>1149</v>
      </c>
      <c r="D2679" s="21" t="s">
        <v>3067</v>
      </c>
      <c r="E2679" s="21" t="s">
        <v>1681</v>
      </c>
      <c r="G2679" s="21" t="s">
        <v>1165</v>
      </c>
      <c r="H2679" s="21" t="s">
        <v>1165</v>
      </c>
      <c r="I2679" s="21" t="s">
        <v>3068</v>
      </c>
      <c r="J2679">
        <v>-34.642222222222202</v>
      </c>
      <c r="K2679">
        <v>116.123611111111</v>
      </c>
      <c r="M2679" s="21" t="s">
        <v>3069</v>
      </c>
      <c r="O2679" s="21">
        <v>2011</v>
      </c>
      <c r="Q2679" s="21" t="s">
        <v>3070</v>
      </c>
      <c r="R2679">
        <v>851.66800000000001</v>
      </c>
      <c r="S2679">
        <v>15</v>
      </c>
      <c r="T2679" s="21">
        <v>15</v>
      </c>
      <c r="U2679" s="21" t="s">
        <v>1147</v>
      </c>
      <c r="V2679" s="9" t="s">
        <v>1201</v>
      </c>
      <c r="W2679">
        <v>28</v>
      </c>
      <c r="X2679" s="9" t="s">
        <v>1291</v>
      </c>
      <c r="Z2679" s="22">
        <v>12</v>
      </c>
      <c r="AD2679" s="22" t="s">
        <v>1165</v>
      </c>
      <c r="AF2679" s="24" t="s">
        <v>153</v>
      </c>
      <c r="AG2679" t="s">
        <v>3082</v>
      </c>
      <c r="AH2679">
        <f>60*24*13</f>
        <v>18720</v>
      </c>
      <c r="AI2679" s="21" t="s">
        <v>153</v>
      </c>
      <c r="AJ2679" s="21" t="s">
        <v>1148</v>
      </c>
      <c r="AK2679" s="21">
        <v>0</v>
      </c>
      <c r="AL2679" s="21" t="s">
        <v>1263</v>
      </c>
      <c r="AM2679">
        <v>0</v>
      </c>
      <c r="AN2679" s="21">
        <v>4</v>
      </c>
      <c r="AO2679" s="21">
        <v>25</v>
      </c>
      <c r="AP2679" s="21">
        <v>13</v>
      </c>
      <c r="AQ2679" s="22" t="s">
        <v>3080</v>
      </c>
      <c r="AR2679" s="21" t="s">
        <v>1155</v>
      </c>
      <c r="AS2679" t="s">
        <v>3081</v>
      </c>
    </row>
    <row r="2680" spans="1:45" ht="15" customHeight="1" x14ac:dyDescent="0.2">
      <c r="A2680" s="21" t="s">
        <v>1682</v>
      </c>
      <c r="B2680" s="21" t="s">
        <v>1146</v>
      </c>
      <c r="C2680" s="21" t="s">
        <v>1149</v>
      </c>
      <c r="D2680" s="21" t="s">
        <v>3067</v>
      </c>
      <c r="E2680" s="21" t="s">
        <v>1681</v>
      </c>
      <c r="G2680" s="21" t="s">
        <v>1165</v>
      </c>
      <c r="H2680" s="21" t="s">
        <v>1165</v>
      </c>
      <c r="I2680" s="21" t="s">
        <v>3068</v>
      </c>
      <c r="J2680">
        <v>-34.642222222222202</v>
      </c>
      <c r="K2680">
        <v>116.123611111111</v>
      </c>
      <c r="M2680" s="21" t="s">
        <v>3069</v>
      </c>
      <c r="O2680" s="21">
        <v>2011</v>
      </c>
      <c r="Q2680" s="21" t="s">
        <v>3070</v>
      </c>
      <c r="R2680">
        <v>851.66800000000001</v>
      </c>
      <c r="S2680">
        <v>15</v>
      </c>
      <c r="T2680" s="21">
        <v>15</v>
      </c>
      <c r="U2680" s="21" t="s">
        <v>1147</v>
      </c>
      <c r="V2680" s="9" t="s">
        <v>1201</v>
      </c>
      <c r="W2680">
        <v>28</v>
      </c>
      <c r="X2680" s="9" t="s">
        <v>1291</v>
      </c>
      <c r="Z2680" s="22">
        <v>12</v>
      </c>
      <c r="AD2680" s="22" t="s">
        <v>1165</v>
      </c>
      <c r="AF2680" s="24" t="s">
        <v>153</v>
      </c>
      <c r="AG2680" t="s">
        <v>3082</v>
      </c>
      <c r="AH2680">
        <f>60*24*14</f>
        <v>20160</v>
      </c>
      <c r="AI2680" s="21" t="s">
        <v>153</v>
      </c>
      <c r="AJ2680" s="21" t="s">
        <v>1148</v>
      </c>
      <c r="AK2680" s="21">
        <v>0</v>
      </c>
      <c r="AL2680" s="21" t="s">
        <v>1263</v>
      </c>
      <c r="AM2680">
        <v>0</v>
      </c>
      <c r="AN2680" s="21">
        <v>4</v>
      </c>
      <c r="AO2680" s="21">
        <v>25</v>
      </c>
      <c r="AP2680" s="21">
        <v>14</v>
      </c>
      <c r="AQ2680" s="22" t="s">
        <v>3080</v>
      </c>
      <c r="AR2680" s="21" t="s">
        <v>1155</v>
      </c>
      <c r="AS2680" t="s">
        <v>3081</v>
      </c>
    </row>
    <row r="2681" spans="1:45" ht="15" customHeight="1" x14ac:dyDescent="0.2">
      <c r="A2681" s="21" t="s">
        <v>1682</v>
      </c>
      <c r="B2681" s="21" t="s">
        <v>1146</v>
      </c>
      <c r="C2681" s="21" t="s">
        <v>1149</v>
      </c>
      <c r="D2681" s="21" t="s">
        <v>3067</v>
      </c>
      <c r="E2681" s="21" t="s">
        <v>1681</v>
      </c>
      <c r="G2681" s="21" t="s">
        <v>1165</v>
      </c>
      <c r="H2681" s="21" t="s">
        <v>1165</v>
      </c>
      <c r="I2681" s="21" t="s">
        <v>3068</v>
      </c>
      <c r="J2681">
        <v>-34.642222222222202</v>
      </c>
      <c r="K2681">
        <v>116.123611111111</v>
      </c>
      <c r="M2681" s="21" t="s">
        <v>3069</v>
      </c>
      <c r="O2681" s="21">
        <v>2011</v>
      </c>
      <c r="Q2681" s="21" t="s">
        <v>3070</v>
      </c>
      <c r="R2681">
        <v>851.66800000000001</v>
      </c>
      <c r="S2681">
        <v>15</v>
      </c>
      <c r="T2681" s="21">
        <v>15</v>
      </c>
      <c r="U2681" s="21" t="s">
        <v>1147</v>
      </c>
      <c r="V2681" s="9" t="s">
        <v>1201</v>
      </c>
      <c r="W2681">
        <v>28</v>
      </c>
      <c r="X2681" s="9" t="s">
        <v>1291</v>
      </c>
      <c r="Z2681" s="22">
        <v>12</v>
      </c>
      <c r="AD2681" s="22" t="s">
        <v>1165</v>
      </c>
      <c r="AF2681" s="24" t="s">
        <v>153</v>
      </c>
      <c r="AG2681" t="s">
        <v>3082</v>
      </c>
      <c r="AH2681">
        <f>60*24*15</f>
        <v>21600</v>
      </c>
      <c r="AI2681" s="21" t="s">
        <v>153</v>
      </c>
      <c r="AJ2681" s="21" t="s">
        <v>1148</v>
      </c>
      <c r="AK2681" s="21">
        <v>0</v>
      </c>
      <c r="AL2681" s="21" t="s">
        <v>1263</v>
      </c>
      <c r="AM2681">
        <v>0</v>
      </c>
      <c r="AN2681" s="21">
        <v>4</v>
      </c>
      <c r="AO2681" s="21">
        <v>25</v>
      </c>
      <c r="AP2681" s="21">
        <v>15</v>
      </c>
      <c r="AQ2681" s="22" t="s">
        <v>3080</v>
      </c>
      <c r="AR2681" s="21" t="s">
        <v>1155</v>
      </c>
      <c r="AS2681" t="s">
        <v>3081</v>
      </c>
    </row>
    <row r="2682" spans="1:45" ht="15" customHeight="1" x14ac:dyDescent="0.2">
      <c r="A2682" s="21" t="s">
        <v>1682</v>
      </c>
      <c r="B2682" s="21" t="s">
        <v>1146</v>
      </c>
      <c r="C2682" s="21" t="s">
        <v>1149</v>
      </c>
      <c r="D2682" s="21" t="s">
        <v>3067</v>
      </c>
      <c r="E2682" s="21" t="s">
        <v>1681</v>
      </c>
      <c r="G2682" s="21" t="s">
        <v>1165</v>
      </c>
      <c r="H2682" s="21" t="s">
        <v>1165</v>
      </c>
      <c r="I2682" s="21" t="s">
        <v>3068</v>
      </c>
      <c r="J2682">
        <v>-34.642222222222202</v>
      </c>
      <c r="K2682">
        <v>116.123611111111</v>
      </c>
      <c r="M2682" s="21" t="s">
        <v>3069</v>
      </c>
      <c r="O2682" s="21">
        <v>2011</v>
      </c>
      <c r="Q2682" s="21" t="s">
        <v>3070</v>
      </c>
      <c r="R2682">
        <v>851.66800000000001</v>
      </c>
      <c r="S2682">
        <v>15</v>
      </c>
      <c r="T2682" s="21">
        <v>15</v>
      </c>
      <c r="U2682" s="21" t="s">
        <v>1147</v>
      </c>
      <c r="V2682" s="9" t="s">
        <v>1201</v>
      </c>
      <c r="W2682">
        <v>28</v>
      </c>
      <c r="X2682" s="9" t="s">
        <v>1291</v>
      </c>
      <c r="Z2682" s="22">
        <v>12</v>
      </c>
      <c r="AD2682" s="22" t="s">
        <v>1165</v>
      </c>
      <c r="AF2682" s="24" t="s">
        <v>153</v>
      </c>
      <c r="AG2682" t="s">
        <v>3082</v>
      </c>
      <c r="AH2682">
        <f>60*24*16</f>
        <v>23040</v>
      </c>
      <c r="AI2682" s="21" t="s">
        <v>153</v>
      </c>
      <c r="AJ2682" s="21" t="s">
        <v>1148</v>
      </c>
      <c r="AK2682" s="21">
        <v>5.7830000000000004</v>
      </c>
      <c r="AL2682" s="21" t="s">
        <v>1263</v>
      </c>
      <c r="AM2682">
        <f>7.348-4.043</f>
        <v>3.3049999999999997</v>
      </c>
      <c r="AN2682" s="21">
        <v>4</v>
      </c>
      <c r="AO2682" s="21">
        <v>25</v>
      </c>
      <c r="AP2682" s="21">
        <v>16</v>
      </c>
      <c r="AQ2682" s="22" t="s">
        <v>3080</v>
      </c>
      <c r="AR2682" s="21" t="s">
        <v>1155</v>
      </c>
      <c r="AS2682" t="s">
        <v>3081</v>
      </c>
    </row>
    <row r="2683" spans="1:45" ht="15" customHeight="1" x14ac:dyDescent="0.2">
      <c r="A2683" s="21" t="s">
        <v>1682</v>
      </c>
      <c r="B2683" s="21" t="s">
        <v>1146</v>
      </c>
      <c r="C2683" s="21" t="s">
        <v>1149</v>
      </c>
      <c r="D2683" s="21" t="s">
        <v>3067</v>
      </c>
      <c r="E2683" s="21" t="s">
        <v>1681</v>
      </c>
      <c r="G2683" s="21" t="s">
        <v>1165</v>
      </c>
      <c r="H2683" s="21" t="s">
        <v>1165</v>
      </c>
      <c r="I2683" s="21" t="s">
        <v>3068</v>
      </c>
      <c r="J2683">
        <v>-34.642222222222202</v>
      </c>
      <c r="K2683">
        <v>116.123611111111</v>
      </c>
      <c r="M2683" s="21" t="s">
        <v>3069</v>
      </c>
      <c r="O2683" s="21">
        <v>2011</v>
      </c>
      <c r="Q2683" s="21" t="s">
        <v>3070</v>
      </c>
      <c r="R2683">
        <v>851.66800000000001</v>
      </c>
      <c r="S2683">
        <v>15</v>
      </c>
      <c r="T2683" s="21">
        <v>15</v>
      </c>
      <c r="U2683" s="21" t="s">
        <v>1147</v>
      </c>
      <c r="V2683" s="9" t="s">
        <v>1201</v>
      </c>
      <c r="W2683">
        <v>28</v>
      </c>
      <c r="X2683" s="9" t="s">
        <v>1291</v>
      </c>
      <c r="Z2683" s="22">
        <v>12</v>
      </c>
      <c r="AD2683" s="22" t="s">
        <v>1165</v>
      </c>
      <c r="AF2683" s="24" t="s">
        <v>153</v>
      </c>
      <c r="AG2683" t="s">
        <v>3082</v>
      </c>
      <c r="AH2683">
        <f>60*24*17</f>
        <v>24480</v>
      </c>
      <c r="AI2683" s="21" t="s">
        <v>153</v>
      </c>
      <c r="AJ2683" s="21" t="s">
        <v>1148</v>
      </c>
      <c r="AK2683" s="21">
        <v>8.7390000000000008</v>
      </c>
      <c r="AL2683" s="21" t="s">
        <v>1263</v>
      </c>
      <c r="AM2683">
        <f>11.174-6.13</f>
        <v>5.0439999999999996</v>
      </c>
      <c r="AN2683" s="21">
        <v>4</v>
      </c>
      <c r="AO2683" s="21">
        <v>25</v>
      </c>
      <c r="AP2683" s="21">
        <v>17</v>
      </c>
      <c r="AQ2683" s="22" t="s">
        <v>3080</v>
      </c>
      <c r="AR2683" s="21" t="s">
        <v>1155</v>
      </c>
      <c r="AS2683" t="s">
        <v>3081</v>
      </c>
    </row>
    <row r="2684" spans="1:45" ht="15" customHeight="1" x14ac:dyDescent="0.2">
      <c r="A2684" s="21" t="s">
        <v>1682</v>
      </c>
      <c r="B2684" s="21" t="s">
        <v>1146</v>
      </c>
      <c r="C2684" s="21" t="s">
        <v>1149</v>
      </c>
      <c r="D2684" s="21" t="s">
        <v>3067</v>
      </c>
      <c r="E2684" s="21" t="s">
        <v>1681</v>
      </c>
      <c r="G2684" s="21" t="s">
        <v>1165</v>
      </c>
      <c r="H2684" s="21" t="s">
        <v>1165</v>
      </c>
      <c r="I2684" s="21" t="s">
        <v>3068</v>
      </c>
      <c r="J2684">
        <v>-34.642222222222202</v>
      </c>
      <c r="K2684">
        <v>116.123611111111</v>
      </c>
      <c r="M2684" s="21" t="s">
        <v>3069</v>
      </c>
      <c r="O2684" s="21">
        <v>2011</v>
      </c>
      <c r="Q2684" s="21" t="s">
        <v>3070</v>
      </c>
      <c r="R2684">
        <v>851.66800000000001</v>
      </c>
      <c r="S2684">
        <v>15</v>
      </c>
      <c r="T2684" s="21">
        <v>15</v>
      </c>
      <c r="U2684" s="21" t="s">
        <v>1147</v>
      </c>
      <c r="V2684" s="9" t="s">
        <v>1201</v>
      </c>
      <c r="W2684">
        <v>28</v>
      </c>
      <c r="X2684" s="9" t="s">
        <v>1291</v>
      </c>
      <c r="Z2684" s="22">
        <v>12</v>
      </c>
      <c r="AD2684" s="22" t="s">
        <v>1165</v>
      </c>
      <c r="AF2684" s="24" t="s">
        <v>153</v>
      </c>
      <c r="AG2684" t="s">
        <v>3082</v>
      </c>
      <c r="AH2684">
        <f>60*24*18</f>
        <v>25920</v>
      </c>
      <c r="AI2684" s="21" t="s">
        <v>153</v>
      </c>
      <c r="AJ2684" s="21" t="s">
        <v>1148</v>
      </c>
      <c r="AK2684" s="21">
        <v>12.522</v>
      </c>
      <c r="AL2684" s="21" t="s">
        <v>1263</v>
      </c>
      <c r="AM2684">
        <v>0</v>
      </c>
      <c r="AN2684" s="21">
        <v>4</v>
      </c>
      <c r="AO2684" s="21">
        <v>25</v>
      </c>
      <c r="AP2684" s="21">
        <v>18</v>
      </c>
      <c r="AQ2684" s="22" t="s">
        <v>3080</v>
      </c>
      <c r="AR2684" s="21" t="s">
        <v>1155</v>
      </c>
      <c r="AS2684" t="s">
        <v>3081</v>
      </c>
    </row>
    <row r="2685" spans="1:45" ht="15" customHeight="1" x14ac:dyDescent="0.2">
      <c r="A2685" s="21" t="s">
        <v>1682</v>
      </c>
      <c r="B2685" s="21" t="s">
        <v>1146</v>
      </c>
      <c r="C2685" s="21" t="s">
        <v>1149</v>
      </c>
      <c r="D2685" s="21" t="s">
        <v>3067</v>
      </c>
      <c r="E2685" s="21" t="s">
        <v>1681</v>
      </c>
      <c r="G2685" s="21" t="s">
        <v>1165</v>
      </c>
      <c r="H2685" s="21" t="s">
        <v>1165</v>
      </c>
      <c r="I2685" s="21" t="s">
        <v>3068</v>
      </c>
      <c r="J2685">
        <v>-34.642222222222202</v>
      </c>
      <c r="K2685">
        <v>116.123611111111</v>
      </c>
      <c r="M2685" s="21" t="s">
        <v>3069</v>
      </c>
      <c r="O2685" s="21">
        <v>2011</v>
      </c>
      <c r="Q2685" s="21" t="s">
        <v>3070</v>
      </c>
      <c r="R2685">
        <v>851.66800000000001</v>
      </c>
      <c r="S2685">
        <v>15</v>
      </c>
      <c r="T2685" s="21">
        <v>15</v>
      </c>
      <c r="U2685" s="21" t="s">
        <v>1147</v>
      </c>
      <c r="V2685" s="9" t="s">
        <v>1201</v>
      </c>
      <c r="W2685">
        <v>28</v>
      </c>
      <c r="X2685" s="9" t="s">
        <v>1291</v>
      </c>
      <c r="Z2685" s="22">
        <v>12</v>
      </c>
      <c r="AD2685" s="22" t="s">
        <v>1165</v>
      </c>
      <c r="AF2685" s="24" t="s">
        <v>153</v>
      </c>
      <c r="AG2685" t="s">
        <v>3082</v>
      </c>
      <c r="AH2685">
        <f>60*24*19</f>
        <v>27360</v>
      </c>
      <c r="AI2685" s="21" t="s">
        <v>153</v>
      </c>
      <c r="AJ2685" s="21" t="s">
        <v>1148</v>
      </c>
      <c r="AK2685" s="21">
        <v>17.390999999999998</v>
      </c>
      <c r="AL2685" s="21" t="s">
        <v>1263</v>
      </c>
      <c r="AM2685">
        <f>19-15.87</f>
        <v>3.1300000000000008</v>
      </c>
      <c r="AN2685" s="21">
        <v>4</v>
      </c>
      <c r="AO2685" s="21">
        <v>25</v>
      </c>
      <c r="AP2685" s="21">
        <v>19</v>
      </c>
      <c r="AQ2685" s="22" t="s">
        <v>3080</v>
      </c>
      <c r="AR2685" s="21" t="s">
        <v>1155</v>
      </c>
      <c r="AS2685" t="s">
        <v>3081</v>
      </c>
    </row>
    <row r="2686" spans="1:45" ht="15" customHeight="1" x14ac:dyDescent="0.2">
      <c r="A2686" s="21" t="s">
        <v>1682</v>
      </c>
      <c r="B2686" s="21" t="s">
        <v>1146</v>
      </c>
      <c r="C2686" s="21" t="s">
        <v>1149</v>
      </c>
      <c r="D2686" s="21" t="s">
        <v>3067</v>
      </c>
      <c r="E2686" s="21" t="s">
        <v>1681</v>
      </c>
      <c r="G2686" s="21" t="s">
        <v>1165</v>
      </c>
      <c r="H2686" s="21" t="s">
        <v>1165</v>
      </c>
      <c r="I2686" s="21" t="s">
        <v>3068</v>
      </c>
      <c r="J2686">
        <v>-34.642222222222202</v>
      </c>
      <c r="K2686">
        <v>116.123611111111</v>
      </c>
      <c r="M2686" s="21" t="s">
        <v>3069</v>
      </c>
      <c r="O2686" s="21">
        <v>2011</v>
      </c>
      <c r="Q2686" s="21" t="s">
        <v>3070</v>
      </c>
      <c r="R2686">
        <v>851.66800000000001</v>
      </c>
      <c r="S2686">
        <v>15</v>
      </c>
      <c r="T2686" s="21">
        <v>15</v>
      </c>
      <c r="U2686" s="21" t="s">
        <v>1147</v>
      </c>
      <c r="V2686" s="9" t="s">
        <v>1201</v>
      </c>
      <c r="W2686">
        <v>28</v>
      </c>
      <c r="X2686" s="9" t="s">
        <v>1291</v>
      </c>
      <c r="Z2686" s="22">
        <v>12</v>
      </c>
      <c r="AD2686" s="22" t="s">
        <v>1165</v>
      </c>
      <c r="AF2686" s="24" t="s">
        <v>153</v>
      </c>
      <c r="AG2686" t="s">
        <v>3082</v>
      </c>
      <c r="AH2686">
        <f>60*24*20</f>
        <v>28800</v>
      </c>
      <c r="AI2686" s="21" t="s">
        <v>153</v>
      </c>
      <c r="AJ2686" s="21" t="s">
        <v>1148</v>
      </c>
      <c r="AK2686" s="21">
        <v>20.347999999999999</v>
      </c>
      <c r="AL2686" s="21" t="s">
        <v>1263</v>
      </c>
      <c r="AM2686">
        <f>22.304-18.478</f>
        <v>3.825999999999997</v>
      </c>
      <c r="AN2686" s="21">
        <v>4</v>
      </c>
      <c r="AO2686" s="21">
        <v>25</v>
      </c>
      <c r="AP2686" s="21">
        <v>20</v>
      </c>
      <c r="AQ2686" s="22" t="s">
        <v>3080</v>
      </c>
      <c r="AR2686" s="21" t="s">
        <v>1155</v>
      </c>
      <c r="AS2686" t="s">
        <v>3081</v>
      </c>
    </row>
    <row r="2687" spans="1:45" ht="15" customHeight="1" x14ac:dyDescent="0.2">
      <c r="A2687" s="21" t="s">
        <v>1682</v>
      </c>
      <c r="B2687" s="21" t="s">
        <v>1146</v>
      </c>
      <c r="C2687" s="21" t="s">
        <v>1149</v>
      </c>
      <c r="D2687" s="21" t="s">
        <v>3067</v>
      </c>
      <c r="E2687" s="21" t="s">
        <v>1681</v>
      </c>
      <c r="G2687" s="21" t="s">
        <v>1165</v>
      </c>
      <c r="H2687" s="21" t="s">
        <v>1165</v>
      </c>
      <c r="I2687" s="21" t="s">
        <v>3068</v>
      </c>
      <c r="J2687">
        <v>-34.642222222222202</v>
      </c>
      <c r="K2687">
        <v>116.123611111111</v>
      </c>
      <c r="M2687" s="21" t="s">
        <v>3069</v>
      </c>
      <c r="O2687" s="21">
        <v>2011</v>
      </c>
      <c r="Q2687" s="21" t="s">
        <v>3070</v>
      </c>
      <c r="R2687">
        <v>851.66800000000001</v>
      </c>
      <c r="S2687">
        <v>15</v>
      </c>
      <c r="T2687" s="21">
        <v>15</v>
      </c>
      <c r="U2687" s="21" t="s">
        <v>1147</v>
      </c>
      <c r="V2687" s="9" t="s">
        <v>1201</v>
      </c>
      <c r="W2687">
        <v>28</v>
      </c>
      <c r="X2687" s="9" t="s">
        <v>1291</v>
      </c>
      <c r="Z2687" s="22">
        <v>12</v>
      </c>
      <c r="AD2687" s="22" t="s">
        <v>1165</v>
      </c>
      <c r="AF2687" s="24" t="s">
        <v>153</v>
      </c>
      <c r="AG2687" t="s">
        <v>3082</v>
      </c>
      <c r="AH2687">
        <f>60*24*21</f>
        <v>30240</v>
      </c>
      <c r="AI2687" s="21" t="s">
        <v>153</v>
      </c>
      <c r="AJ2687" s="21" t="s">
        <v>1148</v>
      </c>
      <c r="AK2687" s="21">
        <v>23.347999999999999</v>
      </c>
      <c r="AL2687" s="21" t="s">
        <v>1263</v>
      </c>
      <c r="AM2687">
        <f>25.261-21.261</f>
        <v>4</v>
      </c>
      <c r="AN2687" s="21">
        <v>4</v>
      </c>
      <c r="AO2687" s="21">
        <v>25</v>
      </c>
      <c r="AP2687" s="21">
        <v>21</v>
      </c>
      <c r="AQ2687" s="22" t="s">
        <v>3080</v>
      </c>
      <c r="AR2687" s="21" t="s">
        <v>1155</v>
      </c>
      <c r="AS2687" t="s">
        <v>3081</v>
      </c>
    </row>
    <row r="2688" spans="1:45" ht="15" customHeight="1" x14ac:dyDescent="0.2">
      <c r="A2688" s="21" t="s">
        <v>1682</v>
      </c>
      <c r="B2688" s="21" t="s">
        <v>1146</v>
      </c>
      <c r="C2688" s="21" t="s">
        <v>1149</v>
      </c>
      <c r="D2688" s="21" t="s">
        <v>3067</v>
      </c>
      <c r="E2688" s="21" t="s">
        <v>1681</v>
      </c>
      <c r="G2688" s="21" t="s">
        <v>1165</v>
      </c>
      <c r="H2688" s="21" t="s">
        <v>1165</v>
      </c>
      <c r="I2688" s="21" t="s">
        <v>3068</v>
      </c>
      <c r="J2688">
        <v>-34.642222222222202</v>
      </c>
      <c r="K2688">
        <v>116.123611111111</v>
      </c>
      <c r="M2688" s="21" t="s">
        <v>3069</v>
      </c>
      <c r="O2688" s="21">
        <v>2011</v>
      </c>
      <c r="Q2688" s="21" t="s">
        <v>3070</v>
      </c>
      <c r="R2688">
        <v>851.66800000000001</v>
      </c>
      <c r="S2688">
        <v>15</v>
      </c>
      <c r="T2688" s="21">
        <v>15</v>
      </c>
      <c r="U2688" s="21" t="s">
        <v>1147</v>
      </c>
      <c r="V2688" s="9" t="s">
        <v>1201</v>
      </c>
      <c r="W2688">
        <v>28</v>
      </c>
      <c r="X2688" s="9" t="s">
        <v>1291</v>
      </c>
      <c r="Z2688" s="22">
        <v>12</v>
      </c>
      <c r="AD2688" s="22" t="s">
        <v>1165</v>
      </c>
      <c r="AF2688" s="24" t="s">
        <v>153</v>
      </c>
      <c r="AG2688" t="s">
        <v>3082</v>
      </c>
      <c r="AH2688">
        <f>60*24*23</f>
        <v>33120</v>
      </c>
      <c r="AI2688" s="21" t="s">
        <v>153</v>
      </c>
      <c r="AJ2688" s="21" t="s">
        <v>1148</v>
      </c>
      <c r="AK2688" s="21">
        <v>32.869999999999997</v>
      </c>
      <c r="AL2688" s="21" t="s">
        <v>1263</v>
      </c>
      <c r="AM2688">
        <f>34.652-31.348</f>
        <v>3.304000000000002</v>
      </c>
      <c r="AN2688" s="21">
        <v>4</v>
      </c>
      <c r="AO2688" s="21">
        <v>25</v>
      </c>
      <c r="AP2688" s="21">
        <v>23</v>
      </c>
      <c r="AQ2688" s="22" t="s">
        <v>3080</v>
      </c>
      <c r="AR2688" s="21" t="s">
        <v>1155</v>
      </c>
      <c r="AS2688" t="s">
        <v>3081</v>
      </c>
    </row>
    <row r="2689" spans="1:45" ht="15" customHeight="1" x14ac:dyDescent="0.2">
      <c r="A2689" s="21" t="s">
        <v>1682</v>
      </c>
      <c r="B2689" s="21" t="s">
        <v>1146</v>
      </c>
      <c r="C2689" s="21" t="s">
        <v>1149</v>
      </c>
      <c r="D2689" s="21" t="s">
        <v>3067</v>
      </c>
      <c r="E2689" s="21" t="s">
        <v>1681</v>
      </c>
      <c r="G2689" s="21" t="s">
        <v>1165</v>
      </c>
      <c r="H2689" s="21" t="s">
        <v>1165</v>
      </c>
      <c r="I2689" s="21" t="s">
        <v>3068</v>
      </c>
      <c r="J2689">
        <v>-34.642222222222202</v>
      </c>
      <c r="K2689">
        <v>116.123611111111</v>
      </c>
      <c r="M2689" s="21" t="s">
        <v>3069</v>
      </c>
      <c r="O2689" s="21">
        <v>2011</v>
      </c>
      <c r="Q2689" s="21" t="s">
        <v>3070</v>
      </c>
      <c r="R2689">
        <v>851.66800000000001</v>
      </c>
      <c r="S2689">
        <v>15</v>
      </c>
      <c r="T2689" s="21">
        <v>15</v>
      </c>
      <c r="U2689" s="21" t="s">
        <v>1147</v>
      </c>
      <c r="V2689" s="9" t="s">
        <v>1201</v>
      </c>
      <c r="W2689">
        <v>28</v>
      </c>
      <c r="X2689" s="9" t="s">
        <v>1291</v>
      </c>
      <c r="Z2689" s="22">
        <v>12</v>
      </c>
      <c r="AD2689" s="22" t="s">
        <v>1165</v>
      </c>
      <c r="AF2689" s="24" t="s">
        <v>153</v>
      </c>
      <c r="AG2689" t="s">
        <v>3082</v>
      </c>
      <c r="AH2689">
        <f>60*24*25</f>
        <v>36000</v>
      </c>
      <c r="AI2689" s="21" t="s">
        <v>153</v>
      </c>
      <c r="AJ2689" s="21" t="s">
        <v>1148</v>
      </c>
      <c r="AK2689" s="21">
        <v>38.957000000000001</v>
      </c>
      <c r="AL2689" s="21" t="s">
        <v>1263</v>
      </c>
      <c r="AM2689">
        <f>43-34.826</f>
        <v>8.1739999999999995</v>
      </c>
      <c r="AN2689" s="21">
        <v>4</v>
      </c>
      <c r="AO2689" s="21">
        <v>25</v>
      </c>
      <c r="AP2689" s="21">
        <v>25</v>
      </c>
      <c r="AQ2689" s="22" t="s">
        <v>3080</v>
      </c>
      <c r="AR2689" s="21" t="s">
        <v>1155</v>
      </c>
      <c r="AS2689" t="s">
        <v>3081</v>
      </c>
    </row>
    <row r="2690" spans="1:45" ht="15" customHeight="1" x14ac:dyDescent="0.2">
      <c r="A2690" s="21" t="s">
        <v>1682</v>
      </c>
      <c r="B2690" s="21" t="s">
        <v>1146</v>
      </c>
      <c r="C2690" s="21" t="s">
        <v>1149</v>
      </c>
      <c r="D2690" s="21" t="s">
        <v>3067</v>
      </c>
      <c r="E2690" s="21" t="s">
        <v>1681</v>
      </c>
      <c r="G2690" s="21" t="s">
        <v>1165</v>
      </c>
      <c r="H2690" s="21" t="s">
        <v>1165</v>
      </c>
      <c r="I2690" s="21" t="s">
        <v>3068</v>
      </c>
      <c r="J2690">
        <v>-34.642222222222202</v>
      </c>
      <c r="K2690">
        <v>116.123611111111</v>
      </c>
      <c r="M2690" s="21" t="s">
        <v>3069</v>
      </c>
      <c r="O2690" s="21">
        <v>2011</v>
      </c>
      <c r="Q2690" s="21" t="s">
        <v>3070</v>
      </c>
      <c r="R2690">
        <v>851.66800000000001</v>
      </c>
      <c r="S2690">
        <v>15</v>
      </c>
      <c r="T2690" s="21">
        <v>15</v>
      </c>
      <c r="U2690" s="21" t="s">
        <v>1147</v>
      </c>
      <c r="V2690" s="9" t="s">
        <v>1201</v>
      </c>
      <c r="W2690">
        <v>28</v>
      </c>
      <c r="X2690" s="9" t="s">
        <v>1291</v>
      </c>
      <c r="Z2690" s="22">
        <v>12</v>
      </c>
      <c r="AD2690" s="22" t="s">
        <v>1165</v>
      </c>
      <c r="AF2690" s="24" t="s">
        <v>153</v>
      </c>
      <c r="AG2690" t="s">
        <v>3082</v>
      </c>
      <c r="AH2690">
        <f>60*24*26</f>
        <v>37440</v>
      </c>
      <c r="AI2690" s="21" t="s">
        <v>153</v>
      </c>
      <c r="AJ2690" s="21" t="s">
        <v>1148</v>
      </c>
      <c r="AK2690" s="21">
        <v>39</v>
      </c>
      <c r="AL2690" s="21" t="s">
        <v>1263</v>
      </c>
      <c r="AM2690" s="21">
        <f>43-34.652</f>
        <v>8.347999999999999</v>
      </c>
      <c r="AN2690" s="21">
        <v>4</v>
      </c>
      <c r="AO2690" s="21">
        <v>25</v>
      </c>
      <c r="AP2690" s="21">
        <v>26</v>
      </c>
      <c r="AQ2690" s="22" t="s">
        <v>3080</v>
      </c>
      <c r="AR2690" s="21" t="s">
        <v>1155</v>
      </c>
      <c r="AS2690" t="s">
        <v>3081</v>
      </c>
    </row>
    <row r="2691" spans="1:45" ht="15" customHeight="1" x14ac:dyDescent="0.2">
      <c r="A2691" s="21" t="s">
        <v>1682</v>
      </c>
      <c r="B2691" s="21" t="s">
        <v>1146</v>
      </c>
      <c r="C2691" s="21" t="s">
        <v>1149</v>
      </c>
      <c r="D2691" s="21" t="s">
        <v>3067</v>
      </c>
      <c r="E2691" s="21" t="s">
        <v>1681</v>
      </c>
      <c r="G2691" s="21" t="s">
        <v>1165</v>
      </c>
      <c r="H2691" s="21" t="s">
        <v>1165</v>
      </c>
      <c r="I2691" s="21" t="s">
        <v>3068</v>
      </c>
      <c r="J2691">
        <v>-34.642222222222202</v>
      </c>
      <c r="K2691">
        <v>116.123611111111</v>
      </c>
      <c r="M2691" s="21" t="s">
        <v>3069</v>
      </c>
      <c r="O2691" s="21">
        <v>2011</v>
      </c>
      <c r="Q2691" s="21" t="s">
        <v>3070</v>
      </c>
      <c r="R2691">
        <v>851.66800000000001</v>
      </c>
      <c r="S2691">
        <v>15</v>
      </c>
      <c r="T2691" s="21">
        <v>15</v>
      </c>
      <c r="U2691" s="21" t="s">
        <v>1147</v>
      </c>
      <c r="V2691" s="9" t="s">
        <v>1201</v>
      </c>
      <c r="W2691">
        <v>28</v>
      </c>
      <c r="X2691" s="9" t="s">
        <v>1291</v>
      </c>
      <c r="Z2691" s="22">
        <v>12</v>
      </c>
      <c r="AD2691" s="22" t="s">
        <v>1165</v>
      </c>
      <c r="AF2691" s="24" t="s">
        <v>153</v>
      </c>
      <c r="AG2691" t="s">
        <v>3082</v>
      </c>
      <c r="AH2691">
        <f>60*24*27</f>
        <v>38880</v>
      </c>
      <c r="AI2691" s="21" t="s">
        <v>153</v>
      </c>
      <c r="AJ2691" s="21" t="s">
        <v>1148</v>
      </c>
      <c r="AK2691" s="21">
        <v>40.695999999999998</v>
      </c>
      <c r="AL2691" s="21" t="s">
        <v>1263</v>
      </c>
      <c r="AM2691">
        <f>44.391-37.261</f>
        <v>7.1299999999999955</v>
      </c>
      <c r="AN2691" s="21">
        <v>4</v>
      </c>
      <c r="AO2691" s="21">
        <v>25</v>
      </c>
      <c r="AP2691" s="21">
        <f>27</f>
        <v>27</v>
      </c>
      <c r="AQ2691" s="22" t="s">
        <v>3080</v>
      </c>
      <c r="AR2691" s="21" t="s">
        <v>1155</v>
      </c>
      <c r="AS2691" t="s">
        <v>3081</v>
      </c>
    </row>
    <row r="2692" spans="1:45" ht="15" customHeight="1" x14ac:dyDescent="0.2">
      <c r="A2692" s="21" t="s">
        <v>1682</v>
      </c>
      <c r="B2692" s="21" t="s">
        <v>1146</v>
      </c>
      <c r="C2692" s="21" t="s">
        <v>1149</v>
      </c>
      <c r="D2692" s="21" t="s">
        <v>3067</v>
      </c>
      <c r="E2692" s="21" t="s">
        <v>1681</v>
      </c>
      <c r="G2692" s="21" t="s">
        <v>1165</v>
      </c>
      <c r="H2692" s="21" t="s">
        <v>1165</v>
      </c>
      <c r="I2692" s="21" t="s">
        <v>3068</v>
      </c>
      <c r="J2692">
        <v>-34.642222222222202</v>
      </c>
      <c r="K2692">
        <v>116.123611111111</v>
      </c>
      <c r="M2692" s="21" t="s">
        <v>3069</v>
      </c>
      <c r="O2692" s="21">
        <v>2011</v>
      </c>
      <c r="Q2692" s="21" t="s">
        <v>3070</v>
      </c>
      <c r="R2692">
        <v>851.66800000000001</v>
      </c>
      <c r="S2692">
        <v>15</v>
      </c>
      <c r="T2692" s="21">
        <v>15</v>
      </c>
      <c r="U2692" s="21" t="s">
        <v>1147</v>
      </c>
      <c r="V2692" s="9" t="s">
        <v>1201</v>
      </c>
      <c r="W2692">
        <v>28</v>
      </c>
      <c r="X2692" s="9" t="s">
        <v>1291</v>
      </c>
      <c r="Z2692" s="22">
        <v>12</v>
      </c>
      <c r="AD2692" s="22" t="s">
        <v>1165</v>
      </c>
      <c r="AF2692" s="24" t="s">
        <v>153</v>
      </c>
      <c r="AG2692" t="s">
        <v>3082</v>
      </c>
      <c r="AH2692">
        <f t="shared" ref="AH2692:AH2713" si="23">60*24*28</f>
        <v>40320</v>
      </c>
      <c r="AI2692" s="21" t="s">
        <v>153</v>
      </c>
      <c r="AJ2692" s="21" t="s">
        <v>1148</v>
      </c>
      <c r="AK2692" s="21">
        <v>41.738999999999997</v>
      </c>
      <c r="AL2692" s="21" t="s">
        <v>1263</v>
      </c>
      <c r="AM2692">
        <f>45.087-38.478</f>
        <v>6.6090000000000018</v>
      </c>
      <c r="AN2692" s="21">
        <v>4</v>
      </c>
      <c r="AO2692" s="21">
        <v>25</v>
      </c>
      <c r="AP2692" s="21">
        <v>28</v>
      </c>
      <c r="AQ2692" s="22" t="s">
        <v>3080</v>
      </c>
      <c r="AR2692" s="21" t="s">
        <v>1155</v>
      </c>
      <c r="AS2692" t="s">
        <v>3081</v>
      </c>
    </row>
    <row r="2693" spans="1:45" ht="15" customHeight="1" x14ac:dyDescent="0.2">
      <c r="A2693" s="21" t="s">
        <v>1682</v>
      </c>
      <c r="B2693" s="21" t="s">
        <v>1146</v>
      </c>
      <c r="C2693" s="21" t="s">
        <v>1149</v>
      </c>
      <c r="D2693" s="21" t="s">
        <v>3067</v>
      </c>
      <c r="E2693" s="21" t="s">
        <v>1681</v>
      </c>
      <c r="G2693" s="21" t="s">
        <v>1165</v>
      </c>
      <c r="H2693" s="21" t="s">
        <v>1165</v>
      </c>
      <c r="I2693" s="21" t="s">
        <v>3068</v>
      </c>
      <c r="J2693">
        <v>-34.642222222222202</v>
      </c>
      <c r="K2693">
        <v>116.123611111111</v>
      </c>
      <c r="M2693" s="21" t="s">
        <v>3069</v>
      </c>
      <c r="O2693" s="21">
        <v>2011</v>
      </c>
      <c r="Q2693" s="21" t="s">
        <v>3070</v>
      </c>
      <c r="R2693">
        <v>851.66800000000001</v>
      </c>
      <c r="S2693">
        <v>15</v>
      </c>
      <c r="T2693" s="21">
        <v>15</v>
      </c>
      <c r="U2693" s="21" t="s">
        <v>1147</v>
      </c>
      <c r="V2693" s="9" t="s">
        <v>1201</v>
      </c>
      <c r="W2693">
        <v>28</v>
      </c>
      <c r="X2693" s="9" t="s">
        <v>1291</v>
      </c>
      <c r="Z2693" s="22">
        <v>12</v>
      </c>
      <c r="AD2693" s="22" t="s">
        <v>1165</v>
      </c>
      <c r="AF2693" s="24" t="s">
        <v>153</v>
      </c>
      <c r="AG2693" t="s">
        <v>1160</v>
      </c>
      <c r="AH2693">
        <f t="shared" si="23"/>
        <v>40320</v>
      </c>
      <c r="AI2693" s="21" t="s">
        <v>153</v>
      </c>
      <c r="AJ2693" s="21" t="s">
        <v>1148</v>
      </c>
      <c r="AK2693" s="21">
        <v>50</v>
      </c>
      <c r="AL2693" s="21"/>
      <c r="AN2693" s="21">
        <v>4</v>
      </c>
      <c r="AO2693" s="21">
        <v>25</v>
      </c>
      <c r="AP2693" s="21">
        <v>16.399999999999999</v>
      </c>
      <c r="AQ2693" s="22" t="s">
        <v>3080</v>
      </c>
      <c r="AR2693" s="21" t="s">
        <v>3005</v>
      </c>
      <c r="AS2693" t="s">
        <v>3081</v>
      </c>
    </row>
    <row r="2694" spans="1:45" ht="15" customHeight="1" x14ac:dyDescent="0.2">
      <c r="A2694" s="21" t="s">
        <v>1682</v>
      </c>
      <c r="B2694" s="21" t="s">
        <v>1146</v>
      </c>
      <c r="C2694" s="21" t="s">
        <v>1149</v>
      </c>
      <c r="D2694" s="21" t="s">
        <v>3067</v>
      </c>
      <c r="E2694" s="21" t="s">
        <v>1681</v>
      </c>
      <c r="G2694" s="21" t="s">
        <v>1165</v>
      </c>
      <c r="H2694" s="21" t="s">
        <v>1165</v>
      </c>
      <c r="I2694" s="21" t="s">
        <v>3068</v>
      </c>
      <c r="J2694">
        <v>-34.642222222222202</v>
      </c>
      <c r="K2694">
        <v>116.123611111111</v>
      </c>
      <c r="M2694" s="21" t="s">
        <v>3069</v>
      </c>
      <c r="O2694" s="21">
        <v>2011</v>
      </c>
      <c r="Q2694" s="21" t="s">
        <v>3070</v>
      </c>
      <c r="R2694">
        <v>851.66800000000001</v>
      </c>
      <c r="S2694">
        <v>15</v>
      </c>
      <c r="T2694" s="21">
        <v>15</v>
      </c>
      <c r="U2694" s="21" t="s">
        <v>1147</v>
      </c>
      <c r="V2694" s="9" t="s">
        <v>1201</v>
      </c>
      <c r="W2694">
        <v>28</v>
      </c>
      <c r="X2694" s="9" t="s">
        <v>1292</v>
      </c>
      <c r="Z2694" s="22">
        <v>12</v>
      </c>
      <c r="AD2694" s="22" t="s">
        <v>1165</v>
      </c>
      <c r="AF2694" s="24" t="s">
        <v>153</v>
      </c>
      <c r="AG2694" t="s">
        <v>1160</v>
      </c>
      <c r="AH2694">
        <f t="shared" si="23"/>
        <v>40320</v>
      </c>
      <c r="AI2694" s="21" t="s">
        <v>153</v>
      </c>
      <c r="AJ2694" s="21" t="s">
        <v>1148</v>
      </c>
      <c r="AK2694" s="21">
        <v>50</v>
      </c>
      <c r="AL2694" s="21"/>
      <c r="AN2694" s="21">
        <v>4</v>
      </c>
      <c r="AO2694" s="21">
        <v>25</v>
      </c>
      <c r="AP2694" s="21">
        <v>13.6</v>
      </c>
      <c r="AQ2694" s="22" t="s">
        <v>3080</v>
      </c>
      <c r="AR2694" s="21" t="s">
        <v>3005</v>
      </c>
      <c r="AS2694" t="s">
        <v>3081</v>
      </c>
    </row>
    <row r="2695" spans="1:45" ht="15" customHeight="1" x14ac:dyDescent="0.2">
      <c r="A2695" s="21" t="s">
        <v>1682</v>
      </c>
      <c r="B2695" s="21" t="s">
        <v>1146</v>
      </c>
      <c r="C2695" s="21" t="s">
        <v>1149</v>
      </c>
      <c r="D2695" s="21" t="s">
        <v>3067</v>
      </c>
      <c r="E2695" s="21" t="s">
        <v>1681</v>
      </c>
      <c r="G2695" s="21" t="s">
        <v>1165</v>
      </c>
      <c r="H2695" s="21" t="s">
        <v>1165</v>
      </c>
      <c r="I2695" s="21" t="s">
        <v>3068</v>
      </c>
      <c r="J2695">
        <v>-34.642222222222202</v>
      </c>
      <c r="K2695">
        <v>116.123611111111</v>
      </c>
      <c r="M2695" s="21" t="s">
        <v>3069</v>
      </c>
      <c r="O2695" s="21">
        <v>2011</v>
      </c>
      <c r="Q2695" s="21" t="s">
        <v>3070</v>
      </c>
      <c r="R2695">
        <v>851.66800000000001</v>
      </c>
      <c r="S2695">
        <v>15</v>
      </c>
      <c r="T2695" s="21">
        <v>15</v>
      </c>
      <c r="U2695" s="21" t="s">
        <v>1147</v>
      </c>
      <c r="V2695" s="9" t="s">
        <v>1201</v>
      </c>
      <c r="W2695">
        <v>28</v>
      </c>
      <c r="X2695" s="9" t="s">
        <v>1294</v>
      </c>
      <c r="Z2695" s="22">
        <v>12</v>
      </c>
      <c r="AD2695" s="22" t="s">
        <v>1165</v>
      </c>
      <c r="AF2695" s="24" t="s">
        <v>153</v>
      </c>
      <c r="AG2695" t="s">
        <v>1160</v>
      </c>
      <c r="AH2695">
        <f t="shared" si="23"/>
        <v>40320</v>
      </c>
      <c r="AI2695" s="21" t="s">
        <v>153</v>
      </c>
      <c r="AJ2695" s="21" t="s">
        <v>1148</v>
      </c>
      <c r="AK2695" s="21">
        <v>50</v>
      </c>
      <c r="AL2695" s="21"/>
      <c r="AN2695" s="21">
        <v>4</v>
      </c>
      <c r="AO2695" s="21">
        <v>25</v>
      </c>
      <c r="AP2695" s="21">
        <v>16.8</v>
      </c>
      <c r="AQ2695" s="22" t="s">
        <v>3080</v>
      </c>
      <c r="AR2695" s="21" t="s">
        <v>3005</v>
      </c>
      <c r="AS2695" t="s">
        <v>3081</v>
      </c>
    </row>
    <row r="2696" spans="1:45" ht="15" customHeight="1" x14ac:dyDescent="0.2">
      <c r="A2696" s="21" t="s">
        <v>1682</v>
      </c>
      <c r="B2696" s="21" t="s">
        <v>1146</v>
      </c>
      <c r="C2696" s="21" t="s">
        <v>1149</v>
      </c>
      <c r="D2696" s="21" t="s">
        <v>3067</v>
      </c>
      <c r="E2696" s="21" t="s">
        <v>1681</v>
      </c>
      <c r="G2696" s="21" t="s">
        <v>1165</v>
      </c>
      <c r="H2696" s="21" t="s">
        <v>1165</v>
      </c>
      <c r="I2696" s="21" t="s">
        <v>3068</v>
      </c>
      <c r="J2696">
        <v>-34.642222222222202</v>
      </c>
      <c r="K2696">
        <v>116.123611111111</v>
      </c>
      <c r="M2696" s="21" t="s">
        <v>3069</v>
      </c>
      <c r="O2696" s="21">
        <v>2011</v>
      </c>
      <c r="Q2696" s="21" t="s">
        <v>3070</v>
      </c>
      <c r="R2696">
        <v>851.66800000000001</v>
      </c>
      <c r="S2696">
        <v>15</v>
      </c>
      <c r="T2696" s="21">
        <v>15</v>
      </c>
      <c r="U2696" s="21" t="s">
        <v>1147</v>
      </c>
      <c r="V2696" s="9" t="s">
        <v>1201</v>
      </c>
      <c r="W2696">
        <v>28</v>
      </c>
      <c r="X2696" s="9" t="s">
        <v>1295</v>
      </c>
      <c r="Z2696" s="22">
        <v>12</v>
      </c>
      <c r="AD2696" s="22" t="s">
        <v>1165</v>
      </c>
      <c r="AF2696" s="24" t="s">
        <v>153</v>
      </c>
      <c r="AG2696" t="s">
        <v>1160</v>
      </c>
      <c r="AH2696">
        <f t="shared" si="23"/>
        <v>40320</v>
      </c>
      <c r="AI2696" s="21" t="s">
        <v>153</v>
      </c>
      <c r="AJ2696" s="21" t="s">
        <v>1148</v>
      </c>
      <c r="AK2696" s="21">
        <v>50</v>
      </c>
      <c r="AL2696" s="21"/>
      <c r="AN2696" s="21">
        <v>4</v>
      </c>
      <c r="AO2696" s="21">
        <v>25</v>
      </c>
      <c r="AP2696" s="21">
        <v>17.7</v>
      </c>
      <c r="AQ2696" s="22" t="s">
        <v>3080</v>
      </c>
      <c r="AR2696" s="21" t="s">
        <v>3005</v>
      </c>
      <c r="AS2696" t="s">
        <v>3081</v>
      </c>
    </row>
    <row r="2697" spans="1:45" ht="15" customHeight="1" x14ac:dyDescent="0.2">
      <c r="A2697" s="21" t="s">
        <v>1682</v>
      </c>
      <c r="B2697" s="21" t="s">
        <v>1146</v>
      </c>
      <c r="C2697" s="21" t="s">
        <v>1149</v>
      </c>
      <c r="D2697" s="21" t="s">
        <v>3067</v>
      </c>
      <c r="E2697" s="21" t="s">
        <v>1681</v>
      </c>
      <c r="G2697" s="21" t="s">
        <v>1165</v>
      </c>
      <c r="H2697" s="21" t="s">
        <v>1165</v>
      </c>
      <c r="I2697" s="21" t="s">
        <v>3068</v>
      </c>
      <c r="J2697">
        <v>-34.642222222222202</v>
      </c>
      <c r="K2697">
        <v>116.123611111111</v>
      </c>
      <c r="M2697" s="21" t="s">
        <v>3069</v>
      </c>
      <c r="O2697" s="21">
        <v>2011</v>
      </c>
      <c r="Q2697" s="21" t="s">
        <v>3070</v>
      </c>
      <c r="R2697">
        <v>851.66800000000001</v>
      </c>
      <c r="S2697">
        <v>15</v>
      </c>
      <c r="T2697" s="21">
        <v>15</v>
      </c>
      <c r="U2697" s="21" t="s">
        <v>1147</v>
      </c>
      <c r="V2697" s="9" t="s">
        <v>1201</v>
      </c>
      <c r="W2697" t="s">
        <v>3104</v>
      </c>
      <c r="X2697" s="9" t="s">
        <v>3103</v>
      </c>
      <c r="Z2697" s="22">
        <v>12</v>
      </c>
      <c r="AD2697" s="22" t="s">
        <v>1165</v>
      </c>
      <c r="AF2697" s="24" t="s">
        <v>153</v>
      </c>
      <c r="AG2697" t="s">
        <v>1160</v>
      </c>
      <c r="AH2697">
        <f t="shared" si="23"/>
        <v>40320</v>
      </c>
      <c r="AI2697" s="21" t="s">
        <v>153</v>
      </c>
      <c r="AJ2697" s="21" t="s">
        <v>1148</v>
      </c>
      <c r="AK2697" s="21">
        <v>50</v>
      </c>
      <c r="AL2697" s="21"/>
      <c r="AN2697" s="21">
        <v>4</v>
      </c>
      <c r="AO2697" s="21">
        <v>25</v>
      </c>
      <c r="AP2697" s="21">
        <v>10.199999999999999</v>
      </c>
      <c r="AQ2697" s="22" t="s">
        <v>3080</v>
      </c>
      <c r="AR2697" s="21" t="s">
        <v>3005</v>
      </c>
      <c r="AS2697" t="s">
        <v>3105</v>
      </c>
    </row>
    <row r="2698" spans="1:45" ht="15" customHeight="1" x14ac:dyDescent="0.2">
      <c r="A2698" s="21" t="s">
        <v>1682</v>
      </c>
      <c r="B2698" s="21" t="s">
        <v>1146</v>
      </c>
      <c r="C2698" s="21" t="s">
        <v>1149</v>
      </c>
      <c r="D2698" s="21" t="s">
        <v>3067</v>
      </c>
      <c r="E2698" s="21" t="s">
        <v>1681</v>
      </c>
      <c r="G2698" s="21" t="s">
        <v>1165</v>
      </c>
      <c r="H2698" s="21" t="s">
        <v>1165</v>
      </c>
      <c r="I2698" s="21" t="s">
        <v>3068</v>
      </c>
      <c r="J2698">
        <v>-34.642222222222202</v>
      </c>
      <c r="K2698">
        <v>116.123611111111</v>
      </c>
      <c r="M2698" s="21" t="s">
        <v>3069</v>
      </c>
      <c r="O2698" s="21">
        <v>2011</v>
      </c>
      <c r="Q2698" s="21" t="s">
        <v>3070</v>
      </c>
      <c r="R2698">
        <v>851.66800000000001</v>
      </c>
      <c r="S2698">
        <v>15</v>
      </c>
      <c r="T2698" s="21">
        <v>15</v>
      </c>
      <c r="U2698" s="21" t="s">
        <v>1147</v>
      </c>
      <c r="V2698" s="9" t="s">
        <v>1201</v>
      </c>
      <c r="W2698" t="s">
        <v>3104</v>
      </c>
      <c r="X2698" s="9" t="s">
        <v>3106</v>
      </c>
      <c r="Z2698" s="22">
        <v>12</v>
      </c>
      <c r="AD2698" s="22" t="s">
        <v>1165</v>
      </c>
      <c r="AF2698" s="24" t="s">
        <v>153</v>
      </c>
      <c r="AG2698" t="s">
        <v>1160</v>
      </c>
      <c r="AH2698">
        <f t="shared" si="23"/>
        <v>40320</v>
      </c>
      <c r="AI2698" s="21" t="s">
        <v>153</v>
      </c>
      <c r="AJ2698" s="21" t="s">
        <v>1148</v>
      </c>
      <c r="AK2698" s="21">
        <v>50</v>
      </c>
      <c r="AL2698" s="21"/>
      <c r="AN2698" s="21">
        <v>4</v>
      </c>
      <c r="AO2698" s="21">
        <v>25</v>
      </c>
      <c r="AP2698" s="21">
        <v>2.6</v>
      </c>
      <c r="AQ2698" s="22" t="s">
        <v>3080</v>
      </c>
      <c r="AR2698" s="21" t="s">
        <v>3005</v>
      </c>
      <c r="AS2698" t="s">
        <v>3105</v>
      </c>
    </row>
    <row r="2699" spans="1:45" ht="15" customHeight="1" x14ac:dyDescent="0.2">
      <c r="A2699" s="21" t="s">
        <v>1682</v>
      </c>
      <c r="B2699" s="21" t="s">
        <v>1146</v>
      </c>
      <c r="C2699" s="21" t="s">
        <v>1149</v>
      </c>
      <c r="D2699" s="21" t="s">
        <v>3067</v>
      </c>
      <c r="E2699" s="21" t="s">
        <v>1681</v>
      </c>
      <c r="G2699" s="21" t="s">
        <v>1165</v>
      </c>
      <c r="H2699" s="21" t="s">
        <v>1165</v>
      </c>
      <c r="I2699" s="21" t="s">
        <v>3068</v>
      </c>
      <c r="J2699">
        <v>-34.642222222222202</v>
      </c>
      <c r="K2699">
        <v>116.123611111111</v>
      </c>
      <c r="M2699" s="21" t="s">
        <v>3069</v>
      </c>
      <c r="O2699" s="21">
        <v>2011</v>
      </c>
      <c r="Q2699" s="21" t="s">
        <v>3070</v>
      </c>
      <c r="R2699">
        <v>851.66800000000001</v>
      </c>
      <c r="S2699">
        <v>15</v>
      </c>
      <c r="T2699" s="21">
        <v>15</v>
      </c>
      <c r="U2699" s="21" t="s">
        <v>1147</v>
      </c>
      <c r="V2699" s="9" t="s">
        <v>1201</v>
      </c>
      <c r="W2699" t="s">
        <v>3104</v>
      </c>
      <c r="X2699" s="9" t="s">
        <v>3107</v>
      </c>
      <c r="Z2699" s="22">
        <v>12</v>
      </c>
      <c r="AD2699" s="22" t="s">
        <v>1165</v>
      </c>
      <c r="AF2699" s="24" t="s">
        <v>153</v>
      </c>
      <c r="AG2699" t="s">
        <v>1160</v>
      </c>
      <c r="AH2699">
        <f t="shared" si="23"/>
        <v>40320</v>
      </c>
      <c r="AI2699" s="21" t="s">
        <v>153</v>
      </c>
      <c r="AJ2699" s="21" t="s">
        <v>1148</v>
      </c>
      <c r="AK2699" s="21">
        <v>50</v>
      </c>
      <c r="AL2699" s="21"/>
      <c r="AN2699" s="21">
        <v>4</v>
      </c>
      <c r="AO2699" s="21">
        <v>25</v>
      </c>
      <c r="AP2699" s="21">
        <v>18.399999999999999</v>
      </c>
      <c r="AQ2699" s="22" t="s">
        <v>3080</v>
      </c>
      <c r="AR2699" s="21" t="s">
        <v>3005</v>
      </c>
      <c r="AS2699" t="s">
        <v>3105</v>
      </c>
    </row>
    <row r="2700" spans="1:45" ht="15" customHeight="1" x14ac:dyDescent="0.2">
      <c r="A2700" s="21" t="s">
        <v>1682</v>
      </c>
      <c r="B2700" s="21" t="s">
        <v>1146</v>
      </c>
      <c r="C2700" s="21" t="s">
        <v>1149</v>
      </c>
      <c r="D2700" s="21" t="s">
        <v>3067</v>
      </c>
      <c r="E2700" s="21" t="s">
        <v>1681</v>
      </c>
      <c r="G2700" s="21" t="s">
        <v>1165</v>
      </c>
      <c r="H2700" s="21" t="s">
        <v>1165</v>
      </c>
      <c r="I2700" s="21" t="s">
        <v>3068</v>
      </c>
      <c r="J2700">
        <v>-34.642222222222202</v>
      </c>
      <c r="K2700">
        <v>116.123611111111</v>
      </c>
      <c r="M2700" s="21" t="s">
        <v>3069</v>
      </c>
      <c r="O2700" s="21">
        <v>2011</v>
      </c>
      <c r="Q2700" s="21" t="s">
        <v>3070</v>
      </c>
      <c r="R2700">
        <v>851.66800000000001</v>
      </c>
      <c r="S2700">
        <v>15</v>
      </c>
      <c r="T2700" s="21">
        <v>15</v>
      </c>
      <c r="U2700" s="21" t="s">
        <v>1147</v>
      </c>
      <c r="V2700" s="9" t="s">
        <v>1201</v>
      </c>
      <c r="W2700">
        <v>28</v>
      </c>
      <c r="X2700" s="9" t="s">
        <v>1291</v>
      </c>
      <c r="Z2700" s="22">
        <v>12</v>
      </c>
      <c r="AD2700" s="22" t="s">
        <v>1165</v>
      </c>
      <c r="AF2700" s="24" t="s">
        <v>153</v>
      </c>
      <c r="AG2700" t="s">
        <v>3072</v>
      </c>
      <c r="AH2700">
        <f t="shared" si="23"/>
        <v>40320</v>
      </c>
      <c r="AI2700" s="21" t="s">
        <v>153</v>
      </c>
      <c r="AJ2700" s="21" t="s">
        <v>1148</v>
      </c>
      <c r="AK2700" s="21">
        <v>50</v>
      </c>
      <c r="AL2700" s="21"/>
      <c r="AN2700" s="21">
        <v>4</v>
      </c>
      <c r="AO2700" s="21">
        <v>25</v>
      </c>
      <c r="AP2700" s="21">
        <v>16.399999999999999</v>
      </c>
      <c r="AQ2700" s="22" t="s">
        <v>3080</v>
      </c>
      <c r="AR2700" s="21" t="s">
        <v>3005</v>
      </c>
      <c r="AS2700" t="s">
        <v>3081</v>
      </c>
    </row>
    <row r="2701" spans="1:45" ht="15" customHeight="1" x14ac:dyDescent="0.2">
      <c r="A2701" s="21" t="s">
        <v>1682</v>
      </c>
      <c r="B2701" s="21" t="s">
        <v>1146</v>
      </c>
      <c r="C2701" s="21" t="s">
        <v>1149</v>
      </c>
      <c r="D2701" s="21" t="s">
        <v>3067</v>
      </c>
      <c r="E2701" s="21" t="s">
        <v>1681</v>
      </c>
      <c r="G2701" s="21" t="s">
        <v>1165</v>
      </c>
      <c r="H2701" s="21" t="s">
        <v>1165</v>
      </c>
      <c r="I2701" s="21" t="s">
        <v>3068</v>
      </c>
      <c r="J2701">
        <v>-34.642222222222202</v>
      </c>
      <c r="K2701">
        <v>116.123611111111</v>
      </c>
      <c r="M2701" s="21" t="s">
        <v>3069</v>
      </c>
      <c r="O2701" s="21">
        <v>2011</v>
      </c>
      <c r="Q2701" s="21" t="s">
        <v>3070</v>
      </c>
      <c r="R2701">
        <v>851.66800000000001</v>
      </c>
      <c r="S2701">
        <v>15</v>
      </c>
      <c r="T2701" s="21">
        <v>15</v>
      </c>
      <c r="U2701" s="21" t="s">
        <v>1147</v>
      </c>
      <c r="V2701" s="9" t="s">
        <v>1201</v>
      </c>
      <c r="W2701">
        <v>28</v>
      </c>
      <c r="X2701" s="9" t="s">
        <v>1292</v>
      </c>
      <c r="Z2701" s="22">
        <v>12</v>
      </c>
      <c r="AD2701" s="22" t="s">
        <v>1165</v>
      </c>
      <c r="AF2701" s="24" t="s">
        <v>153</v>
      </c>
      <c r="AG2701" t="s">
        <v>3072</v>
      </c>
      <c r="AH2701">
        <f t="shared" si="23"/>
        <v>40320</v>
      </c>
      <c r="AI2701" s="21" t="s">
        <v>153</v>
      </c>
      <c r="AJ2701" s="21" t="s">
        <v>1148</v>
      </c>
      <c r="AK2701" s="21">
        <v>50</v>
      </c>
      <c r="AL2701" s="21"/>
      <c r="AN2701" s="21">
        <v>4</v>
      </c>
      <c r="AO2701" s="21">
        <v>25</v>
      </c>
      <c r="AP2701" s="21">
        <v>13.7</v>
      </c>
      <c r="AQ2701" s="22" t="s">
        <v>3080</v>
      </c>
      <c r="AR2701" s="21" t="s">
        <v>3005</v>
      </c>
      <c r="AS2701" t="s">
        <v>3081</v>
      </c>
    </row>
    <row r="2702" spans="1:45" ht="15" customHeight="1" x14ac:dyDescent="0.2">
      <c r="A2702" s="21" t="s">
        <v>1682</v>
      </c>
      <c r="B2702" s="21" t="s">
        <v>1146</v>
      </c>
      <c r="C2702" s="21" t="s">
        <v>1149</v>
      </c>
      <c r="D2702" s="21" t="s">
        <v>3067</v>
      </c>
      <c r="E2702" s="21" t="s">
        <v>1681</v>
      </c>
      <c r="G2702" s="21" t="s">
        <v>1165</v>
      </c>
      <c r="H2702" s="21" t="s">
        <v>1165</v>
      </c>
      <c r="I2702" s="21" t="s">
        <v>3068</v>
      </c>
      <c r="J2702">
        <v>-34.642222222222202</v>
      </c>
      <c r="K2702">
        <v>116.123611111111</v>
      </c>
      <c r="M2702" s="21" t="s">
        <v>3069</v>
      </c>
      <c r="O2702" s="21">
        <v>2011</v>
      </c>
      <c r="Q2702" s="21" t="s">
        <v>3070</v>
      </c>
      <c r="R2702">
        <v>851.66800000000001</v>
      </c>
      <c r="S2702">
        <v>15</v>
      </c>
      <c r="T2702" s="21">
        <v>15</v>
      </c>
      <c r="U2702" s="21" t="s">
        <v>1147</v>
      </c>
      <c r="V2702" s="9" t="s">
        <v>1201</v>
      </c>
      <c r="W2702">
        <v>28</v>
      </c>
      <c r="X2702" s="9" t="s">
        <v>1294</v>
      </c>
      <c r="Z2702" s="22">
        <v>12</v>
      </c>
      <c r="AD2702" s="22" t="s">
        <v>1165</v>
      </c>
      <c r="AF2702" s="24" t="s">
        <v>153</v>
      </c>
      <c r="AG2702" t="s">
        <v>3072</v>
      </c>
      <c r="AH2702">
        <f t="shared" si="23"/>
        <v>40320</v>
      </c>
      <c r="AI2702" s="21" t="s">
        <v>153</v>
      </c>
      <c r="AJ2702" s="21" t="s">
        <v>1148</v>
      </c>
      <c r="AK2702" s="21">
        <v>50</v>
      </c>
      <c r="AL2702" s="21"/>
      <c r="AN2702" s="21">
        <v>4</v>
      </c>
      <c r="AO2702" s="21">
        <v>25</v>
      </c>
      <c r="AP2702" s="21">
        <v>17.5</v>
      </c>
      <c r="AQ2702" s="22" t="s">
        <v>3080</v>
      </c>
      <c r="AR2702" s="21" t="s">
        <v>3005</v>
      </c>
      <c r="AS2702" t="s">
        <v>3081</v>
      </c>
    </row>
    <row r="2703" spans="1:45" ht="15" customHeight="1" x14ac:dyDescent="0.2">
      <c r="A2703" s="21" t="s">
        <v>1682</v>
      </c>
      <c r="B2703" s="21" t="s">
        <v>1146</v>
      </c>
      <c r="C2703" s="21" t="s">
        <v>1149</v>
      </c>
      <c r="D2703" s="21" t="s">
        <v>3067</v>
      </c>
      <c r="E2703" s="21" t="s">
        <v>1681</v>
      </c>
      <c r="G2703" s="21" t="s">
        <v>1165</v>
      </c>
      <c r="H2703" s="21" t="s">
        <v>1165</v>
      </c>
      <c r="I2703" s="21" t="s">
        <v>3068</v>
      </c>
      <c r="J2703">
        <v>-34.642222222222202</v>
      </c>
      <c r="K2703">
        <v>116.123611111111</v>
      </c>
      <c r="M2703" s="21" t="s">
        <v>3069</v>
      </c>
      <c r="O2703" s="21">
        <v>2011</v>
      </c>
      <c r="Q2703" s="21" t="s">
        <v>3070</v>
      </c>
      <c r="R2703">
        <v>851.66800000000001</v>
      </c>
      <c r="S2703">
        <v>15</v>
      </c>
      <c r="T2703" s="21">
        <v>15</v>
      </c>
      <c r="U2703" s="21" t="s">
        <v>1147</v>
      </c>
      <c r="V2703" s="9" t="s">
        <v>1201</v>
      </c>
      <c r="W2703">
        <v>28</v>
      </c>
      <c r="X2703" s="9" t="s">
        <v>1295</v>
      </c>
      <c r="Z2703" s="22">
        <v>12</v>
      </c>
      <c r="AD2703" s="22" t="s">
        <v>1165</v>
      </c>
      <c r="AF2703" s="24" t="s">
        <v>153</v>
      </c>
      <c r="AG2703" t="s">
        <v>3072</v>
      </c>
      <c r="AH2703">
        <f t="shared" si="23"/>
        <v>40320</v>
      </c>
      <c r="AI2703" s="21" t="s">
        <v>153</v>
      </c>
      <c r="AJ2703" s="21" t="s">
        <v>1148</v>
      </c>
      <c r="AK2703" s="21">
        <v>50</v>
      </c>
      <c r="AL2703" s="21"/>
      <c r="AN2703" s="21">
        <v>4</v>
      </c>
      <c r="AO2703" s="21">
        <v>25</v>
      </c>
      <c r="AP2703" s="21">
        <v>17.899999999999999</v>
      </c>
      <c r="AQ2703" s="22" t="s">
        <v>3080</v>
      </c>
      <c r="AR2703" s="21" t="s">
        <v>3005</v>
      </c>
      <c r="AS2703" t="s">
        <v>3081</v>
      </c>
    </row>
    <row r="2704" spans="1:45" ht="15" customHeight="1" x14ac:dyDescent="0.2">
      <c r="A2704" s="21" t="s">
        <v>1682</v>
      </c>
      <c r="B2704" s="21" t="s">
        <v>1146</v>
      </c>
      <c r="C2704" s="21" t="s">
        <v>1149</v>
      </c>
      <c r="D2704" s="21" t="s">
        <v>3067</v>
      </c>
      <c r="E2704" s="21" t="s">
        <v>1681</v>
      </c>
      <c r="G2704" s="21" t="s">
        <v>1165</v>
      </c>
      <c r="H2704" s="21" t="s">
        <v>1165</v>
      </c>
      <c r="I2704" s="21" t="s">
        <v>3068</v>
      </c>
      <c r="J2704">
        <v>-34.642222222222202</v>
      </c>
      <c r="K2704">
        <v>116.123611111111</v>
      </c>
      <c r="M2704" s="21" t="s">
        <v>3069</v>
      </c>
      <c r="O2704" s="21">
        <v>2011</v>
      </c>
      <c r="Q2704" s="21" t="s">
        <v>3070</v>
      </c>
      <c r="R2704">
        <v>851.66800000000001</v>
      </c>
      <c r="S2704">
        <v>15</v>
      </c>
      <c r="T2704" s="21">
        <v>15</v>
      </c>
      <c r="U2704" s="21" t="s">
        <v>1147</v>
      </c>
      <c r="V2704" s="9" t="s">
        <v>1201</v>
      </c>
      <c r="W2704" t="s">
        <v>3104</v>
      </c>
      <c r="X2704" s="9" t="s">
        <v>3103</v>
      </c>
      <c r="Z2704" s="22">
        <v>12</v>
      </c>
      <c r="AD2704" s="22" t="s">
        <v>1165</v>
      </c>
      <c r="AF2704" s="24" t="s">
        <v>153</v>
      </c>
      <c r="AG2704" t="s">
        <v>3072</v>
      </c>
      <c r="AH2704">
        <f t="shared" si="23"/>
        <v>40320</v>
      </c>
      <c r="AI2704" s="21" t="s">
        <v>153</v>
      </c>
      <c r="AJ2704" s="21" t="s">
        <v>1148</v>
      </c>
      <c r="AK2704" s="21">
        <v>50</v>
      </c>
      <c r="AL2704" s="21"/>
      <c r="AN2704" s="21">
        <v>4</v>
      </c>
      <c r="AO2704" s="21">
        <v>25</v>
      </c>
      <c r="AP2704" s="21">
        <v>10.4</v>
      </c>
      <c r="AQ2704" s="22" t="s">
        <v>3080</v>
      </c>
      <c r="AR2704" s="21" t="s">
        <v>3005</v>
      </c>
      <c r="AS2704" t="s">
        <v>3105</v>
      </c>
    </row>
    <row r="2705" spans="1:45" ht="15" customHeight="1" x14ac:dyDescent="0.2">
      <c r="A2705" s="21" t="s">
        <v>1682</v>
      </c>
      <c r="B2705" s="21" t="s">
        <v>1146</v>
      </c>
      <c r="C2705" s="21" t="s">
        <v>1149</v>
      </c>
      <c r="D2705" s="21" t="s">
        <v>3067</v>
      </c>
      <c r="E2705" s="21" t="s">
        <v>1681</v>
      </c>
      <c r="G2705" s="21" t="s">
        <v>1165</v>
      </c>
      <c r="H2705" s="21" t="s">
        <v>1165</v>
      </c>
      <c r="I2705" s="21" t="s">
        <v>3068</v>
      </c>
      <c r="J2705">
        <v>-34.642222222222202</v>
      </c>
      <c r="K2705">
        <v>116.123611111111</v>
      </c>
      <c r="M2705" s="21" t="s">
        <v>3069</v>
      </c>
      <c r="O2705" s="21">
        <v>2011</v>
      </c>
      <c r="Q2705" s="21" t="s">
        <v>3070</v>
      </c>
      <c r="R2705">
        <v>851.66800000000001</v>
      </c>
      <c r="S2705">
        <v>15</v>
      </c>
      <c r="T2705" s="21">
        <v>15</v>
      </c>
      <c r="U2705" s="21" t="s">
        <v>1147</v>
      </c>
      <c r="V2705" s="9" t="s">
        <v>1201</v>
      </c>
      <c r="W2705" t="s">
        <v>3104</v>
      </c>
      <c r="X2705" s="9" t="s">
        <v>3106</v>
      </c>
      <c r="Z2705" s="22">
        <v>12</v>
      </c>
      <c r="AD2705" s="22" t="s">
        <v>1165</v>
      </c>
      <c r="AF2705" s="24" t="s">
        <v>153</v>
      </c>
      <c r="AG2705" t="s">
        <v>3072</v>
      </c>
      <c r="AH2705">
        <f t="shared" si="23"/>
        <v>40320</v>
      </c>
      <c r="AI2705" s="21" t="s">
        <v>153</v>
      </c>
      <c r="AJ2705" s="21" t="s">
        <v>1148</v>
      </c>
      <c r="AK2705" s="21">
        <v>50</v>
      </c>
      <c r="AL2705" s="21"/>
      <c r="AN2705" s="21">
        <v>4</v>
      </c>
      <c r="AO2705" s="21">
        <v>25</v>
      </c>
      <c r="AP2705" s="21">
        <v>2.8</v>
      </c>
      <c r="AQ2705" s="22" t="s">
        <v>3080</v>
      </c>
      <c r="AR2705" s="21" t="s">
        <v>3005</v>
      </c>
      <c r="AS2705" t="s">
        <v>3105</v>
      </c>
    </row>
    <row r="2706" spans="1:45" ht="15" customHeight="1" x14ac:dyDescent="0.2">
      <c r="A2706" s="21" t="s">
        <v>1682</v>
      </c>
      <c r="B2706" s="21" t="s">
        <v>1146</v>
      </c>
      <c r="C2706" s="21" t="s">
        <v>1149</v>
      </c>
      <c r="D2706" s="21" t="s">
        <v>3067</v>
      </c>
      <c r="E2706" s="21" t="s">
        <v>1681</v>
      </c>
      <c r="G2706" s="21" t="s">
        <v>1165</v>
      </c>
      <c r="H2706" s="21" t="s">
        <v>1165</v>
      </c>
      <c r="I2706" s="21" t="s">
        <v>3068</v>
      </c>
      <c r="J2706">
        <v>-34.642222222222202</v>
      </c>
      <c r="K2706">
        <v>116.123611111111</v>
      </c>
      <c r="M2706" s="21" t="s">
        <v>3069</v>
      </c>
      <c r="O2706" s="21">
        <v>2011</v>
      </c>
      <c r="Q2706" s="21" t="s">
        <v>3070</v>
      </c>
      <c r="R2706">
        <v>851.66800000000001</v>
      </c>
      <c r="S2706">
        <v>15</v>
      </c>
      <c r="T2706" s="21">
        <v>15</v>
      </c>
      <c r="U2706" s="21" t="s">
        <v>1147</v>
      </c>
      <c r="V2706" s="9" t="s">
        <v>1201</v>
      </c>
      <c r="W2706" t="s">
        <v>3104</v>
      </c>
      <c r="X2706" s="9" t="s">
        <v>3107</v>
      </c>
      <c r="Z2706" s="22">
        <v>12</v>
      </c>
      <c r="AD2706" s="22" t="s">
        <v>1165</v>
      </c>
      <c r="AF2706" s="24" t="s">
        <v>153</v>
      </c>
      <c r="AG2706" t="s">
        <v>3072</v>
      </c>
      <c r="AH2706">
        <f t="shared" si="23"/>
        <v>40320</v>
      </c>
      <c r="AI2706" s="21" t="s">
        <v>153</v>
      </c>
      <c r="AJ2706" s="21" t="s">
        <v>1148</v>
      </c>
      <c r="AK2706" s="21">
        <v>50</v>
      </c>
      <c r="AL2706" s="21"/>
      <c r="AN2706" s="21">
        <v>4</v>
      </c>
      <c r="AO2706" s="21">
        <v>25</v>
      </c>
      <c r="AP2706" s="21">
        <v>18</v>
      </c>
      <c r="AQ2706" s="22" t="s">
        <v>3080</v>
      </c>
      <c r="AR2706" s="21" t="s">
        <v>3005</v>
      </c>
      <c r="AS2706" t="s">
        <v>3105</v>
      </c>
    </row>
    <row r="2707" spans="1:45" ht="15" customHeight="1" x14ac:dyDescent="0.2">
      <c r="A2707" s="21" t="s">
        <v>1682</v>
      </c>
      <c r="B2707" s="21" t="s">
        <v>1146</v>
      </c>
      <c r="C2707" s="21" t="s">
        <v>1149</v>
      </c>
      <c r="D2707" s="21" t="s">
        <v>3067</v>
      </c>
      <c r="E2707" s="21" t="s">
        <v>1681</v>
      </c>
      <c r="G2707" s="21" t="s">
        <v>1165</v>
      </c>
      <c r="H2707" s="21" t="s">
        <v>1165</v>
      </c>
      <c r="I2707" s="21" t="s">
        <v>3068</v>
      </c>
      <c r="J2707">
        <v>-34.642222222222202</v>
      </c>
      <c r="K2707">
        <v>116.123611111111</v>
      </c>
      <c r="M2707" s="21" t="s">
        <v>3069</v>
      </c>
      <c r="O2707" s="21">
        <v>2011</v>
      </c>
      <c r="Q2707" s="21" t="s">
        <v>3070</v>
      </c>
      <c r="R2707">
        <v>851.66800000000001</v>
      </c>
      <c r="S2707">
        <v>15</v>
      </c>
      <c r="T2707" s="21">
        <v>15</v>
      </c>
      <c r="U2707" s="21" t="s">
        <v>1147</v>
      </c>
      <c r="V2707" s="9" t="s">
        <v>1201</v>
      </c>
      <c r="W2707">
        <v>28</v>
      </c>
      <c r="X2707" s="9" t="s">
        <v>1291</v>
      </c>
      <c r="Z2707" s="22">
        <v>12</v>
      </c>
      <c r="AD2707" s="22" t="s">
        <v>1165</v>
      </c>
      <c r="AF2707" s="24" t="s">
        <v>153</v>
      </c>
      <c r="AG2707" t="s">
        <v>3108</v>
      </c>
      <c r="AH2707">
        <f t="shared" si="23"/>
        <v>40320</v>
      </c>
      <c r="AI2707" s="21" t="s">
        <v>153</v>
      </c>
      <c r="AJ2707" s="21" t="s">
        <v>1148</v>
      </c>
      <c r="AK2707" s="21">
        <v>50</v>
      </c>
      <c r="AL2707" s="21"/>
      <c r="AN2707" s="21">
        <v>4</v>
      </c>
      <c r="AO2707" s="21">
        <v>25</v>
      </c>
      <c r="AP2707" s="21">
        <v>16.2</v>
      </c>
      <c r="AQ2707" s="22" t="s">
        <v>3080</v>
      </c>
      <c r="AR2707" s="21" t="s">
        <v>3005</v>
      </c>
      <c r="AS2707" t="s">
        <v>3081</v>
      </c>
    </row>
    <row r="2708" spans="1:45" ht="15" customHeight="1" x14ac:dyDescent="0.2">
      <c r="A2708" s="21" t="s">
        <v>1682</v>
      </c>
      <c r="B2708" s="21" t="s">
        <v>1146</v>
      </c>
      <c r="C2708" s="21" t="s">
        <v>1149</v>
      </c>
      <c r="D2708" s="21" t="s">
        <v>3067</v>
      </c>
      <c r="E2708" s="21" t="s">
        <v>1681</v>
      </c>
      <c r="G2708" s="21" t="s">
        <v>1165</v>
      </c>
      <c r="H2708" s="21" t="s">
        <v>1165</v>
      </c>
      <c r="I2708" s="21" t="s">
        <v>3068</v>
      </c>
      <c r="J2708">
        <v>-34.642222222222202</v>
      </c>
      <c r="K2708">
        <v>116.123611111111</v>
      </c>
      <c r="M2708" s="21" t="s">
        <v>3069</v>
      </c>
      <c r="O2708" s="21">
        <v>2011</v>
      </c>
      <c r="Q2708" s="21" t="s">
        <v>3070</v>
      </c>
      <c r="R2708">
        <v>851.66800000000001</v>
      </c>
      <c r="S2708">
        <v>15</v>
      </c>
      <c r="T2708" s="21">
        <v>15</v>
      </c>
      <c r="U2708" s="21" t="s">
        <v>1147</v>
      </c>
      <c r="V2708" s="9" t="s">
        <v>1201</v>
      </c>
      <c r="W2708">
        <v>28</v>
      </c>
      <c r="X2708" s="9" t="s">
        <v>1292</v>
      </c>
      <c r="Z2708" s="22">
        <v>12</v>
      </c>
      <c r="AD2708" s="22" t="s">
        <v>1165</v>
      </c>
      <c r="AF2708" s="24" t="s">
        <v>153</v>
      </c>
      <c r="AG2708" t="s">
        <v>3108</v>
      </c>
      <c r="AH2708">
        <f t="shared" si="23"/>
        <v>40320</v>
      </c>
      <c r="AI2708" s="21" t="s">
        <v>153</v>
      </c>
      <c r="AJ2708" s="21" t="s">
        <v>1148</v>
      </c>
      <c r="AK2708" s="21">
        <v>50</v>
      </c>
      <c r="AL2708" s="21"/>
      <c r="AN2708" s="21">
        <v>4</v>
      </c>
      <c r="AO2708" s="21">
        <v>25</v>
      </c>
      <c r="AP2708" s="21">
        <v>13.9</v>
      </c>
      <c r="AQ2708" s="22" t="s">
        <v>3080</v>
      </c>
      <c r="AR2708" s="21" t="s">
        <v>3005</v>
      </c>
      <c r="AS2708" t="s">
        <v>3081</v>
      </c>
    </row>
    <row r="2709" spans="1:45" ht="15" customHeight="1" x14ac:dyDescent="0.2">
      <c r="A2709" s="21" t="s">
        <v>1682</v>
      </c>
      <c r="B2709" s="21" t="s">
        <v>1146</v>
      </c>
      <c r="C2709" s="21" t="s">
        <v>1149</v>
      </c>
      <c r="D2709" s="21" t="s">
        <v>3067</v>
      </c>
      <c r="E2709" s="21" t="s">
        <v>1681</v>
      </c>
      <c r="G2709" s="21" t="s">
        <v>1165</v>
      </c>
      <c r="H2709" s="21" t="s">
        <v>1165</v>
      </c>
      <c r="I2709" s="21" t="s">
        <v>3068</v>
      </c>
      <c r="J2709">
        <v>-34.642222222222202</v>
      </c>
      <c r="K2709">
        <v>116.123611111111</v>
      </c>
      <c r="M2709" s="21" t="s">
        <v>3069</v>
      </c>
      <c r="O2709" s="21">
        <v>2011</v>
      </c>
      <c r="Q2709" s="21" t="s">
        <v>3070</v>
      </c>
      <c r="R2709">
        <v>851.66800000000001</v>
      </c>
      <c r="S2709">
        <v>15</v>
      </c>
      <c r="T2709" s="21">
        <v>15</v>
      </c>
      <c r="U2709" s="21" t="s">
        <v>1147</v>
      </c>
      <c r="V2709" s="9" t="s">
        <v>1201</v>
      </c>
      <c r="W2709">
        <v>28</v>
      </c>
      <c r="X2709" s="9" t="s">
        <v>1294</v>
      </c>
      <c r="Z2709" s="22">
        <v>12</v>
      </c>
      <c r="AD2709" s="22" t="s">
        <v>1165</v>
      </c>
      <c r="AF2709" s="24" t="s">
        <v>153</v>
      </c>
      <c r="AG2709" t="s">
        <v>3108</v>
      </c>
      <c r="AH2709">
        <f t="shared" si="23"/>
        <v>40320</v>
      </c>
      <c r="AI2709" s="21" t="s">
        <v>153</v>
      </c>
      <c r="AJ2709" s="21" t="s">
        <v>1148</v>
      </c>
      <c r="AK2709" s="21">
        <v>50</v>
      </c>
      <c r="AL2709" s="21"/>
      <c r="AN2709" s="21">
        <v>4</v>
      </c>
      <c r="AO2709" s="21">
        <v>25</v>
      </c>
      <c r="AP2709" s="21">
        <v>17.3</v>
      </c>
      <c r="AQ2709" s="22" t="s">
        <v>3080</v>
      </c>
      <c r="AR2709" s="21" t="s">
        <v>3005</v>
      </c>
      <c r="AS2709" t="s">
        <v>3081</v>
      </c>
    </row>
    <row r="2710" spans="1:45" ht="15" customHeight="1" x14ac:dyDescent="0.2">
      <c r="A2710" s="21" t="s">
        <v>1682</v>
      </c>
      <c r="B2710" s="21" t="s">
        <v>1146</v>
      </c>
      <c r="C2710" s="21" t="s">
        <v>1149</v>
      </c>
      <c r="D2710" s="21" t="s">
        <v>3067</v>
      </c>
      <c r="E2710" s="21" t="s">
        <v>1681</v>
      </c>
      <c r="G2710" s="21" t="s">
        <v>1165</v>
      </c>
      <c r="H2710" s="21" t="s">
        <v>1165</v>
      </c>
      <c r="I2710" s="21" t="s">
        <v>3068</v>
      </c>
      <c r="J2710">
        <v>-34.642222222222202</v>
      </c>
      <c r="K2710">
        <v>116.123611111111</v>
      </c>
      <c r="M2710" s="21" t="s">
        <v>3069</v>
      </c>
      <c r="O2710" s="21">
        <v>2011</v>
      </c>
      <c r="Q2710" s="21" t="s">
        <v>3070</v>
      </c>
      <c r="R2710">
        <v>851.66800000000001</v>
      </c>
      <c r="S2710">
        <v>15</v>
      </c>
      <c r="T2710" s="21">
        <v>15</v>
      </c>
      <c r="U2710" s="21" t="s">
        <v>1147</v>
      </c>
      <c r="V2710" s="9" t="s">
        <v>1201</v>
      </c>
      <c r="W2710">
        <v>28</v>
      </c>
      <c r="X2710" s="9" t="s">
        <v>1295</v>
      </c>
      <c r="Z2710" s="22">
        <v>12</v>
      </c>
      <c r="AD2710" s="22" t="s">
        <v>1165</v>
      </c>
      <c r="AF2710" s="24" t="s">
        <v>153</v>
      </c>
      <c r="AG2710" t="s">
        <v>3108</v>
      </c>
      <c r="AH2710">
        <f t="shared" si="23"/>
        <v>40320</v>
      </c>
      <c r="AI2710" s="21" t="s">
        <v>153</v>
      </c>
      <c r="AJ2710" s="21" t="s">
        <v>1148</v>
      </c>
      <c r="AK2710" s="21">
        <v>50</v>
      </c>
      <c r="AL2710" s="21"/>
      <c r="AN2710" s="21">
        <v>4</v>
      </c>
      <c r="AO2710" s="21">
        <v>25</v>
      </c>
      <c r="AP2710" s="21">
        <v>18.8</v>
      </c>
      <c r="AQ2710" s="22" t="s">
        <v>3080</v>
      </c>
      <c r="AR2710" s="21" t="s">
        <v>3005</v>
      </c>
      <c r="AS2710" t="s">
        <v>3081</v>
      </c>
    </row>
    <row r="2711" spans="1:45" ht="15" customHeight="1" x14ac:dyDescent="0.2">
      <c r="A2711" s="21" t="s">
        <v>1682</v>
      </c>
      <c r="B2711" s="21" t="s">
        <v>1146</v>
      </c>
      <c r="C2711" s="21" t="s">
        <v>1149</v>
      </c>
      <c r="D2711" s="21" t="s">
        <v>3067</v>
      </c>
      <c r="E2711" s="21" t="s">
        <v>1681</v>
      </c>
      <c r="G2711" s="21" t="s">
        <v>1165</v>
      </c>
      <c r="H2711" s="21" t="s">
        <v>1165</v>
      </c>
      <c r="I2711" s="21" t="s">
        <v>3068</v>
      </c>
      <c r="J2711">
        <v>-34.642222222222202</v>
      </c>
      <c r="K2711">
        <v>116.123611111111</v>
      </c>
      <c r="M2711" s="21" t="s">
        <v>3069</v>
      </c>
      <c r="O2711" s="21">
        <v>2011</v>
      </c>
      <c r="Q2711" s="21" t="s">
        <v>3070</v>
      </c>
      <c r="R2711">
        <v>851.66800000000001</v>
      </c>
      <c r="S2711">
        <v>15</v>
      </c>
      <c r="T2711" s="21">
        <v>15</v>
      </c>
      <c r="U2711" s="21" t="s">
        <v>1147</v>
      </c>
      <c r="V2711" s="9" t="s">
        <v>1201</v>
      </c>
      <c r="W2711" t="s">
        <v>3104</v>
      </c>
      <c r="X2711" s="9" t="s">
        <v>3103</v>
      </c>
      <c r="Z2711" s="22">
        <v>12</v>
      </c>
      <c r="AD2711" s="22" t="s">
        <v>1165</v>
      </c>
      <c r="AF2711" s="24" t="s">
        <v>153</v>
      </c>
      <c r="AG2711" t="s">
        <v>3108</v>
      </c>
      <c r="AH2711">
        <f t="shared" si="23"/>
        <v>40320</v>
      </c>
      <c r="AI2711" s="21" t="s">
        <v>153</v>
      </c>
      <c r="AJ2711" s="21" t="s">
        <v>1148</v>
      </c>
      <c r="AK2711" s="21">
        <v>50</v>
      </c>
      <c r="AL2711" s="21"/>
      <c r="AN2711" s="21">
        <v>4</v>
      </c>
      <c r="AO2711" s="21">
        <v>25</v>
      </c>
      <c r="AP2711" s="21">
        <v>10.3</v>
      </c>
      <c r="AQ2711" s="22" t="s">
        <v>3080</v>
      </c>
      <c r="AR2711" s="21" t="s">
        <v>3005</v>
      </c>
      <c r="AS2711" t="s">
        <v>3105</v>
      </c>
    </row>
    <row r="2712" spans="1:45" ht="15" customHeight="1" x14ac:dyDescent="0.2">
      <c r="A2712" s="21" t="s">
        <v>1682</v>
      </c>
      <c r="B2712" s="21" t="s">
        <v>1146</v>
      </c>
      <c r="C2712" s="21" t="s">
        <v>1149</v>
      </c>
      <c r="D2712" s="21" t="s">
        <v>3067</v>
      </c>
      <c r="E2712" s="21" t="s">
        <v>1681</v>
      </c>
      <c r="G2712" s="21" t="s">
        <v>1165</v>
      </c>
      <c r="H2712" s="21" t="s">
        <v>1165</v>
      </c>
      <c r="I2712" s="21" t="s">
        <v>3068</v>
      </c>
      <c r="J2712">
        <v>-34.642222222222202</v>
      </c>
      <c r="K2712">
        <v>116.123611111111</v>
      </c>
      <c r="M2712" s="21" t="s">
        <v>3069</v>
      </c>
      <c r="O2712" s="21">
        <v>2011</v>
      </c>
      <c r="Q2712" s="21" t="s">
        <v>3070</v>
      </c>
      <c r="R2712">
        <v>851.66800000000001</v>
      </c>
      <c r="S2712">
        <v>15</v>
      </c>
      <c r="T2712" s="21">
        <v>15</v>
      </c>
      <c r="U2712" s="21" t="s">
        <v>1147</v>
      </c>
      <c r="V2712" s="9" t="s">
        <v>1201</v>
      </c>
      <c r="W2712" t="s">
        <v>3104</v>
      </c>
      <c r="X2712" s="9" t="s">
        <v>3106</v>
      </c>
      <c r="Z2712" s="22">
        <v>12</v>
      </c>
      <c r="AD2712" s="22" t="s">
        <v>1165</v>
      </c>
      <c r="AF2712" s="24" t="s">
        <v>153</v>
      </c>
      <c r="AG2712" t="s">
        <v>3108</v>
      </c>
      <c r="AH2712">
        <f t="shared" si="23"/>
        <v>40320</v>
      </c>
      <c r="AI2712" s="21" t="s">
        <v>153</v>
      </c>
      <c r="AJ2712" s="21" t="s">
        <v>1148</v>
      </c>
      <c r="AK2712" s="21">
        <v>50</v>
      </c>
      <c r="AL2712" s="21"/>
      <c r="AN2712" s="21">
        <v>4</v>
      </c>
      <c r="AO2712" s="21">
        <v>25</v>
      </c>
      <c r="AP2712" s="21">
        <v>3.2</v>
      </c>
      <c r="AQ2712" s="22" t="s">
        <v>3080</v>
      </c>
      <c r="AR2712" s="21" t="s">
        <v>3005</v>
      </c>
      <c r="AS2712" t="s">
        <v>3105</v>
      </c>
    </row>
    <row r="2713" spans="1:45" ht="15" customHeight="1" x14ac:dyDescent="0.2">
      <c r="A2713" s="21" t="s">
        <v>1682</v>
      </c>
      <c r="B2713" s="21" t="s">
        <v>1146</v>
      </c>
      <c r="C2713" s="21" t="s">
        <v>1149</v>
      </c>
      <c r="D2713" s="21" t="s">
        <v>3067</v>
      </c>
      <c r="E2713" s="21" t="s">
        <v>1681</v>
      </c>
      <c r="G2713" s="21" t="s">
        <v>1165</v>
      </c>
      <c r="H2713" s="21" t="s">
        <v>1165</v>
      </c>
      <c r="I2713" s="21" t="s">
        <v>3068</v>
      </c>
      <c r="J2713">
        <v>-34.642222222222202</v>
      </c>
      <c r="K2713">
        <v>116.123611111111</v>
      </c>
      <c r="M2713" s="21" t="s">
        <v>3069</v>
      </c>
      <c r="O2713" s="21">
        <v>2011</v>
      </c>
      <c r="Q2713" s="21" t="s">
        <v>3070</v>
      </c>
      <c r="R2713">
        <v>851.66800000000001</v>
      </c>
      <c r="S2713">
        <v>15</v>
      </c>
      <c r="T2713" s="21">
        <v>15</v>
      </c>
      <c r="U2713" s="21" t="s">
        <v>1147</v>
      </c>
      <c r="V2713" s="9" t="s">
        <v>1201</v>
      </c>
      <c r="W2713" t="s">
        <v>3104</v>
      </c>
      <c r="X2713" s="9" t="s">
        <v>3107</v>
      </c>
      <c r="Z2713" s="22">
        <v>12</v>
      </c>
      <c r="AD2713" s="22" t="s">
        <v>1165</v>
      </c>
      <c r="AF2713" s="24" t="s">
        <v>153</v>
      </c>
      <c r="AG2713" t="s">
        <v>3108</v>
      </c>
      <c r="AH2713">
        <f t="shared" si="23"/>
        <v>40320</v>
      </c>
      <c r="AI2713" s="21" t="s">
        <v>153</v>
      </c>
      <c r="AJ2713" s="21" t="s">
        <v>1148</v>
      </c>
      <c r="AK2713" s="21">
        <v>50</v>
      </c>
      <c r="AL2713" s="21"/>
      <c r="AN2713" s="21">
        <v>4</v>
      </c>
      <c r="AO2713" s="21">
        <v>25</v>
      </c>
      <c r="AP2713" s="21">
        <v>17.7</v>
      </c>
      <c r="AQ2713" s="22" t="s">
        <v>3080</v>
      </c>
      <c r="AR2713" s="21" t="s">
        <v>3005</v>
      </c>
      <c r="AS2713" t="s">
        <v>3105</v>
      </c>
    </row>
    <row r="2714" spans="1:45" x14ac:dyDescent="0.2">
      <c r="A2714" s="21" t="s">
        <v>1685</v>
      </c>
      <c r="B2714" s="21" t="s">
        <v>1146</v>
      </c>
      <c r="C2714" s="21" t="s">
        <v>1149</v>
      </c>
      <c r="D2714" s="21" t="s">
        <v>420</v>
      </c>
      <c r="E2714" s="21" t="s">
        <v>3083</v>
      </c>
      <c r="G2714" s="21" t="s">
        <v>153</v>
      </c>
      <c r="H2714" s="21" t="s">
        <v>1165</v>
      </c>
      <c r="I2714" s="21" t="s">
        <v>3084</v>
      </c>
      <c r="J2714" s="21">
        <v>49.133333333333297</v>
      </c>
      <c r="K2714">
        <v>-122.75</v>
      </c>
      <c r="L2714">
        <v>1415</v>
      </c>
      <c r="M2714" s="21" t="s">
        <v>3034</v>
      </c>
      <c r="O2714" s="21">
        <v>1985</v>
      </c>
      <c r="Q2714" s="21" t="s">
        <v>3086</v>
      </c>
      <c r="T2714" s="21">
        <v>-20</v>
      </c>
      <c r="U2714" s="21" t="s">
        <v>1218</v>
      </c>
      <c r="V2714" s="9" t="s">
        <v>1247</v>
      </c>
      <c r="W2714">
        <f>56</f>
        <v>56</v>
      </c>
      <c r="X2714" s="9" t="s">
        <v>3088</v>
      </c>
      <c r="Z2714" s="22">
        <v>8</v>
      </c>
      <c r="AD2714" s="22" t="s">
        <v>1165</v>
      </c>
      <c r="AF2714" s="24" t="s">
        <v>153</v>
      </c>
      <c r="AG2714" t="s">
        <v>1160</v>
      </c>
      <c r="AH2714">
        <f t="shared" ref="AH2714:AH2745" si="24">24*60*3</f>
        <v>4320</v>
      </c>
      <c r="AI2714" s="21" t="s">
        <v>153</v>
      </c>
      <c r="AJ2714" s="21" t="s">
        <v>1148</v>
      </c>
      <c r="AK2714" s="21">
        <v>0</v>
      </c>
      <c r="AL2714" s="21" t="s">
        <v>1321</v>
      </c>
      <c r="AM2714">
        <v>0</v>
      </c>
      <c r="AN2714" s="21">
        <v>3</v>
      </c>
      <c r="AO2714" s="21">
        <v>50</v>
      </c>
      <c r="AP2714" s="21">
        <v>3</v>
      </c>
      <c r="AQ2714" s="22" t="s">
        <v>3016</v>
      </c>
      <c r="AR2714" s="21" t="s">
        <v>1155</v>
      </c>
      <c r="AS2714" t="s">
        <v>3085</v>
      </c>
    </row>
    <row r="2715" spans="1:45" x14ac:dyDescent="0.2">
      <c r="A2715" s="21" t="s">
        <v>1685</v>
      </c>
      <c r="B2715" s="21" t="s">
        <v>1146</v>
      </c>
      <c r="C2715" s="21" t="s">
        <v>1149</v>
      </c>
      <c r="D2715" s="21" t="s">
        <v>420</v>
      </c>
      <c r="E2715" s="21" t="s">
        <v>3083</v>
      </c>
      <c r="G2715" s="21" t="s">
        <v>153</v>
      </c>
      <c r="H2715" s="21" t="s">
        <v>1165</v>
      </c>
      <c r="I2715" s="21" t="s">
        <v>3084</v>
      </c>
      <c r="J2715" s="21">
        <v>49.133333333333297</v>
      </c>
      <c r="K2715">
        <v>-122.75</v>
      </c>
      <c r="L2715">
        <v>1415</v>
      </c>
      <c r="M2715" s="21" t="s">
        <v>3034</v>
      </c>
      <c r="O2715" s="21">
        <v>1985</v>
      </c>
      <c r="Q2715" s="21" t="s">
        <v>3086</v>
      </c>
      <c r="T2715" s="21">
        <v>-20</v>
      </c>
      <c r="U2715" s="21" t="s">
        <v>1218</v>
      </c>
      <c r="V2715" s="9" t="s">
        <v>1247</v>
      </c>
      <c r="W2715">
        <f>56</f>
        <v>56</v>
      </c>
      <c r="X2715" s="9" t="s">
        <v>3088</v>
      </c>
      <c r="Z2715" s="22">
        <v>8</v>
      </c>
      <c r="AD2715" s="22" t="s">
        <v>1165</v>
      </c>
      <c r="AF2715" s="24" t="s">
        <v>153</v>
      </c>
      <c r="AG2715" t="s">
        <v>1160</v>
      </c>
      <c r="AH2715">
        <f t="shared" si="24"/>
        <v>4320</v>
      </c>
      <c r="AI2715" s="21" t="s">
        <v>153</v>
      </c>
      <c r="AJ2715" s="21" t="s">
        <v>1148</v>
      </c>
      <c r="AK2715" s="21">
        <v>8.5370000000000008</v>
      </c>
      <c r="AL2715" s="21" t="s">
        <v>1321</v>
      </c>
      <c r="AM2715">
        <v>0</v>
      </c>
      <c r="AN2715" s="21">
        <v>3</v>
      </c>
      <c r="AO2715" s="21">
        <v>50</v>
      </c>
      <c r="AP2715" s="21">
        <v>6</v>
      </c>
      <c r="AQ2715" s="22" t="s">
        <v>3016</v>
      </c>
      <c r="AR2715" s="21" t="s">
        <v>1155</v>
      </c>
      <c r="AS2715" t="s">
        <v>3085</v>
      </c>
    </row>
    <row r="2716" spans="1:45" x14ac:dyDescent="0.2">
      <c r="A2716" s="21" t="s">
        <v>1685</v>
      </c>
      <c r="B2716" s="21" t="s">
        <v>1146</v>
      </c>
      <c r="C2716" s="21" t="s">
        <v>1149</v>
      </c>
      <c r="D2716" s="21" t="s">
        <v>420</v>
      </c>
      <c r="E2716" s="21" t="s">
        <v>3083</v>
      </c>
      <c r="G2716" s="21" t="s">
        <v>153</v>
      </c>
      <c r="H2716" s="21" t="s">
        <v>1165</v>
      </c>
      <c r="I2716" s="21" t="s">
        <v>3084</v>
      </c>
      <c r="J2716" s="21">
        <v>49.133333333333297</v>
      </c>
      <c r="K2716">
        <v>-122.75</v>
      </c>
      <c r="L2716">
        <v>1415</v>
      </c>
      <c r="M2716" s="21" t="s">
        <v>3034</v>
      </c>
      <c r="O2716" s="21">
        <v>1985</v>
      </c>
      <c r="Q2716" s="21" t="s">
        <v>3086</v>
      </c>
      <c r="T2716" s="21">
        <v>-20</v>
      </c>
      <c r="U2716" s="21" t="s">
        <v>1218</v>
      </c>
      <c r="V2716" s="9" t="s">
        <v>1247</v>
      </c>
      <c r="W2716">
        <f>56</f>
        <v>56</v>
      </c>
      <c r="X2716" s="9" t="s">
        <v>3088</v>
      </c>
      <c r="Z2716" s="22">
        <v>8</v>
      </c>
      <c r="AD2716" s="22" t="s">
        <v>1165</v>
      </c>
      <c r="AF2716" s="24" t="s">
        <v>153</v>
      </c>
      <c r="AG2716" t="s">
        <v>1160</v>
      </c>
      <c r="AH2716">
        <f t="shared" si="24"/>
        <v>4320</v>
      </c>
      <c r="AI2716" s="21" t="s">
        <v>153</v>
      </c>
      <c r="AJ2716" s="21" t="s">
        <v>1148</v>
      </c>
      <c r="AK2716" s="21">
        <v>15.122</v>
      </c>
      <c r="AL2716" s="21" t="s">
        <v>1321</v>
      </c>
      <c r="AM2716">
        <f>17.846-15.122</f>
        <v>2.7240000000000002</v>
      </c>
      <c r="AN2716" s="21">
        <v>3</v>
      </c>
      <c r="AO2716" s="21">
        <v>50</v>
      </c>
      <c r="AP2716" s="21">
        <v>9</v>
      </c>
      <c r="AQ2716" s="22" t="s">
        <v>3016</v>
      </c>
      <c r="AR2716" s="21" t="s">
        <v>1155</v>
      </c>
      <c r="AS2716" t="s">
        <v>3085</v>
      </c>
    </row>
    <row r="2717" spans="1:45" x14ac:dyDescent="0.2">
      <c r="A2717" s="21" t="s">
        <v>1685</v>
      </c>
      <c r="B2717" s="21" t="s">
        <v>1146</v>
      </c>
      <c r="C2717" s="21" t="s">
        <v>1149</v>
      </c>
      <c r="D2717" s="21" t="s">
        <v>420</v>
      </c>
      <c r="E2717" s="21" t="s">
        <v>3083</v>
      </c>
      <c r="G2717" s="21" t="s">
        <v>153</v>
      </c>
      <c r="H2717" s="21" t="s">
        <v>1165</v>
      </c>
      <c r="I2717" s="21" t="s">
        <v>3084</v>
      </c>
      <c r="J2717" s="21">
        <v>49.133333333333297</v>
      </c>
      <c r="K2717">
        <v>-122.75</v>
      </c>
      <c r="L2717">
        <v>1415</v>
      </c>
      <c r="M2717" s="21" t="s">
        <v>3034</v>
      </c>
      <c r="O2717" s="21">
        <v>1985</v>
      </c>
      <c r="Q2717" s="21" t="s">
        <v>3086</v>
      </c>
      <c r="T2717" s="21">
        <v>-20</v>
      </c>
      <c r="U2717" s="21" t="s">
        <v>1218</v>
      </c>
      <c r="V2717" s="9" t="s">
        <v>1247</v>
      </c>
      <c r="W2717">
        <f>56</f>
        <v>56</v>
      </c>
      <c r="X2717" s="9" t="s">
        <v>3088</v>
      </c>
      <c r="Z2717" s="22">
        <v>8</v>
      </c>
      <c r="AD2717" s="22" t="s">
        <v>1165</v>
      </c>
      <c r="AF2717" s="24" t="s">
        <v>153</v>
      </c>
      <c r="AG2717" t="s">
        <v>1160</v>
      </c>
      <c r="AH2717">
        <f t="shared" si="24"/>
        <v>4320</v>
      </c>
      <c r="AI2717" s="21" t="s">
        <v>153</v>
      </c>
      <c r="AJ2717" s="21" t="s">
        <v>1148</v>
      </c>
      <c r="AK2717" s="21">
        <v>26.829000000000001</v>
      </c>
      <c r="AL2717" s="21" t="s">
        <v>1321</v>
      </c>
      <c r="AM2717">
        <f>29.065-26.829</f>
        <v>2.2360000000000007</v>
      </c>
      <c r="AN2717" s="21">
        <v>3</v>
      </c>
      <c r="AO2717" s="21">
        <v>50</v>
      </c>
      <c r="AP2717" s="21">
        <v>12</v>
      </c>
      <c r="AQ2717" s="22" t="s">
        <v>3016</v>
      </c>
      <c r="AR2717" s="21" t="s">
        <v>1155</v>
      </c>
      <c r="AS2717" t="s">
        <v>3085</v>
      </c>
    </row>
    <row r="2718" spans="1:45" x14ac:dyDescent="0.2">
      <c r="A2718" s="21" t="s">
        <v>1685</v>
      </c>
      <c r="B2718" s="21" t="s">
        <v>1146</v>
      </c>
      <c r="C2718" s="21" t="s">
        <v>1149</v>
      </c>
      <c r="D2718" s="21" t="s">
        <v>420</v>
      </c>
      <c r="E2718" s="21" t="s">
        <v>3083</v>
      </c>
      <c r="G2718" s="21" t="s">
        <v>153</v>
      </c>
      <c r="H2718" s="21" t="s">
        <v>1165</v>
      </c>
      <c r="I2718" s="21" t="s">
        <v>3084</v>
      </c>
      <c r="J2718" s="21">
        <v>49.133333333333297</v>
      </c>
      <c r="K2718">
        <v>-122.75</v>
      </c>
      <c r="L2718">
        <v>1415</v>
      </c>
      <c r="M2718" s="21" t="s">
        <v>3034</v>
      </c>
      <c r="O2718" s="21">
        <v>1985</v>
      </c>
      <c r="Q2718" s="21" t="s">
        <v>3086</v>
      </c>
      <c r="T2718" s="21">
        <v>-20</v>
      </c>
      <c r="U2718" s="21" t="s">
        <v>1218</v>
      </c>
      <c r="V2718" s="9" t="s">
        <v>1247</v>
      </c>
      <c r="W2718">
        <f>56</f>
        <v>56</v>
      </c>
      <c r="X2718" s="9" t="s">
        <v>3088</v>
      </c>
      <c r="Z2718" s="22">
        <v>8</v>
      </c>
      <c r="AD2718" s="22" t="s">
        <v>1165</v>
      </c>
      <c r="AF2718" s="24" t="s">
        <v>153</v>
      </c>
      <c r="AG2718" t="s">
        <v>1160</v>
      </c>
      <c r="AH2718">
        <f t="shared" si="24"/>
        <v>4320</v>
      </c>
      <c r="AI2718" s="21" t="s">
        <v>153</v>
      </c>
      <c r="AJ2718" s="21" t="s">
        <v>1148</v>
      </c>
      <c r="AK2718" s="21">
        <v>36.057000000000002</v>
      </c>
      <c r="AL2718" s="21" t="s">
        <v>1321</v>
      </c>
      <c r="AM2718">
        <f>38.171-36.057</f>
        <v>2.1139999999999972</v>
      </c>
      <c r="AN2718" s="21">
        <v>3</v>
      </c>
      <c r="AO2718" s="21">
        <v>50</v>
      </c>
      <c r="AP2718" s="21">
        <v>15</v>
      </c>
      <c r="AQ2718" s="22" t="s">
        <v>3016</v>
      </c>
      <c r="AR2718" s="21" t="s">
        <v>1155</v>
      </c>
      <c r="AS2718" t="s">
        <v>3085</v>
      </c>
    </row>
    <row r="2719" spans="1:45" x14ac:dyDescent="0.2">
      <c r="A2719" s="21" t="s">
        <v>1685</v>
      </c>
      <c r="B2719" s="21" t="s">
        <v>1146</v>
      </c>
      <c r="C2719" s="21" t="s">
        <v>1149</v>
      </c>
      <c r="D2719" s="21" t="s">
        <v>420</v>
      </c>
      <c r="E2719" s="21" t="s">
        <v>3083</v>
      </c>
      <c r="G2719" s="21" t="s">
        <v>153</v>
      </c>
      <c r="H2719" s="21" t="s">
        <v>1165</v>
      </c>
      <c r="I2719" s="21" t="s">
        <v>3084</v>
      </c>
      <c r="J2719" s="21">
        <v>49.133333333333297</v>
      </c>
      <c r="K2719">
        <v>-122.75</v>
      </c>
      <c r="L2719">
        <v>1415</v>
      </c>
      <c r="M2719" s="21" t="s">
        <v>3034</v>
      </c>
      <c r="O2719" s="21">
        <v>1985</v>
      </c>
      <c r="Q2719" s="21" t="s">
        <v>3086</v>
      </c>
      <c r="T2719" s="21">
        <v>-20</v>
      </c>
      <c r="U2719" s="21" t="s">
        <v>1218</v>
      </c>
      <c r="V2719" s="9" t="s">
        <v>1247</v>
      </c>
      <c r="W2719">
        <f>56</f>
        <v>56</v>
      </c>
      <c r="X2719" s="9" t="s">
        <v>3088</v>
      </c>
      <c r="Z2719" s="22">
        <v>8</v>
      </c>
      <c r="AD2719" s="22" t="s">
        <v>1165</v>
      </c>
      <c r="AF2719" s="24" t="s">
        <v>153</v>
      </c>
      <c r="AG2719" t="s">
        <v>1160</v>
      </c>
      <c r="AH2719">
        <f t="shared" si="24"/>
        <v>4320</v>
      </c>
      <c r="AI2719" s="21" t="s">
        <v>153</v>
      </c>
      <c r="AJ2719" s="21" t="s">
        <v>1148</v>
      </c>
      <c r="AK2719" s="21">
        <v>38.292999999999999</v>
      </c>
      <c r="AL2719" s="21" t="s">
        <v>1321</v>
      </c>
      <c r="AM2719">
        <f>40.122-38.293</f>
        <v>1.8290000000000006</v>
      </c>
      <c r="AN2719" s="21">
        <v>3</v>
      </c>
      <c r="AO2719" s="21">
        <v>50</v>
      </c>
      <c r="AP2719" s="21">
        <v>18</v>
      </c>
      <c r="AQ2719" s="22" t="s">
        <v>3016</v>
      </c>
      <c r="AR2719" s="21" t="s">
        <v>1155</v>
      </c>
      <c r="AS2719" t="s">
        <v>3085</v>
      </c>
    </row>
    <row r="2720" spans="1:45" x14ac:dyDescent="0.2">
      <c r="A2720" s="21" t="s">
        <v>1685</v>
      </c>
      <c r="B2720" s="21" t="s">
        <v>1146</v>
      </c>
      <c r="C2720" s="21" t="s">
        <v>1149</v>
      </c>
      <c r="D2720" s="21" t="s">
        <v>420</v>
      </c>
      <c r="E2720" s="21" t="s">
        <v>3083</v>
      </c>
      <c r="G2720" s="21" t="s">
        <v>153</v>
      </c>
      <c r="H2720" s="21" t="s">
        <v>1165</v>
      </c>
      <c r="I2720" s="21" t="s">
        <v>3084</v>
      </c>
      <c r="J2720" s="21">
        <v>49.133333333333297</v>
      </c>
      <c r="K2720">
        <v>-122.75</v>
      </c>
      <c r="L2720">
        <v>1415</v>
      </c>
      <c r="M2720" s="21" t="s">
        <v>3034</v>
      </c>
      <c r="O2720" s="21">
        <v>1985</v>
      </c>
      <c r="Q2720" s="21" t="s">
        <v>3086</v>
      </c>
      <c r="T2720" s="21">
        <v>-20</v>
      </c>
      <c r="U2720" s="21" t="s">
        <v>1218</v>
      </c>
      <c r="V2720" s="9" t="s">
        <v>1247</v>
      </c>
      <c r="W2720">
        <f>56</f>
        <v>56</v>
      </c>
      <c r="X2720" s="9" t="s">
        <v>3088</v>
      </c>
      <c r="Z2720" s="22">
        <v>8</v>
      </c>
      <c r="AD2720" s="22" t="s">
        <v>1165</v>
      </c>
      <c r="AF2720" s="24" t="s">
        <v>153</v>
      </c>
      <c r="AG2720" t="s">
        <v>1160</v>
      </c>
      <c r="AH2720">
        <f t="shared" si="24"/>
        <v>4320</v>
      </c>
      <c r="AI2720" s="21" t="s">
        <v>153</v>
      </c>
      <c r="AJ2720" s="21" t="s">
        <v>1148</v>
      </c>
      <c r="AK2720" s="21">
        <v>42.073</v>
      </c>
      <c r="AL2720" s="21" t="s">
        <v>1321</v>
      </c>
      <c r="AM2720">
        <f>43.699-42.073</f>
        <v>1.6259999999999977</v>
      </c>
      <c r="AN2720" s="21">
        <v>3</v>
      </c>
      <c r="AO2720" s="21">
        <v>50</v>
      </c>
      <c r="AP2720" s="21">
        <v>21</v>
      </c>
      <c r="AQ2720" s="22" t="s">
        <v>3016</v>
      </c>
      <c r="AR2720" s="21" t="s">
        <v>1155</v>
      </c>
      <c r="AS2720" t="s">
        <v>3085</v>
      </c>
    </row>
    <row r="2721" spans="1:45" x14ac:dyDescent="0.2">
      <c r="A2721" s="21" t="s">
        <v>1685</v>
      </c>
      <c r="B2721" s="21" t="s">
        <v>1146</v>
      </c>
      <c r="C2721" s="21" t="s">
        <v>1149</v>
      </c>
      <c r="D2721" s="21" t="s">
        <v>420</v>
      </c>
      <c r="E2721" s="21" t="s">
        <v>3083</v>
      </c>
      <c r="G2721" s="21" t="s">
        <v>153</v>
      </c>
      <c r="H2721" s="21" t="s">
        <v>1165</v>
      </c>
      <c r="I2721" s="21" t="s">
        <v>3084</v>
      </c>
      <c r="J2721" s="21">
        <v>49.133333333333297</v>
      </c>
      <c r="K2721">
        <v>-122.75</v>
      </c>
      <c r="L2721">
        <v>1415</v>
      </c>
      <c r="M2721" s="21" t="s">
        <v>3034</v>
      </c>
      <c r="O2721" s="21">
        <v>1985</v>
      </c>
      <c r="Q2721" s="21" t="s">
        <v>3086</v>
      </c>
      <c r="T2721" s="21">
        <v>-20</v>
      </c>
      <c r="U2721" s="21" t="s">
        <v>1218</v>
      </c>
      <c r="V2721" s="9" t="s">
        <v>1247</v>
      </c>
      <c r="W2721">
        <f>56</f>
        <v>56</v>
      </c>
      <c r="X2721" s="9" t="s">
        <v>3088</v>
      </c>
      <c r="Z2721" s="22">
        <v>8</v>
      </c>
      <c r="AD2721" s="22" t="s">
        <v>1165</v>
      </c>
      <c r="AF2721" s="24" t="s">
        <v>153</v>
      </c>
      <c r="AG2721" t="s">
        <v>1160</v>
      </c>
      <c r="AH2721">
        <f t="shared" si="24"/>
        <v>4320</v>
      </c>
      <c r="AI2721" s="21" t="s">
        <v>153</v>
      </c>
      <c r="AJ2721" s="21" t="s">
        <v>1148</v>
      </c>
      <c r="AK2721" s="21">
        <v>43.454999999999998</v>
      </c>
      <c r="AL2721" s="21" t="s">
        <v>1321</v>
      </c>
      <c r="AM2721">
        <f>45.569-43.455</f>
        <v>2.1140000000000043</v>
      </c>
      <c r="AN2721" s="21">
        <v>3</v>
      </c>
      <c r="AO2721" s="21">
        <v>50</v>
      </c>
      <c r="AP2721" s="21">
        <v>24</v>
      </c>
      <c r="AQ2721" s="22" t="s">
        <v>3016</v>
      </c>
      <c r="AR2721" s="21" t="s">
        <v>1155</v>
      </c>
      <c r="AS2721" t="s">
        <v>3085</v>
      </c>
    </row>
    <row r="2722" spans="1:45" x14ac:dyDescent="0.2">
      <c r="A2722" s="21" t="s">
        <v>1685</v>
      </c>
      <c r="B2722" s="21" t="s">
        <v>1146</v>
      </c>
      <c r="C2722" s="21" t="s">
        <v>1149</v>
      </c>
      <c r="D2722" s="21" t="s">
        <v>420</v>
      </c>
      <c r="E2722" s="21" t="s">
        <v>3083</v>
      </c>
      <c r="G2722" s="21" t="s">
        <v>153</v>
      </c>
      <c r="H2722" s="21" t="s">
        <v>1165</v>
      </c>
      <c r="I2722" s="21" t="s">
        <v>3084</v>
      </c>
      <c r="J2722" s="21">
        <v>49.133333333333297</v>
      </c>
      <c r="K2722">
        <v>-122.75</v>
      </c>
      <c r="L2722">
        <v>1415</v>
      </c>
      <c r="M2722" s="21" t="s">
        <v>3034</v>
      </c>
      <c r="O2722" s="21">
        <v>1985</v>
      </c>
      <c r="Q2722" s="21" t="s">
        <v>3086</v>
      </c>
      <c r="T2722" s="21">
        <v>-20</v>
      </c>
      <c r="U2722" s="21" t="s">
        <v>1218</v>
      </c>
      <c r="V2722" s="9" t="s">
        <v>1247</v>
      </c>
      <c r="W2722">
        <f>56</f>
        <v>56</v>
      </c>
      <c r="X2722" s="9" t="s">
        <v>3088</v>
      </c>
      <c r="Z2722" s="22">
        <v>8</v>
      </c>
      <c r="AD2722" s="22" t="s">
        <v>1165</v>
      </c>
      <c r="AF2722" s="24" t="s">
        <v>153</v>
      </c>
      <c r="AG2722" t="s">
        <v>1160</v>
      </c>
      <c r="AH2722">
        <f t="shared" si="24"/>
        <v>4320</v>
      </c>
      <c r="AI2722" s="21" t="s">
        <v>153</v>
      </c>
      <c r="AJ2722" s="21" t="s">
        <v>1148</v>
      </c>
      <c r="AK2722" s="21">
        <v>43.292999999999999</v>
      </c>
      <c r="AL2722" s="21" t="s">
        <v>1321</v>
      </c>
      <c r="AM2722">
        <f>45.732-43.293</f>
        <v>2.4390000000000001</v>
      </c>
      <c r="AN2722" s="21">
        <v>3</v>
      </c>
      <c r="AO2722" s="21">
        <v>50</v>
      </c>
      <c r="AP2722" s="21">
        <v>27</v>
      </c>
      <c r="AQ2722" s="22" t="s">
        <v>3016</v>
      </c>
      <c r="AR2722" s="21" t="s">
        <v>1155</v>
      </c>
      <c r="AS2722" t="s">
        <v>3085</v>
      </c>
    </row>
    <row r="2723" spans="1:45" x14ac:dyDescent="0.2">
      <c r="A2723" s="21" t="s">
        <v>1685</v>
      </c>
      <c r="B2723" s="21" t="s">
        <v>1146</v>
      </c>
      <c r="C2723" s="21" t="s">
        <v>1149</v>
      </c>
      <c r="D2723" s="21" t="s">
        <v>420</v>
      </c>
      <c r="E2723" s="21" t="s">
        <v>3083</v>
      </c>
      <c r="G2723" s="21" t="s">
        <v>153</v>
      </c>
      <c r="H2723" s="21" t="s">
        <v>1165</v>
      </c>
      <c r="I2723" s="21" t="s">
        <v>3084</v>
      </c>
      <c r="J2723" s="21">
        <v>49.133333333333297</v>
      </c>
      <c r="K2723">
        <v>-122.75</v>
      </c>
      <c r="L2723">
        <v>1415</v>
      </c>
      <c r="M2723" s="21" t="s">
        <v>3034</v>
      </c>
      <c r="O2723" s="21">
        <v>1985</v>
      </c>
      <c r="Q2723" s="21" t="s">
        <v>3086</v>
      </c>
      <c r="T2723" s="21">
        <v>-20</v>
      </c>
      <c r="U2723" s="21" t="s">
        <v>1218</v>
      </c>
      <c r="V2723" s="9" t="s">
        <v>1247</v>
      </c>
      <c r="W2723">
        <f>56</f>
        <v>56</v>
      </c>
      <c r="X2723" s="9" t="s">
        <v>3088</v>
      </c>
      <c r="Z2723" s="22">
        <v>8</v>
      </c>
      <c r="AD2723" s="22" t="s">
        <v>1165</v>
      </c>
      <c r="AF2723" s="24" t="s">
        <v>153</v>
      </c>
      <c r="AG2723" t="s">
        <v>1160</v>
      </c>
      <c r="AH2723">
        <f t="shared" si="24"/>
        <v>4320</v>
      </c>
      <c r="AI2723" s="21" t="s">
        <v>153</v>
      </c>
      <c r="AJ2723" s="21" t="s">
        <v>1148</v>
      </c>
      <c r="AK2723" s="21">
        <v>43.292999999999999</v>
      </c>
      <c r="AL2723" s="21" t="s">
        <v>1321</v>
      </c>
      <c r="AM2723">
        <f>45.732-43.293</f>
        <v>2.4390000000000001</v>
      </c>
      <c r="AN2723" s="21">
        <v>3</v>
      </c>
      <c r="AO2723" s="21">
        <v>50</v>
      </c>
      <c r="AP2723" s="21">
        <v>30</v>
      </c>
      <c r="AQ2723" s="22" t="s">
        <v>3016</v>
      </c>
      <c r="AR2723" s="21" t="s">
        <v>1155</v>
      </c>
      <c r="AS2723" t="s">
        <v>3085</v>
      </c>
    </row>
    <row r="2724" spans="1:45" x14ac:dyDescent="0.2">
      <c r="A2724" s="21" t="s">
        <v>1685</v>
      </c>
      <c r="B2724" s="21" t="s">
        <v>1146</v>
      </c>
      <c r="C2724" s="21" t="s">
        <v>1149</v>
      </c>
      <c r="D2724" s="21" t="s">
        <v>420</v>
      </c>
      <c r="E2724" s="21" t="s">
        <v>3083</v>
      </c>
      <c r="G2724" s="21" t="s">
        <v>153</v>
      </c>
      <c r="H2724" s="21" t="s">
        <v>1165</v>
      </c>
      <c r="I2724" s="21" t="s">
        <v>3084</v>
      </c>
      <c r="J2724" s="21">
        <v>49.133333333333297</v>
      </c>
      <c r="K2724">
        <v>-122.75</v>
      </c>
      <c r="L2724">
        <v>1415</v>
      </c>
      <c r="M2724" s="21" t="s">
        <v>3034</v>
      </c>
      <c r="O2724" s="21">
        <v>1985</v>
      </c>
      <c r="Q2724" s="21" t="s">
        <v>3086</v>
      </c>
      <c r="T2724" s="21">
        <v>-20</v>
      </c>
      <c r="U2724" s="21" t="s">
        <v>1218</v>
      </c>
      <c r="V2724" s="9" t="s">
        <v>1247</v>
      </c>
      <c r="W2724">
        <f>56</f>
        <v>56</v>
      </c>
      <c r="X2724" s="9" t="s">
        <v>3088</v>
      </c>
      <c r="Y2724" t="s">
        <v>3089</v>
      </c>
      <c r="Z2724" s="22">
        <v>8</v>
      </c>
      <c r="AD2724" s="22" t="s">
        <v>1165</v>
      </c>
      <c r="AF2724" s="24" t="s">
        <v>153</v>
      </c>
      <c r="AG2724" t="s">
        <v>1160</v>
      </c>
      <c r="AH2724">
        <f t="shared" si="24"/>
        <v>4320</v>
      </c>
      <c r="AI2724" s="21" t="s">
        <v>153</v>
      </c>
      <c r="AJ2724" s="21" t="s">
        <v>1148</v>
      </c>
      <c r="AK2724" s="21">
        <v>0</v>
      </c>
      <c r="AL2724" s="21" t="s">
        <v>1321</v>
      </c>
      <c r="AM2724">
        <v>0</v>
      </c>
      <c r="AN2724" s="21">
        <v>3</v>
      </c>
      <c r="AO2724" s="21">
        <v>50</v>
      </c>
      <c r="AP2724" s="21">
        <v>3</v>
      </c>
      <c r="AQ2724" s="22" t="s">
        <v>3016</v>
      </c>
      <c r="AR2724" s="21" t="s">
        <v>1155</v>
      </c>
      <c r="AS2724" t="s">
        <v>3085</v>
      </c>
    </row>
    <row r="2725" spans="1:45" x14ac:dyDescent="0.2">
      <c r="A2725" s="21" t="s">
        <v>1685</v>
      </c>
      <c r="B2725" s="21" t="s">
        <v>1146</v>
      </c>
      <c r="C2725" s="21" t="s">
        <v>1149</v>
      </c>
      <c r="D2725" s="21" t="s">
        <v>420</v>
      </c>
      <c r="E2725" s="21" t="s">
        <v>3083</v>
      </c>
      <c r="G2725" s="21" t="s">
        <v>153</v>
      </c>
      <c r="H2725" s="21" t="s">
        <v>1165</v>
      </c>
      <c r="I2725" s="21" t="s">
        <v>3084</v>
      </c>
      <c r="J2725" s="21">
        <v>49.133333333333297</v>
      </c>
      <c r="K2725">
        <v>-122.75</v>
      </c>
      <c r="L2725">
        <v>1415</v>
      </c>
      <c r="M2725" s="21" t="s">
        <v>3034</v>
      </c>
      <c r="O2725" s="21">
        <v>1985</v>
      </c>
      <c r="Q2725" s="21" t="s">
        <v>3086</v>
      </c>
      <c r="T2725" s="21">
        <v>-20</v>
      </c>
      <c r="U2725" s="21" t="s">
        <v>1218</v>
      </c>
      <c r="V2725" s="9" t="s">
        <v>1247</v>
      </c>
      <c r="W2725">
        <f>56</f>
        <v>56</v>
      </c>
      <c r="X2725" s="9" t="s">
        <v>3088</v>
      </c>
      <c r="Y2725" t="s">
        <v>3089</v>
      </c>
      <c r="Z2725" s="22">
        <v>8</v>
      </c>
      <c r="AD2725" s="22" t="s">
        <v>1165</v>
      </c>
      <c r="AF2725" s="24" t="s">
        <v>153</v>
      </c>
      <c r="AG2725" t="s">
        <v>1160</v>
      </c>
      <c r="AH2725">
        <f t="shared" si="24"/>
        <v>4320</v>
      </c>
      <c r="AI2725" s="21" t="s">
        <v>153</v>
      </c>
      <c r="AJ2725" s="21" t="s">
        <v>1148</v>
      </c>
      <c r="AK2725" s="21">
        <v>14.919</v>
      </c>
      <c r="AL2725" s="21" t="s">
        <v>1321</v>
      </c>
      <c r="AM2725" t="s">
        <v>3003</v>
      </c>
      <c r="AN2725" s="21">
        <v>3</v>
      </c>
      <c r="AO2725" s="21">
        <v>50</v>
      </c>
      <c r="AP2725" s="21">
        <v>6</v>
      </c>
      <c r="AQ2725" s="22" t="s">
        <v>3016</v>
      </c>
      <c r="AR2725" s="21" t="s">
        <v>1155</v>
      </c>
      <c r="AS2725" t="s">
        <v>3085</v>
      </c>
    </row>
    <row r="2726" spans="1:45" x14ac:dyDescent="0.2">
      <c r="A2726" s="21" t="s">
        <v>1685</v>
      </c>
      <c r="B2726" s="21" t="s">
        <v>1146</v>
      </c>
      <c r="C2726" s="21" t="s">
        <v>1149</v>
      </c>
      <c r="D2726" s="21" t="s">
        <v>420</v>
      </c>
      <c r="E2726" s="21" t="s">
        <v>3083</v>
      </c>
      <c r="G2726" s="21" t="s">
        <v>153</v>
      </c>
      <c r="H2726" s="21" t="s">
        <v>1165</v>
      </c>
      <c r="I2726" s="21" t="s">
        <v>3084</v>
      </c>
      <c r="J2726" s="21">
        <v>49.133333333333297</v>
      </c>
      <c r="K2726">
        <v>-122.75</v>
      </c>
      <c r="L2726">
        <v>1415</v>
      </c>
      <c r="M2726" s="21" t="s">
        <v>3034</v>
      </c>
      <c r="O2726" s="21">
        <v>1985</v>
      </c>
      <c r="Q2726" s="21" t="s">
        <v>3086</v>
      </c>
      <c r="T2726" s="21">
        <v>-20</v>
      </c>
      <c r="U2726" s="21" t="s">
        <v>1218</v>
      </c>
      <c r="V2726" s="9" t="s">
        <v>1247</v>
      </c>
      <c r="W2726">
        <f>56</f>
        <v>56</v>
      </c>
      <c r="X2726" s="9" t="s">
        <v>3088</v>
      </c>
      <c r="Y2726" t="s">
        <v>3089</v>
      </c>
      <c r="Z2726" s="22">
        <v>8</v>
      </c>
      <c r="AD2726" s="22" t="s">
        <v>1165</v>
      </c>
      <c r="AF2726" s="24" t="s">
        <v>153</v>
      </c>
      <c r="AG2726" t="s">
        <v>1160</v>
      </c>
      <c r="AH2726">
        <f t="shared" si="24"/>
        <v>4320</v>
      </c>
      <c r="AI2726" s="21" t="s">
        <v>153</v>
      </c>
      <c r="AJ2726" s="21" t="s">
        <v>1148</v>
      </c>
      <c r="AK2726" s="21">
        <v>35.569000000000003</v>
      </c>
      <c r="AL2726" s="21" t="s">
        <v>1321</v>
      </c>
      <c r="AM2726" t="s">
        <v>3003</v>
      </c>
      <c r="AN2726" s="21">
        <v>3</v>
      </c>
      <c r="AO2726" s="21">
        <v>50</v>
      </c>
      <c r="AP2726" s="21">
        <v>9</v>
      </c>
      <c r="AQ2726" s="22" t="s">
        <v>3016</v>
      </c>
      <c r="AR2726" s="21" t="s">
        <v>1155</v>
      </c>
      <c r="AS2726" t="s">
        <v>3085</v>
      </c>
    </row>
    <row r="2727" spans="1:45" x14ac:dyDescent="0.2">
      <c r="A2727" s="21" t="s">
        <v>1685</v>
      </c>
      <c r="B2727" s="21" t="s">
        <v>1146</v>
      </c>
      <c r="C2727" s="21" t="s">
        <v>1149</v>
      </c>
      <c r="D2727" s="21" t="s">
        <v>420</v>
      </c>
      <c r="E2727" s="21" t="s">
        <v>3083</v>
      </c>
      <c r="G2727" s="21" t="s">
        <v>153</v>
      </c>
      <c r="H2727" s="21" t="s">
        <v>1165</v>
      </c>
      <c r="I2727" s="21" t="s">
        <v>3084</v>
      </c>
      <c r="J2727" s="21">
        <v>49.133333333333297</v>
      </c>
      <c r="K2727">
        <v>-122.75</v>
      </c>
      <c r="L2727">
        <v>1415</v>
      </c>
      <c r="M2727" s="21" t="s">
        <v>3034</v>
      </c>
      <c r="O2727" s="21">
        <v>1985</v>
      </c>
      <c r="Q2727" s="21" t="s">
        <v>3086</v>
      </c>
      <c r="T2727" s="21">
        <v>-20</v>
      </c>
      <c r="U2727" s="21" t="s">
        <v>1218</v>
      </c>
      <c r="V2727" s="9" t="s">
        <v>1247</v>
      </c>
      <c r="W2727">
        <f>56</f>
        <v>56</v>
      </c>
      <c r="X2727" s="9" t="s">
        <v>3088</v>
      </c>
      <c r="Y2727" t="s">
        <v>3089</v>
      </c>
      <c r="Z2727" s="22">
        <v>8</v>
      </c>
      <c r="AD2727" s="22" t="s">
        <v>1165</v>
      </c>
      <c r="AF2727" s="24" t="s">
        <v>153</v>
      </c>
      <c r="AG2727" t="s">
        <v>1160</v>
      </c>
      <c r="AH2727">
        <f t="shared" si="24"/>
        <v>4320</v>
      </c>
      <c r="AI2727" s="21" t="s">
        <v>153</v>
      </c>
      <c r="AJ2727" s="21" t="s">
        <v>1148</v>
      </c>
      <c r="AK2727" s="21">
        <v>54.878</v>
      </c>
      <c r="AL2727" s="21" t="s">
        <v>1321</v>
      </c>
      <c r="AM2727" s="21" t="s">
        <v>3003</v>
      </c>
      <c r="AN2727" s="21">
        <v>3</v>
      </c>
      <c r="AO2727" s="21">
        <v>50</v>
      </c>
      <c r="AP2727" s="21">
        <v>12</v>
      </c>
      <c r="AQ2727" s="22" t="s">
        <v>3016</v>
      </c>
      <c r="AR2727" s="21" t="s">
        <v>1155</v>
      </c>
      <c r="AS2727" t="s">
        <v>3085</v>
      </c>
    </row>
    <row r="2728" spans="1:45" x14ac:dyDescent="0.2">
      <c r="A2728" s="21" t="s">
        <v>1685</v>
      </c>
      <c r="B2728" s="21" t="s">
        <v>1146</v>
      </c>
      <c r="C2728" s="21" t="s">
        <v>1149</v>
      </c>
      <c r="D2728" s="21" t="s">
        <v>420</v>
      </c>
      <c r="E2728" s="21" t="s">
        <v>3083</v>
      </c>
      <c r="G2728" s="21" t="s">
        <v>153</v>
      </c>
      <c r="H2728" s="21" t="s">
        <v>1165</v>
      </c>
      <c r="I2728" s="21" t="s">
        <v>3084</v>
      </c>
      <c r="J2728" s="21">
        <v>49.133333333333297</v>
      </c>
      <c r="K2728">
        <v>-122.75</v>
      </c>
      <c r="L2728">
        <v>1415</v>
      </c>
      <c r="M2728" s="21" t="s">
        <v>3034</v>
      </c>
      <c r="O2728" s="21">
        <v>1985</v>
      </c>
      <c r="Q2728" s="21" t="s">
        <v>3086</v>
      </c>
      <c r="T2728" s="21">
        <v>-20</v>
      </c>
      <c r="U2728" s="21" t="s">
        <v>1218</v>
      </c>
      <c r="V2728" s="9" t="s">
        <v>1247</v>
      </c>
      <c r="W2728">
        <f>56</f>
        <v>56</v>
      </c>
      <c r="X2728" s="9" t="s">
        <v>3088</v>
      </c>
      <c r="Y2728" t="s">
        <v>3089</v>
      </c>
      <c r="Z2728" s="22">
        <v>8</v>
      </c>
      <c r="AD2728" s="22" t="s">
        <v>1165</v>
      </c>
      <c r="AF2728" s="24" t="s">
        <v>153</v>
      </c>
      <c r="AG2728" t="s">
        <v>1160</v>
      </c>
      <c r="AH2728">
        <f t="shared" si="24"/>
        <v>4320</v>
      </c>
      <c r="AI2728" s="21" t="s">
        <v>153</v>
      </c>
      <c r="AJ2728" s="21" t="s">
        <v>1148</v>
      </c>
      <c r="AK2728" s="21">
        <v>58.984000000000002</v>
      </c>
      <c r="AL2728" s="21" t="s">
        <v>1321</v>
      </c>
      <c r="AM2728" s="21" t="s">
        <v>3003</v>
      </c>
      <c r="AN2728" s="21">
        <v>3</v>
      </c>
      <c r="AO2728" s="21">
        <v>50</v>
      </c>
      <c r="AP2728" s="21">
        <v>15</v>
      </c>
      <c r="AQ2728" s="22" t="s">
        <v>3016</v>
      </c>
      <c r="AR2728" s="21" t="s">
        <v>1155</v>
      </c>
      <c r="AS2728" t="s">
        <v>3085</v>
      </c>
    </row>
    <row r="2729" spans="1:45" x14ac:dyDescent="0.2">
      <c r="A2729" s="21" t="s">
        <v>1685</v>
      </c>
      <c r="B2729" s="21" t="s">
        <v>1146</v>
      </c>
      <c r="C2729" s="21" t="s">
        <v>1149</v>
      </c>
      <c r="D2729" s="21" t="s">
        <v>420</v>
      </c>
      <c r="E2729" s="21" t="s">
        <v>3083</v>
      </c>
      <c r="G2729" s="21" t="s">
        <v>153</v>
      </c>
      <c r="H2729" s="21" t="s">
        <v>1165</v>
      </c>
      <c r="I2729" s="21" t="s">
        <v>3084</v>
      </c>
      <c r="J2729" s="21">
        <v>49.133333333333297</v>
      </c>
      <c r="K2729">
        <v>-122.75</v>
      </c>
      <c r="L2729">
        <v>1415</v>
      </c>
      <c r="M2729" s="21" t="s">
        <v>3034</v>
      </c>
      <c r="O2729" s="21">
        <v>1985</v>
      </c>
      <c r="Q2729" s="21" t="s">
        <v>3086</v>
      </c>
      <c r="T2729" s="21">
        <v>-20</v>
      </c>
      <c r="U2729" s="21" t="s">
        <v>1218</v>
      </c>
      <c r="V2729" s="9" t="s">
        <v>1247</v>
      </c>
      <c r="W2729">
        <f>56</f>
        <v>56</v>
      </c>
      <c r="X2729" s="9" t="s">
        <v>3088</v>
      </c>
      <c r="Y2729" t="s">
        <v>3089</v>
      </c>
      <c r="Z2729" s="22">
        <v>8</v>
      </c>
      <c r="AD2729" s="22" t="s">
        <v>1165</v>
      </c>
      <c r="AF2729" s="24" t="s">
        <v>153</v>
      </c>
      <c r="AG2729" t="s">
        <v>1160</v>
      </c>
      <c r="AH2729">
        <f t="shared" si="24"/>
        <v>4320</v>
      </c>
      <c r="AI2729" s="21" t="s">
        <v>153</v>
      </c>
      <c r="AJ2729" s="21" t="s">
        <v>1148</v>
      </c>
      <c r="AK2729" s="21">
        <v>58.902000000000001</v>
      </c>
      <c r="AL2729" s="21" t="s">
        <v>1321</v>
      </c>
      <c r="AM2729" s="21" t="s">
        <v>3003</v>
      </c>
      <c r="AN2729" s="21">
        <v>3</v>
      </c>
      <c r="AO2729" s="21">
        <v>50</v>
      </c>
      <c r="AP2729" s="21">
        <v>18</v>
      </c>
      <c r="AQ2729" s="22" t="s">
        <v>3016</v>
      </c>
      <c r="AR2729" s="21" t="s">
        <v>1155</v>
      </c>
      <c r="AS2729" t="s">
        <v>3085</v>
      </c>
    </row>
    <row r="2730" spans="1:45" x14ac:dyDescent="0.2">
      <c r="A2730" s="21" t="s">
        <v>1685</v>
      </c>
      <c r="B2730" s="21" t="s">
        <v>1146</v>
      </c>
      <c r="C2730" s="21" t="s">
        <v>1149</v>
      </c>
      <c r="D2730" s="21" t="s">
        <v>420</v>
      </c>
      <c r="E2730" s="21" t="s">
        <v>3083</v>
      </c>
      <c r="G2730" s="21" t="s">
        <v>153</v>
      </c>
      <c r="H2730" s="21" t="s">
        <v>1165</v>
      </c>
      <c r="I2730" s="21" t="s">
        <v>3084</v>
      </c>
      <c r="J2730" s="21">
        <v>49.133333333333297</v>
      </c>
      <c r="K2730">
        <v>-122.75</v>
      </c>
      <c r="L2730">
        <v>1415</v>
      </c>
      <c r="M2730" s="21" t="s">
        <v>3034</v>
      </c>
      <c r="O2730" s="21">
        <v>1985</v>
      </c>
      <c r="Q2730" s="21" t="s">
        <v>3086</v>
      </c>
      <c r="T2730" s="21">
        <v>-20</v>
      </c>
      <c r="U2730" s="21" t="s">
        <v>1218</v>
      </c>
      <c r="V2730" s="9" t="s">
        <v>1247</v>
      </c>
      <c r="W2730">
        <f>56</f>
        <v>56</v>
      </c>
      <c r="X2730" s="9" t="s">
        <v>3088</v>
      </c>
      <c r="Y2730" t="s">
        <v>3089</v>
      </c>
      <c r="Z2730" s="22">
        <v>8</v>
      </c>
      <c r="AD2730" s="22" t="s">
        <v>1165</v>
      </c>
      <c r="AF2730" s="24" t="s">
        <v>153</v>
      </c>
      <c r="AG2730" t="s">
        <v>1160</v>
      </c>
      <c r="AH2730">
        <f t="shared" si="24"/>
        <v>4320</v>
      </c>
      <c r="AI2730" s="21" t="s">
        <v>153</v>
      </c>
      <c r="AJ2730" s="21" t="s">
        <v>1148</v>
      </c>
      <c r="AK2730" s="21">
        <v>62.154000000000003</v>
      </c>
      <c r="AL2730" s="21" t="s">
        <v>1321</v>
      </c>
      <c r="AM2730" s="21" t="s">
        <v>3003</v>
      </c>
      <c r="AN2730" s="21">
        <v>3</v>
      </c>
      <c r="AO2730" s="21">
        <v>50</v>
      </c>
      <c r="AP2730" s="21">
        <v>21</v>
      </c>
      <c r="AQ2730" s="22" t="s">
        <v>3016</v>
      </c>
      <c r="AR2730" s="21" t="s">
        <v>1155</v>
      </c>
      <c r="AS2730" t="s">
        <v>3085</v>
      </c>
    </row>
    <row r="2731" spans="1:45" x14ac:dyDescent="0.2">
      <c r="A2731" s="21" t="s">
        <v>1685</v>
      </c>
      <c r="B2731" s="21" t="s">
        <v>1146</v>
      </c>
      <c r="C2731" s="21" t="s">
        <v>1149</v>
      </c>
      <c r="D2731" s="21" t="s">
        <v>420</v>
      </c>
      <c r="E2731" s="21" t="s">
        <v>3083</v>
      </c>
      <c r="G2731" s="21" t="s">
        <v>153</v>
      </c>
      <c r="H2731" s="21" t="s">
        <v>1165</v>
      </c>
      <c r="I2731" s="21" t="s">
        <v>3084</v>
      </c>
      <c r="J2731" s="21">
        <v>49.133333333333297</v>
      </c>
      <c r="K2731">
        <v>-122.75</v>
      </c>
      <c r="L2731">
        <v>1415</v>
      </c>
      <c r="M2731" s="21" t="s">
        <v>3034</v>
      </c>
      <c r="O2731" s="21">
        <v>1985</v>
      </c>
      <c r="Q2731" s="21" t="s">
        <v>3086</v>
      </c>
      <c r="T2731" s="21">
        <v>-20</v>
      </c>
      <c r="U2731" s="21" t="s">
        <v>1218</v>
      </c>
      <c r="V2731" s="9" t="s">
        <v>1247</v>
      </c>
      <c r="W2731">
        <f>56</f>
        <v>56</v>
      </c>
      <c r="X2731" s="9" t="s">
        <v>3088</v>
      </c>
      <c r="Y2731" t="s">
        <v>3089</v>
      </c>
      <c r="Z2731" s="22">
        <v>8</v>
      </c>
      <c r="AD2731" s="22" t="s">
        <v>1165</v>
      </c>
      <c r="AF2731" s="24" t="s">
        <v>153</v>
      </c>
      <c r="AG2731" t="s">
        <v>1160</v>
      </c>
      <c r="AH2731">
        <f t="shared" si="24"/>
        <v>4320</v>
      </c>
      <c r="AI2731" s="21" t="s">
        <v>153</v>
      </c>
      <c r="AJ2731" s="21" t="s">
        <v>1148</v>
      </c>
      <c r="AK2731" s="21">
        <v>63.414999999999999</v>
      </c>
      <c r="AL2731" s="21" t="s">
        <v>1321</v>
      </c>
      <c r="AM2731" s="21">
        <f>66.87-60.528</f>
        <v>6.3420000000000059</v>
      </c>
      <c r="AN2731" s="21">
        <v>3</v>
      </c>
      <c r="AO2731" s="21">
        <v>50</v>
      </c>
      <c r="AP2731" s="21">
        <v>24</v>
      </c>
      <c r="AQ2731" s="22" t="s">
        <v>3016</v>
      </c>
      <c r="AR2731" s="21" t="s">
        <v>1155</v>
      </c>
      <c r="AS2731" t="s">
        <v>3085</v>
      </c>
    </row>
    <row r="2732" spans="1:45" x14ac:dyDescent="0.2">
      <c r="A2732" s="21" t="s">
        <v>1685</v>
      </c>
      <c r="B2732" s="21" t="s">
        <v>1146</v>
      </c>
      <c r="C2732" s="21" t="s">
        <v>1149</v>
      </c>
      <c r="D2732" s="21" t="s">
        <v>420</v>
      </c>
      <c r="E2732" s="21" t="s">
        <v>3083</v>
      </c>
      <c r="G2732" s="21" t="s">
        <v>153</v>
      </c>
      <c r="H2732" s="21" t="s">
        <v>1165</v>
      </c>
      <c r="I2732" s="21" t="s">
        <v>3084</v>
      </c>
      <c r="J2732" s="21">
        <v>49.133333333333297</v>
      </c>
      <c r="K2732">
        <v>-122.75</v>
      </c>
      <c r="L2732">
        <v>1415</v>
      </c>
      <c r="M2732" s="21" t="s">
        <v>3034</v>
      </c>
      <c r="O2732" s="21">
        <v>1985</v>
      </c>
      <c r="Q2732" s="21" t="s">
        <v>3086</v>
      </c>
      <c r="T2732" s="21">
        <v>-20</v>
      </c>
      <c r="U2732" s="21" t="s">
        <v>1218</v>
      </c>
      <c r="V2732" s="9" t="s">
        <v>1247</v>
      </c>
      <c r="W2732">
        <f>56</f>
        <v>56</v>
      </c>
      <c r="X2732" s="9" t="s">
        <v>3088</v>
      </c>
      <c r="Y2732" t="s">
        <v>3089</v>
      </c>
      <c r="Z2732" s="22">
        <v>8</v>
      </c>
      <c r="AD2732" s="22" t="s">
        <v>1165</v>
      </c>
      <c r="AF2732" s="24" t="s">
        <v>153</v>
      </c>
      <c r="AG2732" t="s">
        <v>1160</v>
      </c>
      <c r="AH2732">
        <f t="shared" si="24"/>
        <v>4320</v>
      </c>
      <c r="AI2732" s="21" t="s">
        <v>153</v>
      </c>
      <c r="AJ2732" s="21" t="s">
        <v>1148</v>
      </c>
      <c r="AK2732" s="21">
        <v>63.942999999999998</v>
      </c>
      <c r="AL2732" s="21" t="s">
        <v>1321</v>
      </c>
      <c r="AM2732" s="21" t="s">
        <v>3003</v>
      </c>
      <c r="AN2732" s="21">
        <v>3</v>
      </c>
      <c r="AO2732" s="21">
        <v>50</v>
      </c>
      <c r="AP2732" s="21">
        <v>27</v>
      </c>
      <c r="AQ2732" s="22" t="s">
        <v>3016</v>
      </c>
      <c r="AR2732" s="21" t="s">
        <v>1155</v>
      </c>
      <c r="AS2732" t="s">
        <v>3085</v>
      </c>
    </row>
    <row r="2733" spans="1:45" x14ac:dyDescent="0.2">
      <c r="A2733" s="21" t="s">
        <v>1685</v>
      </c>
      <c r="B2733" s="21" t="s">
        <v>1146</v>
      </c>
      <c r="C2733" s="21" t="s">
        <v>1149</v>
      </c>
      <c r="D2733" s="21" t="s">
        <v>420</v>
      </c>
      <c r="E2733" s="21" t="s">
        <v>3083</v>
      </c>
      <c r="G2733" s="21" t="s">
        <v>153</v>
      </c>
      <c r="H2733" s="21" t="s">
        <v>1165</v>
      </c>
      <c r="I2733" s="21" t="s">
        <v>3084</v>
      </c>
      <c r="J2733" s="21">
        <v>49.133333333333297</v>
      </c>
      <c r="K2733">
        <v>-122.75</v>
      </c>
      <c r="L2733">
        <v>1415</v>
      </c>
      <c r="M2733" s="21" t="s">
        <v>3034</v>
      </c>
      <c r="O2733" s="21">
        <v>1985</v>
      </c>
      <c r="Q2733" s="21" t="s">
        <v>3086</v>
      </c>
      <c r="T2733" s="21">
        <v>-20</v>
      </c>
      <c r="U2733" s="21" t="s">
        <v>1218</v>
      </c>
      <c r="V2733" s="9" t="s">
        <v>1247</v>
      </c>
      <c r="W2733">
        <f>56</f>
        <v>56</v>
      </c>
      <c r="X2733" s="9" t="s">
        <v>3088</v>
      </c>
      <c r="Y2733" t="s">
        <v>3089</v>
      </c>
      <c r="Z2733" s="22">
        <v>8</v>
      </c>
      <c r="AD2733" s="22" t="s">
        <v>1165</v>
      </c>
      <c r="AF2733" s="24" t="s">
        <v>153</v>
      </c>
      <c r="AG2733" t="s">
        <v>1160</v>
      </c>
      <c r="AH2733">
        <f t="shared" si="24"/>
        <v>4320</v>
      </c>
      <c r="AI2733" s="21" t="s">
        <v>153</v>
      </c>
      <c r="AJ2733" s="21" t="s">
        <v>1148</v>
      </c>
      <c r="AK2733" s="21">
        <v>64.105999999999995</v>
      </c>
      <c r="AL2733" s="21" t="s">
        <v>1321</v>
      </c>
      <c r="AM2733" s="21" t="s">
        <v>3003</v>
      </c>
      <c r="AN2733" s="21">
        <v>3</v>
      </c>
      <c r="AO2733" s="21">
        <v>50</v>
      </c>
      <c r="AP2733" s="21">
        <v>30</v>
      </c>
      <c r="AQ2733" s="22" t="s">
        <v>3016</v>
      </c>
      <c r="AR2733" s="21" t="s">
        <v>1155</v>
      </c>
      <c r="AS2733" t="s">
        <v>3085</v>
      </c>
    </row>
    <row r="2734" spans="1:45" x14ac:dyDescent="0.2">
      <c r="A2734" s="21" t="s">
        <v>1685</v>
      </c>
      <c r="B2734" s="21" t="s">
        <v>1146</v>
      </c>
      <c r="C2734" s="21" t="s">
        <v>1149</v>
      </c>
      <c r="D2734" s="21" t="s">
        <v>420</v>
      </c>
      <c r="E2734" s="21" t="s">
        <v>3083</v>
      </c>
      <c r="G2734" s="21" t="s">
        <v>153</v>
      </c>
      <c r="H2734" s="21" t="s">
        <v>1165</v>
      </c>
      <c r="I2734" s="21" t="s">
        <v>3084</v>
      </c>
      <c r="J2734" s="21">
        <v>49.133333333333297</v>
      </c>
      <c r="K2734">
        <v>-122.75</v>
      </c>
      <c r="L2734">
        <v>1415</v>
      </c>
      <c r="M2734" s="21" t="s">
        <v>3034</v>
      </c>
      <c r="O2734" s="21">
        <v>1985</v>
      </c>
      <c r="Q2734" s="21" t="s">
        <v>3086</v>
      </c>
      <c r="T2734" s="21">
        <v>-20</v>
      </c>
      <c r="U2734" s="21" t="s">
        <v>1218</v>
      </c>
      <c r="V2734" s="9" t="s">
        <v>1247</v>
      </c>
      <c r="W2734">
        <f>56</f>
        <v>56</v>
      </c>
      <c r="X2734" s="9" t="s">
        <v>3088</v>
      </c>
      <c r="Y2734" t="s">
        <v>3090</v>
      </c>
      <c r="Z2734" s="22">
        <v>8</v>
      </c>
      <c r="AD2734" s="22" t="s">
        <v>1165</v>
      </c>
      <c r="AF2734" s="24" t="s">
        <v>153</v>
      </c>
      <c r="AG2734" t="s">
        <v>1160</v>
      </c>
      <c r="AH2734">
        <f t="shared" si="24"/>
        <v>4320</v>
      </c>
      <c r="AI2734" s="21" t="s">
        <v>153</v>
      </c>
      <c r="AJ2734" s="21" t="s">
        <v>1148</v>
      </c>
      <c r="AK2734" s="21">
        <v>0</v>
      </c>
      <c r="AL2734" s="21" t="s">
        <v>1321</v>
      </c>
      <c r="AM2734" s="21">
        <v>0</v>
      </c>
      <c r="AN2734" s="21">
        <v>3</v>
      </c>
      <c r="AO2734" s="21">
        <v>50</v>
      </c>
      <c r="AP2734" s="21">
        <v>3</v>
      </c>
      <c r="AQ2734" s="22" t="s">
        <v>3016</v>
      </c>
      <c r="AR2734" s="21" t="s">
        <v>1155</v>
      </c>
      <c r="AS2734" t="s">
        <v>3085</v>
      </c>
    </row>
    <row r="2735" spans="1:45" x14ac:dyDescent="0.2">
      <c r="A2735" s="21" t="s">
        <v>1685</v>
      </c>
      <c r="B2735" s="21" t="s">
        <v>1146</v>
      </c>
      <c r="C2735" s="21" t="s">
        <v>1149</v>
      </c>
      <c r="D2735" s="21" t="s">
        <v>420</v>
      </c>
      <c r="E2735" s="21" t="s">
        <v>3083</v>
      </c>
      <c r="G2735" s="21" t="s">
        <v>153</v>
      </c>
      <c r="H2735" s="21" t="s">
        <v>1165</v>
      </c>
      <c r="I2735" s="21" t="s">
        <v>3084</v>
      </c>
      <c r="J2735" s="21">
        <v>49.133333333333297</v>
      </c>
      <c r="K2735">
        <v>-122.75</v>
      </c>
      <c r="L2735">
        <v>1415</v>
      </c>
      <c r="M2735" s="21" t="s">
        <v>3034</v>
      </c>
      <c r="O2735" s="21">
        <v>1985</v>
      </c>
      <c r="Q2735" s="21" t="s">
        <v>3086</v>
      </c>
      <c r="T2735" s="21">
        <v>-20</v>
      </c>
      <c r="U2735" s="21" t="s">
        <v>1218</v>
      </c>
      <c r="V2735" s="9" t="s">
        <v>1247</v>
      </c>
      <c r="W2735">
        <f>56</f>
        <v>56</v>
      </c>
      <c r="X2735" s="9" t="s">
        <v>3088</v>
      </c>
      <c r="Y2735" t="s">
        <v>3090</v>
      </c>
      <c r="Z2735" s="22">
        <v>8</v>
      </c>
      <c r="AD2735" s="22" t="s">
        <v>1165</v>
      </c>
      <c r="AF2735" s="24" t="s">
        <v>153</v>
      </c>
      <c r="AG2735" t="s">
        <v>1160</v>
      </c>
      <c r="AH2735">
        <f t="shared" si="24"/>
        <v>4320</v>
      </c>
      <c r="AI2735" s="21" t="s">
        <v>153</v>
      </c>
      <c r="AJ2735" s="21" t="s">
        <v>1148</v>
      </c>
      <c r="AK2735" s="21">
        <v>10.244</v>
      </c>
      <c r="AL2735" s="21" t="s">
        <v>1321</v>
      </c>
      <c r="AM2735" s="21" t="s">
        <v>3003</v>
      </c>
      <c r="AN2735" s="21">
        <v>3</v>
      </c>
      <c r="AO2735" s="21">
        <v>50</v>
      </c>
      <c r="AP2735" s="21">
        <v>6</v>
      </c>
      <c r="AQ2735" s="22" t="s">
        <v>3016</v>
      </c>
      <c r="AR2735" s="21" t="s">
        <v>1155</v>
      </c>
      <c r="AS2735" t="s">
        <v>3085</v>
      </c>
    </row>
    <row r="2736" spans="1:45" x14ac:dyDescent="0.2">
      <c r="A2736" s="21" t="s">
        <v>1685</v>
      </c>
      <c r="B2736" s="21" t="s">
        <v>1146</v>
      </c>
      <c r="C2736" s="21" t="s">
        <v>1149</v>
      </c>
      <c r="D2736" s="21" t="s">
        <v>420</v>
      </c>
      <c r="E2736" s="21" t="s">
        <v>3083</v>
      </c>
      <c r="G2736" s="21" t="s">
        <v>153</v>
      </c>
      <c r="H2736" s="21" t="s">
        <v>1165</v>
      </c>
      <c r="I2736" s="21" t="s">
        <v>3084</v>
      </c>
      <c r="J2736" s="21">
        <v>49.133333333333297</v>
      </c>
      <c r="K2736">
        <v>-122.75</v>
      </c>
      <c r="L2736">
        <v>1415</v>
      </c>
      <c r="M2736" s="21" t="s">
        <v>3034</v>
      </c>
      <c r="O2736" s="21">
        <v>1985</v>
      </c>
      <c r="Q2736" s="21" t="s">
        <v>3086</v>
      </c>
      <c r="T2736" s="21">
        <v>-20</v>
      </c>
      <c r="U2736" s="21" t="s">
        <v>1218</v>
      </c>
      <c r="V2736" s="9" t="s">
        <v>1247</v>
      </c>
      <c r="W2736">
        <f>56</f>
        <v>56</v>
      </c>
      <c r="X2736" s="9" t="s">
        <v>3088</v>
      </c>
      <c r="Y2736" t="s">
        <v>3090</v>
      </c>
      <c r="Z2736" s="22">
        <v>8</v>
      </c>
      <c r="AD2736" s="22" t="s">
        <v>1165</v>
      </c>
      <c r="AF2736" s="24" t="s">
        <v>153</v>
      </c>
      <c r="AG2736" t="s">
        <v>1160</v>
      </c>
      <c r="AH2736">
        <f t="shared" si="24"/>
        <v>4320</v>
      </c>
      <c r="AI2736" s="21" t="s">
        <v>153</v>
      </c>
      <c r="AJ2736" s="21" t="s">
        <v>1148</v>
      </c>
      <c r="AK2736" s="21">
        <v>32.195</v>
      </c>
      <c r="AL2736" s="21" t="s">
        <v>1321</v>
      </c>
      <c r="AM2736" s="21" t="s">
        <v>3003</v>
      </c>
      <c r="AN2736" s="21">
        <v>3</v>
      </c>
      <c r="AO2736" s="21">
        <v>50</v>
      </c>
      <c r="AP2736" s="21">
        <v>9</v>
      </c>
      <c r="AQ2736" s="22" t="s">
        <v>3016</v>
      </c>
      <c r="AR2736" s="21" t="s">
        <v>1155</v>
      </c>
      <c r="AS2736" t="s">
        <v>3085</v>
      </c>
    </row>
    <row r="2737" spans="1:45" x14ac:dyDescent="0.2">
      <c r="A2737" s="21" t="s">
        <v>1685</v>
      </c>
      <c r="B2737" s="21" t="s">
        <v>1146</v>
      </c>
      <c r="C2737" s="21" t="s">
        <v>1149</v>
      </c>
      <c r="D2737" s="21" t="s">
        <v>420</v>
      </c>
      <c r="E2737" s="21" t="s">
        <v>3083</v>
      </c>
      <c r="G2737" s="21" t="s">
        <v>153</v>
      </c>
      <c r="H2737" s="21" t="s">
        <v>1165</v>
      </c>
      <c r="I2737" s="21" t="s">
        <v>3084</v>
      </c>
      <c r="J2737" s="21">
        <v>49.133333333333297</v>
      </c>
      <c r="K2737">
        <v>-122.75</v>
      </c>
      <c r="L2737">
        <v>1415</v>
      </c>
      <c r="M2737" s="21" t="s">
        <v>3034</v>
      </c>
      <c r="O2737" s="21">
        <v>1985</v>
      </c>
      <c r="Q2737" s="21" t="s">
        <v>3086</v>
      </c>
      <c r="T2737" s="21">
        <v>-20</v>
      </c>
      <c r="U2737" s="21" t="s">
        <v>1218</v>
      </c>
      <c r="V2737" s="9" t="s">
        <v>1247</v>
      </c>
      <c r="W2737">
        <f>56</f>
        <v>56</v>
      </c>
      <c r="X2737" s="9" t="s">
        <v>3088</v>
      </c>
      <c r="Y2737" t="s">
        <v>3090</v>
      </c>
      <c r="Z2737" s="22">
        <v>8</v>
      </c>
      <c r="AD2737" s="22" t="s">
        <v>1165</v>
      </c>
      <c r="AF2737" s="24" t="s">
        <v>153</v>
      </c>
      <c r="AG2737" t="s">
        <v>1160</v>
      </c>
      <c r="AH2737">
        <f t="shared" si="24"/>
        <v>4320</v>
      </c>
      <c r="AI2737" s="21" t="s">
        <v>153</v>
      </c>
      <c r="AJ2737" s="21" t="s">
        <v>1148</v>
      </c>
      <c r="AK2737" s="21">
        <v>45.731999999999999</v>
      </c>
      <c r="AL2737" s="21" t="s">
        <v>1321</v>
      </c>
      <c r="AM2737" s="21" t="s">
        <v>3003</v>
      </c>
      <c r="AN2737" s="21">
        <v>3</v>
      </c>
      <c r="AO2737" s="21">
        <v>50</v>
      </c>
      <c r="AP2737" s="21">
        <v>12</v>
      </c>
      <c r="AQ2737" s="22" t="s">
        <v>3016</v>
      </c>
      <c r="AR2737" s="21" t="s">
        <v>1155</v>
      </c>
      <c r="AS2737" t="s">
        <v>3085</v>
      </c>
    </row>
    <row r="2738" spans="1:45" x14ac:dyDescent="0.2">
      <c r="A2738" s="21" t="s">
        <v>1685</v>
      </c>
      <c r="B2738" s="21" t="s">
        <v>1146</v>
      </c>
      <c r="C2738" s="21" t="s">
        <v>1149</v>
      </c>
      <c r="D2738" s="21" t="s">
        <v>420</v>
      </c>
      <c r="E2738" s="21" t="s">
        <v>3083</v>
      </c>
      <c r="G2738" s="21" t="s">
        <v>153</v>
      </c>
      <c r="H2738" s="21" t="s">
        <v>1165</v>
      </c>
      <c r="I2738" s="21" t="s">
        <v>3084</v>
      </c>
      <c r="J2738" s="21">
        <v>49.133333333333297</v>
      </c>
      <c r="K2738">
        <v>-122.75</v>
      </c>
      <c r="L2738">
        <v>1415</v>
      </c>
      <c r="M2738" s="21" t="s">
        <v>3034</v>
      </c>
      <c r="O2738" s="21">
        <v>1985</v>
      </c>
      <c r="Q2738" s="21" t="s">
        <v>3086</v>
      </c>
      <c r="T2738" s="21">
        <v>-20</v>
      </c>
      <c r="U2738" s="21" t="s">
        <v>1218</v>
      </c>
      <c r="V2738" s="9" t="s">
        <v>1247</v>
      </c>
      <c r="W2738">
        <f>56</f>
        <v>56</v>
      </c>
      <c r="X2738" s="9" t="s">
        <v>3088</v>
      </c>
      <c r="Y2738" t="s">
        <v>3090</v>
      </c>
      <c r="Z2738" s="22">
        <v>8</v>
      </c>
      <c r="AD2738" s="22" t="s">
        <v>1165</v>
      </c>
      <c r="AF2738" s="24" t="s">
        <v>153</v>
      </c>
      <c r="AG2738" t="s">
        <v>1160</v>
      </c>
      <c r="AH2738">
        <f t="shared" si="24"/>
        <v>4320</v>
      </c>
      <c r="AI2738" s="21" t="s">
        <v>153</v>
      </c>
      <c r="AJ2738" s="21" t="s">
        <v>1148</v>
      </c>
      <c r="AK2738" s="21">
        <v>53.658999999999999</v>
      </c>
      <c r="AL2738" s="21" t="s">
        <v>1321</v>
      </c>
      <c r="AM2738" s="21" t="s">
        <v>3003</v>
      </c>
      <c r="AN2738" s="21">
        <v>3</v>
      </c>
      <c r="AO2738" s="21">
        <v>50</v>
      </c>
      <c r="AP2738" s="21">
        <v>15</v>
      </c>
      <c r="AQ2738" s="22" t="s">
        <v>3016</v>
      </c>
      <c r="AR2738" s="21" t="s">
        <v>1155</v>
      </c>
      <c r="AS2738" t="s">
        <v>3085</v>
      </c>
    </row>
    <row r="2739" spans="1:45" ht="37" customHeight="1" x14ac:dyDescent="0.2">
      <c r="A2739" s="21" t="s">
        <v>1685</v>
      </c>
      <c r="B2739" s="21" t="s">
        <v>1146</v>
      </c>
      <c r="C2739" s="21" t="s">
        <v>1149</v>
      </c>
      <c r="D2739" s="21" t="s">
        <v>420</v>
      </c>
      <c r="E2739" s="21" t="s">
        <v>3083</v>
      </c>
      <c r="G2739" s="21" t="s">
        <v>153</v>
      </c>
      <c r="H2739" s="21" t="s">
        <v>1165</v>
      </c>
      <c r="I2739" s="21" t="s">
        <v>3084</v>
      </c>
      <c r="J2739" s="21">
        <v>49.133333333333297</v>
      </c>
      <c r="K2739">
        <v>-122.75</v>
      </c>
      <c r="L2739">
        <v>1415</v>
      </c>
      <c r="M2739" s="21" t="s">
        <v>3034</v>
      </c>
      <c r="O2739" s="21">
        <v>1985</v>
      </c>
      <c r="Q2739" s="21" t="s">
        <v>3086</v>
      </c>
      <c r="T2739" s="21">
        <v>-20</v>
      </c>
      <c r="U2739" s="21" t="s">
        <v>1218</v>
      </c>
      <c r="V2739" s="9" t="s">
        <v>1247</v>
      </c>
      <c r="W2739">
        <f>56</f>
        <v>56</v>
      </c>
      <c r="X2739" s="9" t="s">
        <v>3088</v>
      </c>
      <c r="Y2739" t="s">
        <v>3090</v>
      </c>
      <c r="Z2739" s="22">
        <v>8</v>
      </c>
      <c r="AD2739" s="22" t="s">
        <v>1165</v>
      </c>
      <c r="AF2739" s="24" t="s">
        <v>153</v>
      </c>
      <c r="AG2739" t="s">
        <v>1160</v>
      </c>
      <c r="AH2739">
        <f t="shared" si="24"/>
        <v>4320</v>
      </c>
      <c r="AI2739" s="21" t="s">
        <v>153</v>
      </c>
      <c r="AJ2739" s="21" t="s">
        <v>1148</v>
      </c>
      <c r="AK2739" s="21">
        <v>53.658999999999999</v>
      </c>
      <c r="AL2739" s="21" t="s">
        <v>1321</v>
      </c>
      <c r="AM2739" s="21" t="s">
        <v>3003</v>
      </c>
      <c r="AN2739" s="21">
        <v>3</v>
      </c>
      <c r="AO2739" s="21">
        <v>50</v>
      </c>
      <c r="AP2739" s="21">
        <v>18</v>
      </c>
      <c r="AQ2739" s="22" t="s">
        <v>3016</v>
      </c>
      <c r="AR2739" s="21" t="s">
        <v>1155</v>
      </c>
      <c r="AS2739" t="s">
        <v>3085</v>
      </c>
    </row>
    <row r="2740" spans="1:45" ht="17" customHeight="1" x14ac:dyDescent="0.2">
      <c r="A2740" s="21" t="s">
        <v>1685</v>
      </c>
      <c r="B2740" s="21" t="s">
        <v>1146</v>
      </c>
      <c r="C2740" s="21" t="s">
        <v>1149</v>
      </c>
      <c r="D2740" s="21" t="s">
        <v>420</v>
      </c>
      <c r="E2740" s="21" t="s">
        <v>3083</v>
      </c>
      <c r="G2740" s="21" t="s">
        <v>153</v>
      </c>
      <c r="H2740" s="21" t="s">
        <v>1165</v>
      </c>
      <c r="I2740" s="21" t="s">
        <v>3084</v>
      </c>
      <c r="J2740" s="21">
        <v>49.133333333333297</v>
      </c>
      <c r="K2740">
        <v>-122.75</v>
      </c>
      <c r="L2740">
        <v>1415</v>
      </c>
      <c r="M2740" s="21" t="s">
        <v>3034</v>
      </c>
      <c r="O2740" s="21">
        <v>1985</v>
      </c>
      <c r="Q2740" s="21" t="s">
        <v>3086</v>
      </c>
      <c r="T2740" s="21">
        <v>-20</v>
      </c>
      <c r="U2740" s="21" t="s">
        <v>1218</v>
      </c>
      <c r="V2740" s="9" t="s">
        <v>1247</v>
      </c>
      <c r="W2740">
        <f>56</f>
        <v>56</v>
      </c>
      <c r="X2740" s="9" t="s">
        <v>3088</v>
      </c>
      <c r="Y2740" t="s">
        <v>3090</v>
      </c>
      <c r="Z2740" s="22">
        <v>8</v>
      </c>
      <c r="AD2740" s="22" t="s">
        <v>1165</v>
      </c>
      <c r="AF2740" s="24" t="s">
        <v>153</v>
      </c>
      <c r="AG2740" t="s">
        <v>1160</v>
      </c>
      <c r="AH2740">
        <f t="shared" si="24"/>
        <v>4320</v>
      </c>
      <c r="AI2740" s="21" t="s">
        <v>153</v>
      </c>
      <c r="AJ2740" s="21" t="s">
        <v>1148</v>
      </c>
      <c r="AK2740" s="21">
        <v>62.073</v>
      </c>
      <c r="AL2740" s="21" t="s">
        <v>1321</v>
      </c>
      <c r="AM2740" s="21" t="s">
        <v>3003</v>
      </c>
      <c r="AN2740" s="21">
        <v>3</v>
      </c>
      <c r="AO2740" s="21">
        <v>50</v>
      </c>
      <c r="AP2740" s="21">
        <v>21</v>
      </c>
      <c r="AQ2740" s="22" t="s">
        <v>3016</v>
      </c>
      <c r="AR2740" s="21" t="s">
        <v>1155</v>
      </c>
      <c r="AS2740" t="s">
        <v>3085</v>
      </c>
    </row>
    <row r="2741" spans="1:45" ht="35" customHeight="1" x14ac:dyDescent="0.2">
      <c r="A2741" s="21" t="s">
        <v>1685</v>
      </c>
      <c r="B2741" s="21" t="s">
        <v>1146</v>
      </c>
      <c r="C2741" s="21" t="s">
        <v>1149</v>
      </c>
      <c r="D2741" s="21" t="s">
        <v>420</v>
      </c>
      <c r="E2741" s="21" t="s">
        <v>3083</v>
      </c>
      <c r="G2741" s="21" t="s">
        <v>153</v>
      </c>
      <c r="H2741" s="21" t="s">
        <v>1165</v>
      </c>
      <c r="I2741" s="21" t="s">
        <v>3084</v>
      </c>
      <c r="J2741" s="21">
        <v>49.133333333333297</v>
      </c>
      <c r="K2741">
        <v>-122.75</v>
      </c>
      <c r="L2741">
        <v>1415</v>
      </c>
      <c r="M2741" s="21" t="s">
        <v>3034</v>
      </c>
      <c r="O2741" s="21">
        <v>1985</v>
      </c>
      <c r="Q2741" s="21" t="s">
        <v>3086</v>
      </c>
      <c r="T2741" s="21">
        <v>-20</v>
      </c>
      <c r="U2741" s="21" t="s">
        <v>1218</v>
      </c>
      <c r="V2741" s="9" t="s">
        <v>1247</v>
      </c>
      <c r="W2741">
        <f>56</f>
        <v>56</v>
      </c>
      <c r="X2741" s="9" t="s">
        <v>3088</v>
      </c>
      <c r="Y2741" t="s">
        <v>3090</v>
      </c>
      <c r="Z2741" s="22">
        <v>8</v>
      </c>
      <c r="AD2741" s="22" t="s">
        <v>1165</v>
      </c>
      <c r="AF2741" s="24" t="s">
        <v>153</v>
      </c>
      <c r="AG2741" t="s">
        <v>1160</v>
      </c>
      <c r="AH2741">
        <f t="shared" si="24"/>
        <v>4320</v>
      </c>
      <c r="AI2741" s="21" t="s">
        <v>153</v>
      </c>
      <c r="AJ2741" s="21" t="s">
        <v>1148</v>
      </c>
      <c r="AK2741" s="21">
        <v>63.170999999999999</v>
      </c>
      <c r="AL2741" s="21" t="s">
        <v>1321</v>
      </c>
      <c r="AM2741" s="21" t="s">
        <v>3003</v>
      </c>
      <c r="AN2741" s="21">
        <v>3</v>
      </c>
      <c r="AO2741" s="21">
        <v>50</v>
      </c>
      <c r="AP2741" s="21">
        <v>24</v>
      </c>
      <c r="AQ2741" s="22" t="s">
        <v>3016</v>
      </c>
      <c r="AR2741" s="21" t="s">
        <v>1155</v>
      </c>
      <c r="AS2741" t="s">
        <v>3085</v>
      </c>
    </row>
    <row r="2742" spans="1:45" ht="35" customHeight="1" x14ac:dyDescent="0.2">
      <c r="A2742" s="21" t="s">
        <v>1685</v>
      </c>
      <c r="B2742" s="21" t="s">
        <v>1146</v>
      </c>
      <c r="C2742" s="21" t="s">
        <v>1149</v>
      </c>
      <c r="D2742" s="21" t="s">
        <v>420</v>
      </c>
      <c r="E2742" s="21" t="s">
        <v>3083</v>
      </c>
      <c r="G2742" s="21" t="s">
        <v>153</v>
      </c>
      <c r="H2742" s="21" t="s">
        <v>1165</v>
      </c>
      <c r="I2742" s="21" t="s">
        <v>3084</v>
      </c>
      <c r="J2742" s="21">
        <v>49.133333333333297</v>
      </c>
      <c r="K2742">
        <v>-122.75</v>
      </c>
      <c r="L2742">
        <v>1415</v>
      </c>
      <c r="M2742" s="21" t="s">
        <v>3034</v>
      </c>
      <c r="O2742" s="21">
        <v>1985</v>
      </c>
      <c r="Q2742" s="21" t="s">
        <v>3086</v>
      </c>
      <c r="T2742" s="21">
        <v>-20</v>
      </c>
      <c r="U2742" s="21" t="s">
        <v>1218</v>
      </c>
      <c r="V2742" s="9" t="s">
        <v>1247</v>
      </c>
      <c r="W2742">
        <f>56</f>
        <v>56</v>
      </c>
      <c r="X2742" s="9" t="s">
        <v>3088</v>
      </c>
      <c r="Y2742" t="s">
        <v>3090</v>
      </c>
      <c r="Z2742" s="22">
        <v>8</v>
      </c>
      <c r="AD2742" s="22" t="s">
        <v>1165</v>
      </c>
      <c r="AF2742" s="24" t="s">
        <v>153</v>
      </c>
      <c r="AG2742" t="s">
        <v>1160</v>
      </c>
      <c r="AH2742">
        <f t="shared" si="24"/>
        <v>4320</v>
      </c>
      <c r="AI2742" s="21" t="s">
        <v>153</v>
      </c>
      <c r="AJ2742" s="21" t="s">
        <v>1148</v>
      </c>
      <c r="AK2742" s="21">
        <v>63.902000000000001</v>
      </c>
      <c r="AL2742" s="21" t="s">
        <v>1321</v>
      </c>
      <c r="AM2742" s="21" t="s">
        <v>3003</v>
      </c>
      <c r="AN2742" s="21">
        <v>3</v>
      </c>
      <c r="AO2742" s="21">
        <v>50</v>
      </c>
      <c r="AP2742" s="21">
        <v>27</v>
      </c>
      <c r="AQ2742" s="22" t="s">
        <v>3016</v>
      </c>
      <c r="AR2742" s="21" t="s">
        <v>1155</v>
      </c>
      <c r="AS2742" t="s">
        <v>3085</v>
      </c>
    </row>
    <row r="2743" spans="1:45" ht="30" customHeight="1" x14ac:dyDescent="0.2">
      <c r="A2743" s="21" t="s">
        <v>1685</v>
      </c>
      <c r="B2743" s="21" t="s">
        <v>1146</v>
      </c>
      <c r="C2743" s="21" t="s">
        <v>1149</v>
      </c>
      <c r="D2743" s="21" t="s">
        <v>420</v>
      </c>
      <c r="E2743" s="21" t="s">
        <v>3083</v>
      </c>
      <c r="G2743" s="21" t="s">
        <v>153</v>
      </c>
      <c r="H2743" s="21" t="s">
        <v>1165</v>
      </c>
      <c r="I2743" s="21" t="s">
        <v>3084</v>
      </c>
      <c r="J2743" s="21">
        <v>49.133333333333297</v>
      </c>
      <c r="K2743">
        <v>-122.75</v>
      </c>
      <c r="L2743">
        <v>1415</v>
      </c>
      <c r="M2743" s="21" t="s">
        <v>3034</v>
      </c>
      <c r="O2743" s="21">
        <v>1985</v>
      </c>
      <c r="Q2743" s="21" t="s">
        <v>3086</v>
      </c>
      <c r="T2743" s="21">
        <v>-20</v>
      </c>
      <c r="U2743" s="21" t="s">
        <v>1218</v>
      </c>
      <c r="V2743" s="9" t="s">
        <v>1247</v>
      </c>
      <c r="W2743">
        <f>56</f>
        <v>56</v>
      </c>
      <c r="X2743" s="9" t="s">
        <v>3088</v>
      </c>
      <c r="Y2743" t="s">
        <v>3090</v>
      </c>
      <c r="Z2743" s="22">
        <v>8</v>
      </c>
      <c r="AD2743" s="22" t="s">
        <v>1165</v>
      </c>
      <c r="AF2743" s="24" t="s">
        <v>153</v>
      </c>
      <c r="AG2743" t="s">
        <v>1160</v>
      </c>
      <c r="AH2743">
        <f t="shared" si="24"/>
        <v>4320</v>
      </c>
      <c r="AI2743" s="21" t="s">
        <v>153</v>
      </c>
      <c r="AJ2743" s="21" t="s">
        <v>1148</v>
      </c>
      <c r="AK2743" s="21">
        <v>65.61</v>
      </c>
      <c r="AL2743" s="21" t="s">
        <v>1321</v>
      </c>
      <c r="AM2743" s="21" t="s">
        <v>3003</v>
      </c>
      <c r="AN2743" s="21">
        <v>3</v>
      </c>
      <c r="AO2743" s="21">
        <v>50</v>
      </c>
      <c r="AP2743" s="21">
        <v>30</v>
      </c>
      <c r="AQ2743" s="22" t="s">
        <v>3016</v>
      </c>
      <c r="AR2743" s="21" t="s">
        <v>1155</v>
      </c>
      <c r="AS2743" t="s">
        <v>3085</v>
      </c>
    </row>
    <row r="2744" spans="1:45" ht="23" customHeight="1" x14ac:dyDescent="0.2">
      <c r="A2744" s="21" t="s">
        <v>1685</v>
      </c>
      <c r="B2744" s="21" t="s">
        <v>1146</v>
      </c>
      <c r="C2744" s="21" t="s">
        <v>1149</v>
      </c>
      <c r="D2744" s="21" t="s">
        <v>420</v>
      </c>
      <c r="E2744" s="21" t="s">
        <v>3083</v>
      </c>
      <c r="G2744" s="21" t="s">
        <v>153</v>
      </c>
      <c r="H2744" s="21" t="s">
        <v>1165</v>
      </c>
      <c r="I2744" s="21" t="s">
        <v>3084</v>
      </c>
      <c r="J2744" s="21">
        <v>49.133333333333297</v>
      </c>
      <c r="K2744">
        <v>-122.75</v>
      </c>
      <c r="L2744">
        <v>1415</v>
      </c>
      <c r="M2744" s="21" t="s">
        <v>3034</v>
      </c>
      <c r="O2744" s="21">
        <v>1985</v>
      </c>
      <c r="Q2744" s="21" t="s">
        <v>3086</v>
      </c>
      <c r="T2744" s="21">
        <v>-20</v>
      </c>
      <c r="U2744" s="21" t="s">
        <v>1218</v>
      </c>
      <c r="V2744" s="9" t="s">
        <v>1247</v>
      </c>
      <c r="W2744">
        <f>56</f>
        <v>56</v>
      </c>
      <c r="X2744" s="9" t="s">
        <v>3088</v>
      </c>
      <c r="Y2744" t="s">
        <v>3091</v>
      </c>
      <c r="Z2744" s="22">
        <v>8</v>
      </c>
      <c r="AD2744" s="22" t="s">
        <v>1165</v>
      </c>
      <c r="AF2744" s="24" t="s">
        <v>153</v>
      </c>
      <c r="AG2744" t="s">
        <v>1160</v>
      </c>
      <c r="AH2744">
        <f t="shared" si="24"/>
        <v>4320</v>
      </c>
      <c r="AI2744" s="21" t="s">
        <v>153</v>
      </c>
      <c r="AJ2744" s="21" t="s">
        <v>1148</v>
      </c>
      <c r="AK2744">
        <v>0</v>
      </c>
      <c r="AL2744" s="21" t="s">
        <v>1321</v>
      </c>
      <c r="AM2744">
        <v>0</v>
      </c>
      <c r="AN2744" s="21">
        <v>3</v>
      </c>
      <c r="AO2744" s="21">
        <v>50</v>
      </c>
      <c r="AP2744" s="21">
        <v>3</v>
      </c>
      <c r="AQ2744" s="22" t="s">
        <v>3016</v>
      </c>
      <c r="AR2744" s="21" t="s">
        <v>1155</v>
      </c>
      <c r="AS2744" t="s">
        <v>3085</v>
      </c>
    </row>
    <row r="2745" spans="1:45" ht="27" customHeight="1" x14ac:dyDescent="0.2">
      <c r="A2745" s="21" t="s">
        <v>1685</v>
      </c>
      <c r="B2745" s="21" t="s">
        <v>1146</v>
      </c>
      <c r="C2745" s="21" t="s">
        <v>1149</v>
      </c>
      <c r="D2745" s="21" t="s">
        <v>420</v>
      </c>
      <c r="E2745" s="21" t="s">
        <v>3083</v>
      </c>
      <c r="G2745" s="21" t="s">
        <v>153</v>
      </c>
      <c r="H2745" s="21" t="s">
        <v>1165</v>
      </c>
      <c r="I2745" s="21" t="s">
        <v>3084</v>
      </c>
      <c r="J2745" s="21">
        <v>49.133333333333297</v>
      </c>
      <c r="K2745">
        <v>-122.75</v>
      </c>
      <c r="L2745">
        <v>1415</v>
      </c>
      <c r="M2745" s="21" t="s">
        <v>3034</v>
      </c>
      <c r="O2745" s="21">
        <v>1985</v>
      </c>
      <c r="Q2745" s="21" t="s">
        <v>3086</v>
      </c>
      <c r="T2745" s="21">
        <v>-20</v>
      </c>
      <c r="U2745" s="21" t="s">
        <v>1218</v>
      </c>
      <c r="V2745" s="9" t="s">
        <v>1247</v>
      </c>
      <c r="W2745">
        <f>56</f>
        <v>56</v>
      </c>
      <c r="X2745" s="9" t="s">
        <v>3088</v>
      </c>
      <c r="Y2745" t="s">
        <v>3091</v>
      </c>
      <c r="Z2745" s="22">
        <v>8</v>
      </c>
      <c r="AD2745" s="22" t="s">
        <v>1165</v>
      </c>
      <c r="AF2745" s="24" t="s">
        <v>153</v>
      </c>
      <c r="AG2745" t="s">
        <v>1160</v>
      </c>
      <c r="AH2745">
        <f t="shared" si="24"/>
        <v>4320</v>
      </c>
      <c r="AI2745" s="21" t="s">
        <v>153</v>
      </c>
      <c r="AJ2745" s="21" t="s">
        <v>1148</v>
      </c>
      <c r="AK2745" s="21">
        <v>23.170999999999999</v>
      </c>
      <c r="AL2745" s="21" t="s">
        <v>1321</v>
      </c>
      <c r="AM2745" s="21">
        <f>25-21.22</f>
        <v>3.7800000000000011</v>
      </c>
      <c r="AN2745" s="21">
        <v>3</v>
      </c>
      <c r="AO2745" s="21">
        <v>50</v>
      </c>
      <c r="AP2745" s="21">
        <v>6</v>
      </c>
      <c r="AQ2745" s="22" t="s">
        <v>3016</v>
      </c>
      <c r="AR2745" s="21" t="s">
        <v>1155</v>
      </c>
      <c r="AS2745" t="s">
        <v>3085</v>
      </c>
    </row>
    <row r="2746" spans="1:45" ht="24" customHeight="1" x14ac:dyDescent="0.2">
      <c r="A2746" s="21" t="s">
        <v>1685</v>
      </c>
      <c r="B2746" s="21" t="s">
        <v>1146</v>
      </c>
      <c r="C2746" s="21" t="s">
        <v>1149</v>
      </c>
      <c r="D2746" s="21" t="s">
        <v>420</v>
      </c>
      <c r="E2746" s="21" t="s">
        <v>3083</v>
      </c>
      <c r="G2746" s="21" t="s">
        <v>153</v>
      </c>
      <c r="H2746" s="21" t="s">
        <v>1165</v>
      </c>
      <c r="I2746" s="21" t="s">
        <v>3084</v>
      </c>
      <c r="J2746" s="21">
        <v>49.133333333333297</v>
      </c>
      <c r="K2746">
        <v>-122.75</v>
      </c>
      <c r="L2746">
        <v>1415</v>
      </c>
      <c r="M2746" s="21" t="s">
        <v>3034</v>
      </c>
      <c r="O2746" s="21">
        <v>1985</v>
      </c>
      <c r="Q2746" s="21" t="s">
        <v>3086</v>
      </c>
      <c r="T2746" s="21">
        <v>-20</v>
      </c>
      <c r="U2746" s="21" t="s">
        <v>1218</v>
      </c>
      <c r="V2746" s="9" t="s">
        <v>1247</v>
      </c>
      <c r="W2746">
        <f>56</f>
        <v>56</v>
      </c>
      <c r="X2746" s="9" t="s">
        <v>3088</v>
      </c>
      <c r="Y2746" t="s">
        <v>3091</v>
      </c>
      <c r="Z2746" s="22">
        <v>8</v>
      </c>
      <c r="AD2746" s="22" t="s">
        <v>1165</v>
      </c>
      <c r="AF2746" s="24" t="s">
        <v>153</v>
      </c>
      <c r="AG2746" t="s">
        <v>1160</v>
      </c>
      <c r="AH2746">
        <f t="shared" ref="AH2746:AH2777" si="25">24*60*3</f>
        <v>4320</v>
      </c>
      <c r="AI2746" s="21" t="s">
        <v>153</v>
      </c>
      <c r="AJ2746" s="21" t="s">
        <v>1148</v>
      </c>
      <c r="AK2746" s="21">
        <v>37.805</v>
      </c>
      <c r="AL2746" s="21" t="s">
        <v>1321</v>
      </c>
      <c r="AM2746" s="21" t="s">
        <v>3003</v>
      </c>
      <c r="AN2746" s="21">
        <v>3</v>
      </c>
      <c r="AO2746" s="21">
        <v>50</v>
      </c>
      <c r="AP2746" s="21">
        <v>9</v>
      </c>
      <c r="AQ2746" s="22" t="s">
        <v>3016</v>
      </c>
      <c r="AR2746" s="21" t="s">
        <v>1155</v>
      </c>
      <c r="AS2746" t="s">
        <v>3085</v>
      </c>
    </row>
    <row r="2747" spans="1:45" ht="14" customHeight="1" x14ac:dyDescent="0.2">
      <c r="A2747" s="21" t="s">
        <v>1685</v>
      </c>
      <c r="B2747" s="21" t="s">
        <v>1146</v>
      </c>
      <c r="C2747" s="21" t="s">
        <v>1149</v>
      </c>
      <c r="D2747" s="21" t="s">
        <v>420</v>
      </c>
      <c r="E2747" s="21" t="s">
        <v>3083</v>
      </c>
      <c r="G2747" s="21" t="s">
        <v>153</v>
      </c>
      <c r="H2747" s="21" t="s">
        <v>1165</v>
      </c>
      <c r="I2747" s="21" t="s">
        <v>3084</v>
      </c>
      <c r="J2747" s="21">
        <v>49.133333333333297</v>
      </c>
      <c r="K2747">
        <v>-122.75</v>
      </c>
      <c r="L2747">
        <v>1415</v>
      </c>
      <c r="M2747" s="21" t="s">
        <v>3034</v>
      </c>
      <c r="O2747" s="21">
        <v>1985</v>
      </c>
      <c r="Q2747" s="21" t="s">
        <v>3086</v>
      </c>
      <c r="T2747" s="21">
        <v>-20</v>
      </c>
      <c r="U2747" s="21" t="s">
        <v>1218</v>
      </c>
      <c r="V2747" s="9" t="s">
        <v>1247</v>
      </c>
      <c r="W2747">
        <f>56</f>
        <v>56</v>
      </c>
      <c r="X2747" s="9" t="s">
        <v>3088</v>
      </c>
      <c r="Y2747" t="s">
        <v>3091</v>
      </c>
      <c r="Z2747" s="22">
        <v>8</v>
      </c>
      <c r="AD2747" s="22" t="s">
        <v>1165</v>
      </c>
      <c r="AF2747" s="24" t="s">
        <v>153</v>
      </c>
      <c r="AG2747" t="s">
        <v>1160</v>
      </c>
      <c r="AH2747">
        <f t="shared" si="25"/>
        <v>4320</v>
      </c>
      <c r="AI2747" s="21" t="s">
        <v>153</v>
      </c>
      <c r="AJ2747" s="21" t="s">
        <v>1148</v>
      </c>
      <c r="AK2747" s="21">
        <v>49.024000000000001</v>
      </c>
      <c r="AL2747" s="21" t="s">
        <v>1321</v>
      </c>
      <c r="AM2747" s="21" t="s">
        <v>3003</v>
      </c>
      <c r="AN2747" s="21">
        <v>3</v>
      </c>
      <c r="AO2747" s="21">
        <v>50</v>
      </c>
      <c r="AP2747" s="21">
        <v>12</v>
      </c>
      <c r="AQ2747" s="22" t="s">
        <v>3016</v>
      </c>
      <c r="AR2747" s="21" t="s">
        <v>1155</v>
      </c>
      <c r="AS2747" t="s">
        <v>3085</v>
      </c>
    </row>
    <row r="2748" spans="1:45" ht="23" customHeight="1" x14ac:dyDescent="0.2">
      <c r="A2748" s="21" t="s">
        <v>1685</v>
      </c>
      <c r="B2748" s="21" t="s">
        <v>1146</v>
      </c>
      <c r="C2748" s="21" t="s">
        <v>1149</v>
      </c>
      <c r="D2748" s="21" t="s">
        <v>420</v>
      </c>
      <c r="E2748" s="21" t="s">
        <v>3083</v>
      </c>
      <c r="G2748" s="21" t="s">
        <v>153</v>
      </c>
      <c r="H2748" s="21" t="s">
        <v>1165</v>
      </c>
      <c r="I2748" s="21" t="s">
        <v>3084</v>
      </c>
      <c r="J2748" s="21">
        <v>49.133333333333297</v>
      </c>
      <c r="K2748">
        <v>-122.75</v>
      </c>
      <c r="L2748">
        <v>1415</v>
      </c>
      <c r="M2748" s="21" t="s">
        <v>3034</v>
      </c>
      <c r="O2748" s="21">
        <v>1985</v>
      </c>
      <c r="Q2748" s="21" t="s">
        <v>3086</v>
      </c>
      <c r="T2748" s="21">
        <v>-20</v>
      </c>
      <c r="U2748" s="21" t="s">
        <v>1218</v>
      </c>
      <c r="V2748" s="9" t="s">
        <v>1247</v>
      </c>
      <c r="W2748">
        <f>56</f>
        <v>56</v>
      </c>
      <c r="X2748" s="9" t="s">
        <v>3088</v>
      </c>
      <c r="Y2748" t="s">
        <v>3091</v>
      </c>
      <c r="Z2748" s="22">
        <v>8</v>
      </c>
      <c r="AD2748" s="22" t="s">
        <v>1165</v>
      </c>
      <c r="AF2748" s="24" t="s">
        <v>153</v>
      </c>
      <c r="AG2748" t="s">
        <v>1160</v>
      </c>
      <c r="AH2748">
        <f t="shared" si="25"/>
        <v>4320</v>
      </c>
      <c r="AI2748" s="21" t="s">
        <v>153</v>
      </c>
      <c r="AJ2748" s="21" t="s">
        <v>1148</v>
      </c>
      <c r="AK2748" s="21">
        <v>58.78</v>
      </c>
      <c r="AL2748" s="21" t="s">
        <v>1321</v>
      </c>
      <c r="AM2748" s="21" t="s">
        <v>3003</v>
      </c>
      <c r="AN2748" s="21">
        <v>3</v>
      </c>
      <c r="AO2748" s="21">
        <v>50</v>
      </c>
      <c r="AP2748" s="21">
        <v>15</v>
      </c>
      <c r="AQ2748" s="22" t="s">
        <v>3016</v>
      </c>
      <c r="AR2748" s="21" t="s">
        <v>1155</v>
      </c>
      <c r="AS2748" t="s">
        <v>3085</v>
      </c>
    </row>
    <row r="2749" spans="1:45" ht="48" customHeight="1" x14ac:dyDescent="0.2">
      <c r="A2749" s="21" t="s">
        <v>1685</v>
      </c>
      <c r="B2749" s="21" t="s">
        <v>1146</v>
      </c>
      <c r="C2749" s="21" t="s">
        <v>1149</v>
      </c>
      <c r="D2749" s="21" t="s">
        <v>420</v>
      </c>
      <c r="E2749" s="21" t="s">
        <v>3083</v>
      </c>
      <c r="G2749" s="21" t="s">
        <v>153</v>
      </c>
      <c r="H2749" s="21" t="s">
        <v>1165</v>
      </c>
      <c r="I2749" s="21" t="s">
        <v>3084</v>
      </c>
      <c r="J2749" s="21">
        <v>49.133333333333297</v>
      </c>
      <c r="K2749">
        <v>-122.75</v>
      </c>
      <c r="L2749">
        <v>1415</v>
      </c>
      <c r="M2749" s="21" t="s">
        <v>3034</v>
      </c>
      <c r="O2749" s="21">
        <v>1985</v>
      </c>
      <c r="Q2749" s="21" t="s">
        <v>3086</v>
      </c>
      <c r="T2749" s="21">
        <v>-20</v>
      </c>
      <c r="U2749" s="21" t="s">
        <v>1218</v>
      </c>
      <c r="V2749" s="9" t="s">
        <v>1247</v>
      </c>
      <c r="W2749">
        <f>56</f>
        <v>56</v>
      </c>
      <c r="X2749" s="9" t="s">
        <v>3088</v>
      </c>
      <c r="Y2749" t="s">
        <v>3091</v>
      </c>
      <c r="Z2749" s="22">
        <v>8</v>
      </c>
      <c r="AD2749" s="22" t="s">
        <v>1165</v>
      </c>
      <c r="AF2749" s="24" t="s">
        <v>153</v>
      </c>
      <c r="AG2749" t="s">
        <v>1160</v>
      </c>
      <c r="AH2749">
        <f t="shared" si="25"/>
        <v>4320</v>
      </c>
      <c r="AI2749" s="21" t="s">
        <v>153</v>
      </c>
      <c r="AJ2749" s="21" t="s">
        <v>1148</v>
      </c>
      <c r="AK2749" s="21">
        <v>66.584999999999994</v>
      </c>
      <c r="AL2749" s="21" t="s">
        <v>1321</v>
      </c>
      <c r="AM2749" s="21">
        <f>67.195-65.61</f>
        <v>1.5849999999999937</v>
      </c>
      <c r="AN2749" s="21">
        <v>3</v>
      </c>
      <c r="AO2749" s="21">
        <v>50</v>
      </c>
      <c r="AP2749" s="21">
        <v>18</v>
      </c>
      <c r="AQ2749" s="22" t="s">
        <v>3016</v>
      </c>
      <c r="AR2749" s="21" t="s">
        <v>1155</v>
      </c>
      <c r="AS2749" t="s">
        <v>3085</v>
      </c>
    </row>
    <row r="2750" spans="1:45" ht="109" customHeight="1" x14ac:dyDescent="0.2">
      <c r="A2750" s="21" t="s">
        <v>1685</v>
      </c>
      <c r="B2750" s="21" t="s">
        <v>1146</v>
      </c>
      <c r="C2750" s="21" t="s">
        <v>1149</v>
      </c>
      <c r="D2750" s="21" t="s">
        <v>420</v>
      </c>
      <c r="E2750" s="21" t="s">
        <v>3083</v>
      </c>
      <c r="G2750" s="21" t="s">
        <v>153</v>
      </c>
      <c r="H2750" s="21" t="s">
        <v>1165</v>
      </c>
      <c r="I2750" s="21" t="s">
        <v>3084</v>
      </c>
      <c r="J2750" s="21">
        <v>49.133333333333297</v>
      </c>
      <c r="K2750">
        <v>-122.75</v>
      </c>
      <c r="L2750">
        <v>1415</v>
      </c>
      <c r="M2750" s="21" t="s">
        <v>3034</v>
      </c>
      <c r="O2750" s="21">
        <v>1985</v>
      </c>
      <c r="Q2750" s="21" t="s">
        <v>3086</v>
      </c>
      <c r="T2750" s="21">
        <v>-20</v>
      </c>
      <c r="U2750" s="21" t="s">
        <v>1218</v>
      </c>
      <c r="V2750" s="9" t="s">
        <v>1247</v>
      </c>
      <c r="W2750">
        <f>56</f>
        <v>56</v>
      </c>
      <c r="X2750" s="9" t="s">
        <v>3088</v>
      </c>
      <c r="Y2750" t="s">
        <v>3091</v>
      </c>
      <c r="Z2750" s="22">
        <v>8</v>
      </c>
      <c r="AD2750" s="22" t="s">
        <v>1165</v>
      </c>
      <c r="AF2750" s="24" t="s">
        <v>153</v>
      </c>
      <c r="AG2750" t="s">
        <v>1160</v>
      </c>
      <c r="AH2750">
        <f t="shared" si="25"/>
        <v>4320</v>
      </c>
      <c r="AI2750" s="21" t="s">
        <v>153</v>
      </c>
      <c r="AJ2750" s="21" t="s">
        <v>1148</v>
      </c>
      <c r="AK2750" s="21">
        <v>71.950999999999993</v>
      </c>
      <c r="AL2750" s="21" t="s">
        <v>1321</v>
      </c>
      <c r="AM2750" s="21">
        <f>72.927-71.098</f>
        <v>1.8290000000000077</v>
      </c>
      <c r="AN2750" s="21">
        <v>3</v>
      </c>
      <c r="AO2750" s="21">
        <v>50</v>
      </c>
      <c r="AP2750" s="21">
        <v>21</v>
      </c>
      <c r="AQ2750" s="22" t="s">
        <v>3016</v>
      </c>
      <c r="AR2750" s="21" t="s">
        <v>1155</v>
      </c>
      <c r="AS2750" t="s">
        <v>3085</v>
      </c>
    </row>
    <row r="2751" spans="1:45" ht="33" customHeight="1" x14ac:dyDescent="0.2">
      <c r="A2751" s="21" t="s">
        <v>1685</v>
      </c>
      <c r="B2751" s="21" t="s">
        <v>1146</v>
      </c>
      <c r="C2751" s="21" t="s">
        <v>1149</v>
      </c>
      <c r="D2751" s="21" t="s">
        <v>420</v>
      </c>
      <c r="E2751" s="21" t="s">
        <v>3083</v>
      </c>
      <c r="G2751" s="21" t="s">
        <v>153</v>
      </c>
      <c r="H2751" s="21" t="s">
        <v>1165</v>
      </c>
      <c r="I2751" s="21" t="s">
        <v>3084</v>
      </c>
      <c r="J2751" s="21">
        <v>49.133333333333297</v>
      </c>
      <c r="K2751">
        <v>-122.75</v>
      </c>
      <c r="L2751">
        <v>1415</v>
      </c>
      <c r="M2751" s="21" t="s">
        <v>3034</v>
      </c>
      <c r="O2751" s="21">
        <v>1985</v>
      </c>
      <c r="Q2751" s="21" t="s">
        <v>3086</v>
      </c>
      <c r="T2751" s="21">
        <v>-20</v>
      </c>
      <c r="U2751" s="21" t="s">
        <v>1218</v>
      </c>
      <c r="V2751" s="9" t="s">
        <v>1247</v>
      </c>
      <c r="W2751">
        <f>56</f>
        <v>56</v>
      </c>
      <c r="X2751" s="9" t="s">
        <v>3088</v>
      </c>
      <c r="Y2751" t="s">
        <v>3091</v>
      </c>
      <c r="Z2751" s="22">
        <v>8</v>
      </c>
      <c r="AD2751" s="22" t="s">
        <v>1165</v>
      </c>
      <c r="AF2751" s="24" t="s">
        <v>153</v>
      </c>
      <c r="AG2751" t="s">
        <v>1160</v>
      </c>
      <c r="AH2751">
        <f t="shared" si="25"/>
        <v>4320</v>
      </c>
      <c r="AI2751" s="21" t="s">
        <v>153</v>
      </c>
      <c r="AJ2751" s="21" t="s">
        <v>1148</v>
      </c>
      <c r="AK2751" s="21">
        <v>75.366</v>
      </c>
      <c r="AL2751" s="21" t="s">
        <v>1321</v>
      </c>
      <c r="AM2751" s="21">
        <f>77.317-73.537</f>
        <v>3.7799999999999869</v>
      </c>
      <c r="AN2751" s="21">
        <v>3</v>
      </c>
      <c r="AO2751" s="21">
        <v>50</v>
      </c>
      <c r="AP2751" s="21">
        <v>24</v>
      </c>
      <c r="AQ2751" s="22" t="s">
        <v>3016</v>
      </c>
      <c r="AR2751" s="21" t="s">
        <v>1155</v>
      </c>
      <c r="AS2751" t="s">
        <v>3085</v>
      </c>
    </row>
    <row r="2752" spans="1:45" ht="1" x14ac:dyDescent="0.2">
      <c r="A2752" s="21" t="s">
        <v>1685</v>
      </c>
      <c r="B2752" s="21" t="s">
        <v>1146</v>
      </c>
      <c r="C2752" s="21" t="s">
        <v>1149</v>
      </c>
      <c r="D2752" s="21" t="s">
        <v>420</v>
      </c>
      <c r="E2752" s="21" t="s">
        <v>3083</v>
      </c>
      <c r="G2752" s="21" t="s">
        <v>153</v>
      </c>
      <c r="H2752" s="21" t="s">
        <v>1165</v>
      </c>
      <c r="I2752" s="21" t="s">
        <v>3084</v>
      </c>
      <c r="J2752" s="21">
        <v>49.133333333333297</v>
      </c>
      <c r="K2752">
        <v>-122.75</v>
      </c>
      <c r="L2752">
        <v>1415</v>
      </c>
      <c r="M2752" s="21" t="s">
        <v>3034</v>
      </c>
      <c r="O2752" s="21">
        <v>1985</v>
      </c>
      <c r="Q2752" s="21" t="s">
        <v>3086</v>
      </c>
      <c r="T2752" s="21">
        <v>-20</v>
      </c>
      <c r="U2752" s="21" t="s">
        <v>1218</v>
      </c>
      <c r="V2752" s="9" t="s">
        <v>1247</v>
      </c>
      <c r="W2752">
        <f>56</f>
        <v>56</v>
      </c>
      <c r="X2752" s="9" t="s">
        <v>3088</v>
      </c>
      <c r="Y2752" t="s">
        <v>3091</v>
      </c>
      <c r="Z2752" s="22">
        <v>8</v>
      </c>
      <c r="AD2752" s="22" t="s">
        <v>1165</v>
      </c>
      <c r="AF2752" s="24" t="s">
        <v>153</v>
      </c>
      <c r="AG2752" t="s">
        <v>1160</v>
      </c>
      <c r="AH2752">
        <f t="shared" si="25"/>
        <v>4320</v>
      </c>
      <c r="AI2752" s="21" t="s">
        <v>153</v>
      </c>
      <c r="AJ2752" s="21" t="s">
        <v>1148</v>
      </c>
      <c r="AK2752" s="21">
        <v>77.561000000000007</v>
      </c>
      <c r="AL2752" s="21" t="s">
        <v>1321</v>
      </c>
      <c r="AM2752" s="21">
        <f>79.512-75.61</f>
        <v>3.902000000000001</v>
      </c>
      <c r="AN2752" s="21">
        <v>3</v>
      </c>
      <c r="AO2752" s="21">
        <v>50</v>
      </c>
      <c r="AP2752" s="21">
        <v>27</v>
      </c>
      <c r="AQ2752" s="22" t="s">
        <v>3016</v>
      </c>
      <c r="AR2752" s="21" t="s">
        <v>1155</v>
      </c>
      <c r="AS2752" t="s">
        <v>3085</v>
      </c>
    </row>
    <row r="2753" spans="1:45" ht="132" customHeight="1" x14ac:dyDescent="0.2">
      <c r="A2753" s="21" t="s">
        <v>1685</v>
      </c>
      <c r="B2753" s="21" t="s">
        <v>1146</v>
      </c>
      <c r="C2753" s="21" t="s">
        <v>1149</v>
      </c>
      <c r="D2753" s="21" t="s">
        <v>420</v>
      </c>
      <c r="E2753" s="21" t="s">
        <v>3083</v>
      </c>
      <c r="G2753" s="21" t="s">
        <v>153</v>
      </c>
      <c r="H2753" s="21" t="s">
        <v>1165</v>
      </c>
      <c r="I2753" s="21" t="s">
        <v>3084</v>
      </c>
      <c r="J2753" s="21">
        <v>49.133333333333297</v>
      </c>
      <c r="K2753">
        <v>-122.75</v>
      </c>
      <c r="L2753">
        <v>1415</v>
      </c>
      <c r="M2753" s="21" t="s">
        <v>3034</v>
      </c>
      <c r="O2753" s="21">
        <v>1985</v>
      </c>
      <c r="Q2753" s="21" t="s">
        <v>3086</v>
      </c>
      <c r="T2753" s="21">
        <v>-20</v>
      </c>
      <c r="U2753" s="21" t="s">
        <v>1218</v>
      </c>
      <c r="V2753" s="9" t="s">
        <v>1247</v>
      </c>
      <c r="W2753">
        <f>56</f>
        <v>56</v>
      </c>
      <c r="X2753" s="9" t="s">
        <v>3088</v>
      </c>
      <c r="Y2753" t="s">
        <v>3091</v>
      </c>
      <c r="Z2753" s="22">
        <v>8</v>
      </c>
      <c r="AD2753" s="22" t="s">
        <v>1165</v>
      </c>
      <c r="AF2753" s="24" t="s">
        <v>153</v>
      </c>
      <c r="AG2753" t="s">
        <v>1160</v>
      </c>
      <c r="AH2753">
        <f t="shared" si="25"/>
        <v>4320</v>
      </c>
      <c r="AI2753" s="21" t="s">
        <v>153</v>
      </c>
      <c r="AJ2753" s="21" t="s">
        <v>1148</v>
      </c>
      <c r="AK2753" s="21">
        <v>79.634</v>
      </c>
      <c r="AL2753" s="21" t="s">
        <v>1321</v>
      </c>
      <c r="AM2753" s="21">
        <f>81.463-77.683</f>
        <v>3.7799999999999869</v>
      </c>
      <c r="AN2753" s="21">
        <v>3</v>
      </c>
      <c r="AO2753" s="21">
        <v>50</v>
      </c>
      <c r="AP2753" s="21">
        <v>30</v>
      </c>
      <c r="AQ2753" s="22" t="s">
        <v>3016</v>
      </c>
      <c r="AR2753" s="21" t="s">
        <v>1155</v>
      </c>
      <c r="AS2753" t="s">
        <v>3085</v>
      </c>
    </row>
    <row r="2754" spans="1:45" ht="16" customHeight="1" x14ac:dyDescent="0.2">
      <c r="A2754" s="21" t="s">
        <v>1685</v>
      </c>
      <c r="B2754" s="21" t="s">
        <v>1146</v>
      </c>
      <c r="C2754" s="21" t="s">
        <v>1149</v>
      </c>
      <c r="D2754" s="21" t="s">
        <v>420</v>
      </c>
      <c r="E2754" s="21" t="s">
        <v>3083</v>
      </c>
      <c r="G2754" s="21" t="s">
        <v>153</v>
      </c>
      <c r="H2754" s="21" t="s">
        <v>1165</v>
      </c>
      <c r="I2754" s="21" t="s">
        <v>3084</v>
      </c>
      <c r="J2754" s="21">
        <v>49.133333333333297</v>
      </c>
      <c r="K2754">
        <v>-122.75</v>
      </c>
      <c r="L2754">
        <v>1415</v>
      </c>
      <c r="M2754" s="21" t="s">
        <v>3034</v>
      </c>
      <c r="O2754" s="21">
        <v>1985</v>
      </c>
      <c r="Q2754" s="21" t="s">
        <v>3086</v>
      </c>
      <c r="T2754" s="21">
        <v>-20</v>
      </c>
      <c r="U2754" s="21" t="s">
        <v>1147</v>
      </c>
      <c r="X2754" s="9" t="s">
        <v>3088</v>
      </c>
      <c r="Z2754" s="22">
        <v>8</v>
      </c>
      <c r="AD2754" s="22" t="s">
        <v>1165</v>
      </c>
      <c r="AF2754" s="24" t="s">
        <v>153</v>
      </c>
      <c r="AG2754" t="s">
        <v>1160</v>
      </c>
      <c r="AH2754">
        <f t="shared" si="25"/>
        <v>4320</v>
      </c>
      <c r="AI2754" s="21" t="s">
        <v>153</v>
      </c>
      <c r="AJ2754" s="21" t="s">
        <v>1148</v>
      </c>
      <c r="AK2754">
        <v>0</v>
      </c>
      <c r="AL2754" s="21" t="s">
        <v>1321</v>
      </c>
      <c r="AM2754">
        <v>0</v>
      </c>
      <c r="AN2754" s="21">
        <v>3</v>
      </c>
      <c r="AO2754" s="21">
        <v>50</v>
      </c>
      <c r="AP2754" s="21">
        <v>3</v>
      </c>
      <c r="AQ2754" s="22" t="s">
        <v>3092</v>
      </c>
      <c r="AR2754" s="21" t="s">
        <v>1155</v>
      </c>
      <c r="AS2754" t="s">
        <v>3085</v>
      </c>
    </row>
    <row r="2755" spans="1:45" ht="19" customHeight="1" x14ac:dyDescent="0.2">
      <c r="A2755" s="21" t="s">
        <v>1685</v>
      </c>
      <c r="B2755" s="21" t="s">
        <v>1146</v>
      </c>
      <c r="C2755" s="21" t="s">
        <v>1149</v>
      </c>
      <c r="D2755" s="21" t="s">
        <v>420</v>
      </c>
      <c r="E2755" s="21" t="s">
        <v>3083</v>
      </c>
      <c r="G2755" s="21" t="s">
        <v>153</v>
      </c>
      <c r="H2755" s="21" t="s">
        <v>1165</v>
      </c>
      <c r="I2755" s="21" t="s">
        <v>3084</v>
      </c>
      <c r="J2755" s="21">
        <v>49.133333333333297</v>
      </c>
      <c r="K2755">
        <v>-122.75</v>
      </c>
      <c r="L2755">
        <v>1415</v>
      </c>
      <c r="M2755" s="21" t="s">
        <v>3034</v>
      </c>
      <c r="O2755" s="21">
        <v>1985</v>
      </c>
      <c r="Q2755" s="21" t="s">
        <v>3086</v>
      </c>
      <c r="T2755" s="21">
        <v>-20</v>
      </c>
      <c r="U2755" s="21" t="s">
        <v>1147</v>
      </c>
      <c r="X2755" s="9" t="s">
        <v>3088</v>
      </c>
      <c r="Z2755" s="22">
        <v>8</v>
      </c>
      <c r="AD2755" s="22" t="s">
        <v>1165</v>
      </c>
      <c r="AF2755" s="24" t="s">
        <v>153</v>
      </c>
      <c r="AG2755" t="s">
        <v>1160</v>
      </c>
      <c r="AH2755">
        <f t="shared" si="25"/>
        <v>4320</v>
      </c>
      <c r="AI2755" s="21" t="s">
        <v>153</v>
      </c>
      <c r="AJ2755" s="21" t="s">
        <v>1148</v>
      </c>
      <c r="AK2755" s="21">
        <v>0</v>
      </c>
      <c r="AL2755" s="21" t="s">
        <v>1321</v>
      </c>
      <c r="AM2755" s="21">
        <v>0</v>
      </c>
      <c r="AN2755" s="21">
        <v>3</v>
      </c>
      <c r="AO2755" s="21">
        <v>50</v>
      </c>
      <c r="AP2755" s="21">
        <v>6</v>
      </c>
      <c r="AQ2755" s="22" t="s">
        <v>3092</v>
      </c>
      <c r="AR2755" s="21" t="s">
        <v>1155</v>
      </c>
      <c r="AS2755" t="s">
        <v>3085</v>
      </c>
    </row>
    <row r="2756" spans="1:45" ht="41" customHeight="1" x14ac:dyDescent="0.2">
      <c r="A2756" s="21" t="s">
        <v>1685</v>
      </c>
      <c r="B2756" s="21" t="s">
        <v>1146</v>
      </c>
      <c r="C2756" s="21" t="s">
        <v>1149</v>
      </c>
      <c r="D2756" s="21" t="s">
        <v>420</v>
      </c>
      <c r="E2756" s="21" t="s">
        <v>3083</v>
      </c>
      <c r="G2756" s="21" t="s">
        <v>153</v>
      </c>
      <c r="H2756" s="21" t="s">
        <v>1165</v>
      </c>
      <c r="I2756" s="21" t="s">
        <v>3084</v>
      </c>
      <c r="J2756" s="21">
        <v>49.133333333333297</v>
      </c>
      <c r="K2756">
        <v>-122.75</v>
      </c>
      <c r="L2756">
        <v>1415</v>
      </c>
      <c r="M2756" s="21" t="s">
        <v>3034</v>
      </c>
      <c r="O2756" s="21">
        <v>1985</v>
      </c>
      <c r="Q2756" s="21" t="s">
        <v>3086</v>
      </c>
      <c r="T2756" s="21">
        <v>-20</v>
      </c>
      <c r="U2756" s="21" t="s">
        <v>1147</v>
      </c>
      <c r="X2756" s="9" t="s">
        <v>3088</v>
      </c>
      <c r="Z2756" s="22">
        <v>8</v>
      </c>
      <c r="AD2756" s="22" t="s">
        <v>1165</v>
      </c>
      <c r="AF2756" s="24" t="s">
        <v>153</v>
      </c>
      <c r="AG2756" t="s">
        <v>1160</v>
      </c>
      <c r="AH2756">
        <f t="shared" si="25"/>
        <v>4320</v>
      </c>
      <c r="AI2756" s="21" t="s">
        <v>153</v>
      </c>
      <c r="AJ2756" s="21" t="s">
        <v>1148</v>
      </c>
      <c r="AK2756" s="21">
        <v>0</v>
      </c>
      <c r="AL2756" s="21" t="s">
        <v>1321</v>
      </c>
      <c r="AM2756" s="21">
        <v>0</v>
      </c>
      <c r="AN2756" s="21">
        <v>3</v>
      </c>
      <c r="AO2756" s="21">
        <v>50</v>
      </c>
      <c r="AP2756" s="21">
        <v>9</v>
      </c>
      <c r="AQ2756" s="22" t="s">
        <v>3092</v>
      </c>
      <c r="AR2756" s="21" t="s">
        <v>1155</v>
      </c>
      <c r="AS2756" t="s">
        <v>3085</v>
      </c>
    </row>
    <row r="2757" spans="1:45" ht="40" customHeight="1" x14ac:dyDescent="0.2">
      <c r="A2757" s="21" t="s">
        <v>1685</v>
      </c>
      <c r="B2757" s="21" t="s">
        <v>1146</v>
      </c>
      <c r="C2757" s="21" t="s">
        <v>1149</v>
      </c>
      <c r="D2757" s="21" t="s">
        <v>420</v>
      </c>
      <c r="E2757" s="21" t="s">
        <v>3083</v>
      </c>
      <c r="G2757" s="21" t="s">
        <v>153</v>
      </c>
      <c r="H2757" s="21" t="s">
        <v>1165</v>
      </c>
      <c r="I2757" s="21" t="s">
        <v>3084</v>
      </c>
      <c r="J2757" s="21">
        <v>49.133333333333297</v>
      </c>
      <c r="K2757">
        <v>-122.75</v>
      </c>
      <c r="L2757">
        <v>1415</v>
      </c>
      <c r="M2757" s="21" t="s">
        <v>3034</v>
      </c>
      <c r="O2757" s="21">
        <v>1985</v>
      </c>
      <c r="Q2757" s="21" t="s">
        <v>3086</v>
      </c>
      <c r="T2757" s="21">
        <v>-20</v>
      </c>
      <c r="U2757" s="21" t="s">
        <v>1147</v>
      </c>
      <c r="X2757" s="9" t="s">
        <v>3088</v>
      </c>
      <c r="Z2757" s="22">
        <v>8</v>
      </c>
      <c r="AD2757" s="22" t="s">
        <v>1165</v>
      </c>
      <c r="AF2757" s="24" t="s">
        <v>153</v>
      </c>
      <c r="AG2757" t="s">
        <v>1160</v>
      </c>
      <c r="AH2757">
        <f t="shared" si="25"/>
        <v>4320</v>
      </c>
      <c r="AI2757" s="21" t="s">
        <v>153</v>
      </c>
      <c r="AJ2757" s="21" t="s">
        <v>1148</v>
      </c>
      <c r="AK2757" s="21">
        <v>0</v>
      </c>
      <c r="AL2757" s="21" t="s">
        <v>1321</v>
      </c>
      <c r="AM2757" s="21">
        <v>0</v>
      </c>
      <c r="AN2757" s="21">
        <v>3</v>
      </c>
      <c r="AO2757" s="21">
        <v>50</v>
      </c>
      <c r="AP2757" s="21">
        <v>12</v>
      </c>
      <c r="AQ2757" s="22" t="s">
        <v>3092</v>
      </c>
      <c r="AR2757" s="21" t="s">
        <v>1155</v>
      </c>
      <c r="AS2757" t="s">
        <v>3085</v>
      </c>
    </row>
    <row r="2758" spans="1:45" ht="1" x14ac:dyDescent="0.2">
      <c r="A2758" s="21" t="s">
        <v>1685</v>
      </c>
      <c r="B2758" s="21" t="s">
        <v>1146</v>
      </c>
      <c r="C2758" s="21" t="s">
        <v>1149</v>
      </c>
      <c r="D2758" s="21" t="s">
        <v>420</v>
      </c>
      <c r="E2758" s="21" t="s">
        <v>3083</v>
      </c>
      <c r="G2758" s="21" t="s">
        <v>153</v>
      </c>
      <c r="H2758" s="21" t="s">
        <v>1165</v>
      </c>
      <c r="I2758" s="21" t="s">
        <v>3084</v>
      </c>
      <c r="J2758" s="21">
        <v>49.133333333333297</v>
      </c>
      <c r="K2758">
        <v>-122.75</v>
      </c>
      <c r="L2758">
        <v>1415</v>
      </c>
      <c r="M2758" s="21" t="s">
        <v>3034</v>
      </c>
      <c r="O2758" s="21">
        <v>1985</v>
      </c>
      <c r="Q2758" s="21" t="s">
        <v>3086</v>
      </c>
      <c r="T2758" s="21">
        <v>-20</v>
      </c>
      <c r="U2758" s="21" t="s">
        <v>1147</v>
      </c>
      <c r="X2758" s="9" t="s">
        <v>3088</v>
      </c>
      <c r="Z2758" s="22">
        <v>8</v>
      </c>
      <c r="AD2758" s="22" t="s">
        <v>1165</v>
      </c>
      <c r="AF2758" s="24" t="s">
        <v>153</v>
      </c>
      <c r="AG2758" t="s">
        <v>1160</v>
      </c>
      <c r="AH2758">
        <f t="shared" si="25"/>
        <v>4320</v>
      </c>
      <c r="AI2758" s="21" t="s">
        <v>153</v>
      </c>
      <c r="AJ2758" s="21" t="s">
        <v>1148</v>
      </c>
      <c r="AK2758" s="21">
        <v>0</v>
      </c>
      <c r="AL2758" s="21" t="s">
        <v>1321</v>
      </c>
      <c r="AM2758" s="21">
        <v>0</v>
      </c>
      <c r="AN2758" s="21">
        <v>3</v>
      </c>
      <c r="AO2758" s="21">
        <v>50</v>
      </c>
      <c r="AP2758" s="21">
        <v>15</v>
      </c>
      <c r="AQ2758" s="22" t="s">
        <v>3092</v>
      </c>
      <c r="AR2758" s="21" t="s">
        <v>1155</v>
      </c>
      <c r="AS2758" t="s">
        <v>3085</v>
      </c>
    </row>
    <row r="2759" spans="1:45" ht="28" customHeight="1" x14ac:dyDescent="0.2">
      <c r="A2759" s="21" t="s">
        <v>1685</v>
      </c>
      <c r="B2759" s="21" t="s">
        <v>1146</v>
      </c>
      <c r="C2759" s="21" t="s">
        <v>1149</v>
      </c>
      <c r="D2759" s="21" t="s">
        <v>420</v>
      </c>
      <c r="E2759" s="21" t="s">
        <v>3083</v>
      </c>
      <c r="G2759" s="21" t="s">
        <v>153</v>
      </c>
      <c r="H2759" s="21" t="s">
        <v>1165</v>
      </c>
      <c r="I2759" s="21" t="s">
        <v>3084</v>
      </c>
      <c r="J2759" s="21">
        <v>49.133333333333297</v>
      </c>
      <c r="K2759">
        <v>-122.75</v>
      </c>
      <c r="L2759">
        <v>1415</v>
      </c>
      <c r="M2759" s="21" t="s">
        <v>3034</v>
      </c>
      <c r="O2759" s="21">
        <v>1985</v>
      </c>
      <c r="Q2759" s="21" t="s">
        <v>3086</v>
      </c>
      <c r="T2759" s="21">
        <v>-20</v>
      </c>
      <c r="U2759" s="21" t="s">
        <v>1147</v>
      </c>
      <c r="X2759" s="9" t="s">
        <v>3088</v>
      </c>
      <c r="Z2759" s="22">
        <v>8</v>
      </c>
      <c r="AD2759" s="22" t="s">
        <v>1165</v>
      </c>
      <c r="AF2759" s="24" t="s">
        <v>153</v>
      </c>
      <c r="AG2759" t="s">
        <v>1160</v>
      </c>
      <c r="AH2759">
        <f t="shared" si="25"/>
        <v>4320</v>
      </c>
      <c r="AI2759" s="21" t="s">
        <v>153</v>
      </c>
      <c r="AJ2759" s="21" t="s">
        <v>1148</v>
      </c>
      <c r="AK2759" s="21">
        <v>0</v>
      </c>
      <c r="AL2759" s="21" t="s">
        <v>1321</v>
      </c>
      <c r="AM2759" s="21">
        <v>0</v>
      </c>
      <c r="AN2759" s="21">
        <v>3</v>
      </c>
      <c r="AO2759" s="21">
        <v>50</v>
      </c>
      <c r="AP2759" s="21">
        <v>18</v>
      </c>
      <c r="AQ2759" s="22" t="s">
        <v>3092</v>
      </c>
      <c r="AR2759" s="21" t="s">
        <v>1155</v>
      </c>
      <c r="AS2759" t="s">
        <v>3085</v>
      </c>
    </row>
    <row r="2760" spans="1:45" ht="25" customHeight="1" x14ac:dyDescent="0.2">
      <c r="A2760" s="21" t="s">
        <v>1685</v>
      </c>
      <c r="B2760" s="21" t="s">
        <v>1146</v>
      </c>
      <c r="C2760" s="21" t="s">
        <v>1149</v>
      </c>
      <c r="D2760" s="21" t="s">
        <v>420</v>
      </c>
      <c r="E2760" s="21" t="s">
        <v>3083</v>
      </c>
      <c r="G2760" s="21" t="s">
        <v>153</v>
      </c>
      <c r="H2760" s="21" t="s">
        <v>1165</v>
      </c>
      <c r="I2760" s="21" t="s">
        <v>3084</v>
      </c>
      <c r="J2760" s="21">
        <v>49.133333333333297</v>
      </c>
      <c r="K2760">
        <v>-122.75</v>
      </c>
      <c r="L2760">
        <v>1415</v>
      </c>
      <c r="M2760" s="21" t="s">
        <v>3034</v>
      </c>
      <c r="O2760" s="21">
        <v>1985</v>
      </c>
      <c r="Q2760" s="21" t="s">
        <v>3086</v>
      </c>
      <c r="T2760" s="21">
        <v>-20</v>
      </c>
      <c r="U2760" s="21" t="s">
        <v>1147</v>
      </c>
      <c r="X2760" s="9" t="s">
        <v>3088</v>
      </c>
      <c r="Z2760" s="22">
        <v>8</v>
      </c>
      <c r="AD2760" s="22" t="s">
        <v>1165</v>
      </c>
      <c r="AF2760" s="24" t="s">
        <v>153</v>
      </c>
      <c r="AG2760" t="s">
        <v>1160</v>
      </c>
      <c r="AH2760">
        <f t="shared" si="25"/>
        <v>4320</v>
      </c>
      <c r="AI2760" s="21" t="s">
        <v>153</v>
      </c>
      <c r="AJ2760" s="21" t="s">
        <v>1148</v>
      </c>
      <c r="AK2760" s="21">
        <v>0</v>
      </c>
      <c r="AL2760" s="21" t="s">
        <v>1321</v>
      </c>
      <c r="AM2760" s="21">
        <v>0</v>
      </c>
      <c r="AN2760" s="21">
        <v>3</v>
      </c>
      <c r="AO2760" s="21">
        <v>50</v>
      </c>
      <c r="AP2760" s="21">
        <v>21</v>
      </c>
      <c r="AQ2760" s="22" t="s">
        <v>3092</v>
      </c>
      <c r="AR2760" s="21" t="s">
        <v>1155</v>
      </c>
      <c r="AS2760" t="s">
        <v>3085</v>
      </c>
    </row>
    <row r="2761" spans="1:45" ht="21" customHeight="1" x14ac:dyDescent="0.2">
      <c r="A2761" s="21" t="s">
        <v>1685</v>
      </c>
      <c r="B2761" s="21" t="s">
        <v>1146</v>
      </c>
      <c r="C2761" s="21" t="s">
        <v>1149</v>
      </c>
      <c r="D2761" s="21" t="s">
        <v>420</v>
      </c>
      <c r="E2761" s="21" t="s">
        <v>3083</v>
      </c>
      <c r="G2761" s="21" t="s">
        <v>153</v>
      </c>
      <c r="H2761" s="21" t="s">
        <v>1165</v>
      </c>
      <c r="I2761" s="21" t="s">
        <v>3084</v>
      </c>
      <c r="J2761" s="21">
        <v>49.133333333333297</v>
      </c>
      <c r="K2761">
        <v>-122.75</v>
      </c>
      <c r="L2761">
        <v>1415</v>
      </c>
      <c r="M2761" s="21" t="s">
        <v>3034</v>
      </c>
      <c r="O2761" s="21">
        <v>1985</v>
      </c>
      <c r="Q2761" s="21" t="s">
        <v>3086</v>
      </c>
      <c r="T2761" s="21">
        <v>-20</v>
      </c>
      <c r="U2761" s="21" t="s">
        <v>1147</v>
      </c>
      <c r="X2761" s="9" t="s">
        <v>3088</v>
      </c>
      <c r="Z2761" s="22">
        <v>8</v>
      </c>
      <c r="AD2761" s="22" t="s">
        <v>1165</v>
      </c>
      <c r="AF2761" s="24" t="s">
        <v>153</v>
      </c>
      <c r="AG2761" t="s">
        <v>1160</v>
      </c>
      <c r="AH2761">
        <f t="shared" si="25"/>
        <v>4320</v>
      </c>
      <c r="AI2761" s="21" t="s">
        <v>153</v>
      </c>
      <c r="AJ2761" s="21" t="s">
        <v>1148</v>
      </c>
      <c r="AK2761" s="21">
        <v>1.341</v>
      </c>
      <c r="AL2761" s="21" t="s">
        <v>1321</v>
      </c>
      <c r="AM2761" s="21">
        <v>0</v>
      </c>
      <c r="AN2761" s="21">
        <v>3</v>
      </c>
      <c r="AO2761" s="21">
        <v>50</v>
      </c>
      <c r="AP2761" s="21">
        <v>24</v>
      </c>
      <c r="AQ2761" s="22" t="s">
        <v>3092</v>
      </c>
      <c r="AR2761" s="21" t="s">
        <v>1155</v>
      </c>
      <c r="AS2761" t="s">
        <v>3085</v>
      </c>
    </row>
    <row r="2762" spans="1:45" ht="30" customHeight="1" x14ac:dyDescent="0.2">
      <c r="A2762" s="21" t="s">
        <v>1685</v>
      </c>
      <c r="B2762" s="21" t="s">
        <v>1146</v>
      </c>
      <c r="C2762" s="21" t="s">
        <v>1149</v>
      </c>
      <c r="D2762" s="21" t="s">
        <v>420</v>
      </c>
      <c r="E2762" s="21" t="s">
        <v>3083</v>
      </c>
      <c r="G2762" s="21" t="s">
        <v>153</v>
      </c>
      <c r="H2762" s="21" t="s">
        <v>1165</v>
      </c>
      <c r="I2762" s="21" t="s">
        <v>3084</v>
      </c>
      <c r="J2762" s="21">
        <v>49.133333333333297</v>
      </c>
      <c r="K2762">
        <v>-122.75</v>
      </c>
      <c r="L2762">
        <v>1415</v>
      </c>
      <c r="M2762" s="21" t="s">
        <v>3034</v>
      </c>
      <c r="O2762" s="21">
        <v>1985</v>
      </c>
      <c r="Q2762" s="21" t="s">
        <v>3086</v>
      </c>
      <c r="T2762" s="21">
        <v>-20</v>
      </c>
      <c r="U2762" s="21" t="s">
        <v>1147</v>
      </c>
      <c r="X2762" s="9" t="s">
        <v>3088</v>
      </c>
      <c r="Z2762" s="22">
        <v>8</v>
      </c>
      <c r="AD2762" s="22" t="s">
        <v>1165</v>
      </c>
      <c r="AF2762" s="24" t="s">
        <v>153</v>
      </c>
      <c r="AG2762" t="s">
        <v>1160</v>
      </c>
      <c r="AH2762">
        <f t="shared" si="25"/>
        <v>4320</v>
      </c>
      <c r="AI2762" s="21" t="s">
        <v>153</v>
      </c>
      <c r="AJ2762" s="21" t="s">
        <v>1148</v>
      </c>
      <c r="AK2762" s="21">
        <v>1.585</v>
      </c>
      <c r="AL2762" s="21" t="s">
        <v>1321</v>
      </c>
      <c r="AM2762" s="21">
        <f>3.293-(-0.366)</f>
        <v>3.6590000000000003</v>
      </c>
      <c r="AN2762" s="21">
        <v>3</v>
      </c>
      <c r="AO2762" s="21">
        <v>50</v>
      </c>
      <c r="AP2762" s="21">
        <v>27</v>
      </c>
      <c r="AQ2762" s="22" t="s">
        <v>3092</v>
      </c>
      <c r="AR2762" s="21" t="s">
        <v>1155</v>
      </c>
      <c r="AS2762" t="s">
        <v>3085</v>
      </c>
    </row>
    <row r="2763" spans="1:45" x14ac:dyDescent="0.2">
      <c r="A2763" s="21" t="s">
        <v>1685</v>
      </c>
      <c r="B2763" s="21" t="s">
        <v>1146</v>
      </c>
      <c r="C2763" s="21" t="s">
        <v>1149</v>
      </c>
      <c r="D2763" s="21" t="s">
        <v>420</v>
      </c>
      <c r="E2763" s="21" t="s">
        <v>3083</v>
      </c>
      <c r="G2763" s="21" t="s">
        <v>153</v>
      </c>
      <c r="H2763" s="21" t="s">
        <v>1165</v>
      </c>
      <c r="I2763" s="21" t="s">
        <v>3084</v>
      </c>
      <c r="J2763" s="21">
        <v>49.133333333333297</v>
      </c>
      <c r="K2763">
        <v>-122.75</v>
      </c>
      <c r="L2763">
        <v>1415</v>
      </c>
      <c r="M2763" s="21" t="s">
        <v>3034</v>
      </c>
      <c r="O2763" s="21">
        <v>1985</v>
      </c>
      <c r="Q2763" s="21" t="s">
        <v>3086</v>
      </c>
      <c r="T2763" s="21">
        <v>-20</v>
      </c>
      <c r="U2763" s="21" t="s">
        <v>1147</v>
      </c>
      <c r="X2763" s="9" t="s">
        <v>3088</v>
      </c>
      <c r="Z2763" s="22">
        <v>8</v>
      </c>
      <c r="AD2763" s="22" t="s">
        <v>1165</v>
      </c>
      <c r="AF2763" s="24" t="s">
        <v>153</v>
      </c>
      <c r="AG2763" t="s">
        <v>1160</v>
      </c>
      <c r="AH2763">
        <f t="shared" si="25"/>
        <v>4320</v>
      </c>
      <c r="AI2763" s="21" t="s">
        <v>153</v>
      </c>
      <c r="AJ2763" s="21" t="s">
        <v>1148</v>
      </c>
      <c r="AK2763" s="21">
        <v>2.4390000000000001</v>
      </c>
      <c r="AL2763" s="21" t="s">
        <v>1321</v>
      </c>
      <c r="AM2763" s="21">
        <v>0</v>
      </c>
      <c r="AN2763" s="21">
        <v>3</v>
      </c>
      <c r="AO2763" s="21">
        <v>50</v>
      </c>
      <c r="AP2763" s="21">
        <v>30</v>
      </c>
      <c r="AQ2763" s="22" t="s">
        <v>3092</v>
      </c>
      <c r="AR2763" s="21" t="s">
        <v>1155</v>
      </c>
      <c r="AS2763" t="s">
        <v>3085</v>
      </c>
    </row>
    <row r="2764" spans="1:45" x14ac:dyDescent="0.2">
      <c r="A2764" s="21" t="s">
        <v>1685</v>
      </c>
      <c r="B2764" s="21" t="s">
        <v>1146</v>
      </c>
      <c r="C2764" s="21" t="s">
        <v>1149</v>
      </c>
      <c r="D2764" s="21" t="s">
        <v>420</v>
      </c>
      <c r="E2764" s="21" t="s">
        <v>3093</v>
      </c>
      <c r="G2764" s="21" t="s">
        <v>153</v>
      </c>
      <c r="H2764" s="21" t="s">
        <v>1165</v>
      </c>
      <c r="I2764" s="21" t="s">
        <v>3087</v>
      </c>
      <c r="J2764" s="21">
        <v>55.266666666666602</v>
      </c>
      <c r="K2764">
        <v>-128.4</v>
      </c>
      <c r="L2764">
        <v>1100</v>
      </c>
      <c r="M2764" s="21" t="s">
        <v>3034</v>
      </c>
      <c r="O2764" s="21">
        <v>1992</v>
      </c>
      <c r="Q2764" s="21" t="s">
        <v>3086</v>
      </c>
      <c r="T2764" s="21">
        <v>-20</v>
      </c>
      <c r="U2764" s="21" t="s">
        <v>1218</v>
      </c>
      <c r="V2764" s="9" t="s">
        <v>1247</v>
      </c>
      <c r="W2764">
        <f>56</f>
        <v>56</v>
      </c>
      <c r="X2764" s="9" t="s">
        <v>3088</v>
      </c>
      <c r="Z2764" s="22">
        <v>8</v>
      </c>
      <c r="AD2764" s="22" t="s">
        <v>1165</v>
      </c>
      <c r="AF2764" s="24" t="s">
        <v>153</v>
      </c>
      <c r="AG2764" t="s">
        <v>1160</v>
      </c>
      <c r="AH2764">
        <f t="shared" si="25"/>
        <v>4320</v>
      </c>
      <c r="AI2764" s="21" t="s">
        <v>153</v>
      </c>
      <c r="AJ2764" s="21" t="s">
        <v>1148</v>
      </c>
      <c r="AK2764" s="21">
        <v>17.513999999999999</v>
      </c>
      <c r="AL2764" s="21" t="s">
        <v>1321</v>
      </c>
      <c r="AM2764" s="21" t="s">
        <v>3003</v>
      </c>
      <c r="AN2764" s="21">
        <v>3</v>
      </c>
      <c r="AO2764" s="21">
        <v>50</v>
      </c>
      <c r="AP2764" s="21">
        <v>9</v>
      </c>
      <c r="AQ2764" s="22" t="s">
        <v>3016</v>
      </c>
      <c r="AR2764" s="21" t="s">
        <v>1155</v>
      </c>
      <c r="AS2764" t="s">
        <v>3085</v>
      </c>
    </row>
    <row r="2765" spans="1:45" x14ac:dyDescent="0.2">
      <c r="A2765" s="21" t="s">
        <v>1685</v>
      </c>
      <c r="B2765" s="21" t="s">
        <v>1146</v>
      </c>
      <c r="C2765" s="21" t="s">
        <v>1149</v>
      </c>
      <c r="D2765" s="21" t="s">
        <v>420</v>
      </c>
      <c r="E2765" s="21" t="s">
        <v>3093</v>
      </c>
      <c r="G2765" s="21" t="s">
        <v>153</v>
      </c>
      <c r="H2765" s="21" t="s">
        <v>1165</v>
      </c>
      <c r="I2765" s="21" t="s">
        <v>3087</v>
      </c>
      <c r="J2765" s="21">
        <v>55.266666666666602</v>
      </c>
      <c r="K2765">
        <v>-128.4</v>
      </c>
      <c r="L2765">
        <v>1100</v>
      </c>
      <c r="M2765" s="21" t="s">
        <v>3034</v>
      </c>
      <c r="O2765" s="21">
        <v>1992</v>
      </c>
      <c r="Q2765" s="21" t="s">
        <v>3086</v>
      </c>
      <c r="T2765" s="21">
        <v>-20</v>
      </c>
      <c r="U2765" s="21" t="s">
        <v>1218</v>
      </c>
      <c r="V2765" s="9" t="s">
        <v>1247</v>
      </c>
      <c r="W2765">
        <f>56</f>
        <v>56</v>
      </c>
      <c r="X2765" s="9" t="s">
        <v>3088</v>
      </c>
      <c r="Z2765" s="22">
        <v>8</v>
      </c>
      <c r="AD2765" s="22" t="s">
        <v>1165</v>
      </c>
      <c r="AF2765" s="24" t="s">
        <v>153</v>
      </c>
      <c r="AG2765" t="s">
        <v>1160</v>
      </c>
      <c r="AH2765">
        <f t="shared" si="25"/>
        <v>4320</v>
      </c>
      <c r="AI2765" s="21" t="s">
        <v>153</v>
      </c>
      <c r="AJ2765" s="21" t="s">
        <v>1148</v>
      </c>
      <c r="AK2765" s="21">
        <v>37.061999999999998</v>
      </c>
      <c r="AL2765" s="21" t="s">
        <v>1321</v>
      </c>
      <c r="AM2765" s="21" t="s">
        <v>3003</v>
      </c>
      <c r="AN2765" s="21">
        <v>3</v>
      </c>
      <c r="AO2765" s="21">
        <v>50</v>
      </c>
      <c r="AP2765" s="21">
        <v>12</v>
      </c>
      <c r="AQ2765" s="22" t="s">
        <v>3016</v>
      </c>
      <c r="AR2765" s="21" t="s">
        <v>1155</v>
      </c>
      <c r="AS2765" t="s">
        <v>3085</v>
      </c>
    </row>
    <row r="2766" spans="1:45" x14ac:dyDescent="0.2">
      <c r="A2766" s="21" t="s">
        <v>1685</v>
      </c>
      <c r="B2766" s="21" t="s">
        <v>1146</v>
      </c>
      <c r="C2766" s="21" t="s">
        <v>1149</v>
      </c>
      <c r="D2766" s="21" t="s">
        <v>420</v>
      </c>
      <c r="E2766" s="21" t="s">
        <v>3093</v>
      </c>
      <c r="G2766" s="21" t="s">
        <v>153</v>
      </c>
      <c r="H2766" s="21" t="s">
        <v>1165</v>
      </c>
      <c r="I2766" s="21" t="s">
        <v>3087</v>
      </c>
      <c r="J2766" s="21">
        <v>55.266666666666602</v>
      </c>
      <c r="K2766">
        <v>-128.4</v>
      </c>
      <c r="L2766">
        <v>1100</v>
      </c>
      <c r="M2766" s="21" t="s">
        <v>3034</v>
      </c>
      <c r="O2766" s="21">
        <v>1992</v>
      </c>
      <c r="Q2766" s="21" t="s">
        <v>3086</v>
      </c>
      <c r="T2766" s="21">
        <v>-20</v>
      </c>
      <c r="U2766" s="21" t="s">
        <v>1218</v>
      </c>
      <c r="V2766" s="9" t="s">
        <v>1247</v>
      </c>
      <c r="W2766">
        <f>56</f>
        <v>56</v>
      </c>
      <c r="X2766" s="9" t="s">
        <v>3088</v>
      </c>
      <c r="Z2766" s="22">
        <v>8</v>
      </c>
      <c r="AD2766" s="22" t="s">
        <v>1165</v>
      </c>
      <c r="AF2766" s="24" t="s">
        <v>153</v>
      </c>
      <c r="AG2766" t="s">
        <v>1160</v>
      </c>
      <c r="AH2766">
        <f t="shared" si="25"/>
        <v>4320</v>
      </c>
      <c r="AI2766" s="21" t="s">
        <v>153</v>
      </c>
      <c r="AJ2766" s="21" t="s">
        <v>1148</v>
      </c>
      <c r="AK2766" s="21">
        <v>51.073</v>
      </c>
      <c r="AL2766" s="21" t="s">
        <v>1321</v>
      </c>
      <c r="AM2766" s="21" t="s">
        <v>3003</v>
      </c>
      <c r="AN2766" s="21">
        <v>3</v>
      </c>
      <c r="AO2766" s="21">
        <v>50</v>
      </c>
      <c r="AP2766" s="21">
        <v>15</v>
      </c>
      <c r="AQ2766" s="22" t="s">
        <v>3016</v>
      </c>
      <c r="AR2766" s="21" t="s">
        <v>1155</v>
      </c>
      <c r="AS2766" t="s">
        <v>3085</v>
      </c>
    </row>
    <row r="2767" spans="1:45" x14ac:dyDescent="0.2">
      <c r="A2767" s="21" t="s">
        <v>1685</v>
      </c>
      <c r="B2767" s="21" t="s">
        <v>1146</v>
      </c>
      <c r="C2767" s="21" t="s">
        <v>1149</v>
      </c>
      <c r="D2767" s="21" t="s">
        <v>420</v>
      </c>
      <c r="E2767" s="21" t="s">
        <v>3093</v>
      </c>
      <c r="G2767" s="21" t="s">
        <v>153</v>
      </c>
      <c r="H2767" s="21" t="s">
        <v>1165</v>
      </c>
      <c r="I2767" s="21" t="s">
        <v>3087</v>
      </c>
      <c r="J2767" s="21">
        <v>55.266666666666602</v>
      </c>
      <c r="K2767">
        <v>-128.4</v>
      </c>
      <c r="L2767">
        <v>1100</v>
      </c>
      <c r="M2767" s="21" t="s">
        <v>3034</v>
      </c>
      <c r="O2767" s="21">
        <v>1992</v>
      </c>
      <c r="Q2767" s="21" t="s">
        <v>3086</v>
      </c>
      <c r="T2767" s="21">
        <v>-20</v>
      </c>
      <c r="U2767" s="21" t="s">
        <v>1218</v>
      </c>
      <c r="V2767" s="9" t="s">
        <v>1247</v>
      </c>
      <c r="W2767">
        <f>56</f>
        <v>56</v>
      </c>
      <c r="X2767" s="9" t="s">
        <v>3088</v>
      </c>
      <c r="Z2767" s="22">
        <v>8</v>
      </c>
      <c r="AD2767" s="22" t="s">
        <v>1165</v>
      </c>
      <c r="AF2767" s="24" t="s">
        <v>153</v>
      </c>
      <c r="AG2767" t="s">
        <v>1160</v>
      </c>
      <c r="AH2767">
        <f t="shared" si="25"/>
        <v>4320</v>
      </c>
      <c r="AI2767" s="21" t="s">
        <v>153</v>
      </c>
      <c r="AJ2767" s="21" t="s">
        <v>1148</v>
      </c>
      <c r="AK2767" s="21">
        <v>57.627000000000002</v>
      </c>
      <c r="AL2767" s="21" t="s">
        <v>1321</v>
      </c>
      <c r="AM2767" s="21" t="s">
        <v>3003</v>
      </c>
      <c r="AN2767" s="21">
        <v>3</v>
      </c>
      <c r="AO2767" s="21">
        <v>50</v>
      </c>
      <c r="AP2767" s="21">
        <v>18</v>
      </c>
      <c r="AQ2767" s="22" t="s">
        <v>3016</v>
      </c>
      <c r="AR2767" s="21" t="s">
        <v>1155</v>
      </c>
      <c r="AS2767" t="s">
        <v>3085</v>
      </c>
    </row>
    <row r="2768" spans="1:45" x14ac:dyDescent="0.2">
      <c r="A2768" s="21" t="s">
        <v>1685</v>
      </c>
      <c r="B2768" s="21" t="s">
        <v>1146</v>
      </c>
      <c r="C2768" s="21" t="s">
        <v>1149</v>
      </c>
      <c r="D2768" s="21" t="s">
        <v>420</v>
      </c>
      <c r="E2768" s="21" t="s">
        <v>3093</v>
      </c>
      <c r="G2768" s="21" t="s">
        <v>153</v>
      </c>
      <c r="H2768" s="21" t="s">
        <v>1165</v>
      </c>
      <c r="I2768" s="21" t="s">
        <v>3087</v>
      </c>
      <c r="J2768" s="21">
        <v>55.266666666666602</v>
      </c>
      <c r="K2768">
        <v>-128.4</v>
      </c>
      <c r="L2768">
        <v>1100</v>
      </c>
      <c r="M2768" s="21" t="s">
        <v>3034</v>
      </c>
      <c r="O2768" s="21">
        <v>1992</v>
      </c>
      <c r="Q2768" s="21" t="s">
        <v>3086</v>
      </c>
      <c r="T2768" s="21">
        <v>-20</v>
      </c>
      <c r="U2768" s="21" t="s">
        <v>1218</v>
      </c>
      <c r="V2768" s="9" t="s">
        <v>1247</v>
      </c>
      <c r="W2768">
        <f>56</f>
        <v>56</v>
      </c>
      <c r="X2768" s="9" t="s">
        <v>3088</v>
      </c>
      <c r="Z2768" s="22">
        <v>8</v>
      </c>
      <c r="AD2768" s="22" t="s">
        <v>1165</v>
      </c>
      <c r="AF2768" s="24" t="s">
        <v>153</v>
      </c>
      <c r="AG2768" t="s">
        <v>1160</v>
      </c>
      <c r="AH2768">
        <f t="shared" si="25"/>
        <v>4320</v>
      </c>
      <c r="AI2768" s="21" t="s">
        <v>153</v>
      </c>
      <c r="AJ2768" s="21" t="s">
        <v>1148</v>
      </c>
      <c r="AK2768" s="21">
        <v>57.74</v>
      </c>
      <c r="AL2768" s="21" t="s">
        <v>1321</v>
      </c>
      <c r="AM2768" s="21">
        <f>60.113-57.74</f>
        <v>2.3729999999999976</v>
      </c>
      <c r="AN2768" s="21">
        <v>3</v>
      </c>
      <c r="AO2768" s="21">
        <v>50</v>
      </c>
      <c r="AP2768" s="21">
        <v>21</v>
      </c>
      <c r="AQ2768" s="22" t="s">
        <v>3016</v>
      </c>
      <c r="AR2768" s="21" t="s">
        <v>1155</v>
      </c>
      <c r="AS2768" t="s">
        <v>3085</v>
      </c>
    </row>
    <row r="2769" spans="1:45" x14ac:dyDescent="0.2">
      <c r="A2769" s="21" t="s">
        <v>1685</v>
      </c>
      <c r="B2769" s="21" t="s">
        <v>1146</v>
      </c>
      <c r="C2769" s="21" t="s">
        <v>1149</v>
      </c>
      <c r="D2769" s="21" t="s">
        <v>420</v>
      </c>
      <c r="E2769" s="21" t="s">
        <v>3093</v>
      </c>
      <c r="G2769" s="21" t="s">
        <v>153</v>
      </c>
      <c r="H2769" s="21" t="s">
        <v>1165</v>
      </c>
      <c r="I2769" s="21" t="s">
        <v>3087</v>
      </c>
      <c r="J2769" s="21">
        <v>55.266666666666602</v>
      </c>
      <c r="K2769">
        <v>-128.4</v>
      </c>
      <c r="L2769">
        <v>1100</v>
      </c>
      <c r="M2769" s="21" t="s">
        <v>3034</v>
      </c>
      <c r="O2769" s="21">
        <v>1992</v>
      </c>
      <c r="Q2769" s="21" t="s">
        <v>3086</v>
      </c>
      <c r="T2769" s="21">
        <v>-20</v>
      </c>
      <c r="U2769" s="21" t="s">
        <v>1218</v>
      </c>
      <c r="V2769" s="9" t="s">
        <v>1247</v>
      </c>
      <c r="W2769">
        <f>56</f>
        <v>56</v>
      </c>
      <c r="X2769" s="9" t="s">
        <v>3088</v>
      </c>
      <c r="Z2769" s="22">
        <v>8</v>
      </c>
      <c r="AD2769" s="22" t="s">
        <v>1165</v>
      </c>
      <c r="AF2769" s="24" t="s">
        <v>153</v>
      </c>
      <c r="AG2769" t="s">
        <v>1160</v>
      </c>
      <c r="AH2769">
        <f t="shared" si="25"/>
        <v>4320</v>
      </c>
      <c r="AI2769" s="21" t="s">
        <v>153</v>
      </c>
      <c r="AJ2769" s="21" t="s">
        <v>1148</v>
      </c>
      <c r="AK2769" s="21">
        <v>57.74</v>
      </c>
      <c r="AL2769" s="21" t="s">
        <v>1321</v>
      </c>
      <c r="AM2769">
        <f>60.113-57.74</f>
        <v>2.3729999999999976</v>
      </c>
      <c r="AN2769" s="21">
        <v>3</v>
      </c>
      <c r="AO2769" s="21">
        <v>50</v>
      </c>
      <c r="AP2769" s="21">
        <v>24</v>
      </c>
      <c r="AQ2769" s="22" t="s">
        <v>3016</v>
      </c>
      <c r="AR2769" s="21" t="s">
        <v>1155</v>
      </c>
      <c r="AS2769" t="s">
        <v>3085</v>
      </c>
    </row>
    <row r="2770" spans="1:45" x14ac:dyDescent="0.2">
      <c r="A2770" s="21" t="s">
        <v>1685</v>
      </c>
      <c r="B2770" s="21" t="s">
        <v>1146</v>
      </c>
      <c r="C2770" s="21" t="s">
        <v>1149</v>
      </c>
      <c r="D2770" s="21" t="s">
        <v>420</v>
      </c>
      <c r="E2770" s="21" t="s">
        <v>3093</v>
      </c>
      <c r="G2770" s="21" t="s">
        <v>153</v>
      </c>
      <c r="H2770" s="21" t="s">
        <v>1165</v>
      </c>
      <c r="I2770" s="21" t="s">
        <v>3087</v>
      </c>
      <c r="J2770" s="21">
        <v>55.266666666666602</v>
      </c>
      <c r="K2770">
        <v>-128.4</v>
      </c>
      <c r="L2770">
        <v>1100</v>
      </c>
      <c r="M2770" s="21" t="s">
        <v>3034</v>
      </c>
      <c r="O2770" s="21">
        <v>1992</v>
      </c>
      <c r="Q2770" s="21" t="s">
        <v>3086</v>
      </c>
      <c r="T2770" s="21">
        <v>-20</v>
      </c>
      <c r="U2770" s="21" t="s">
        <v>1218</v>
      </c>
      <c r="V2770" s="9" t="s">
        <v>1247</v>
      </c>
      <c r="W2770">
        <f>56</f>
        <v>56</v>
      </c>
      <c r="X2770" s="9" t="s">
        <v>3088</v>
      </c>
      <c r="Z2770" s="22">
        <v>8</v>
      </c>
      <c r="AD2770" s="22" t="s">
        <v>1165</v>
      </c>
      <c r="AF2770" s="24" t="s">
        <v>153</v>
      </c>
      <c r="AG2770" t="s">
        <v>1160</v>
      </c>
      <c r="AH2770">
        <f t="shared" si="25"/>
        <v>4320</v>
      </c>
      <c r="AI2770" s="21" t="s">
        <v>153</v>
      </c>
      <c r="AJ2770" s="21" t="s">
        <v>1148</v>
      </c>
      <c r="AK2770" s="21">
        <v>57.74</v>
      </c>
      <c r="AL2770" s="21" t="s">
        <v>1321</v>
      </c>
      <c r="AM2770">
        <f>60.113-57.74</f>
        <v>2.3729999999999976</v>
      </c>
      <c r="AN2770" s="21">
        <v>3</v>
      </c>
      <c r="AO2770" s="21">
        <v>50</v>
      </c>
      <c r="AP2770" s="21">
        <v>27</v>
      </c>
      <c r="AQ2770" s="22" t="s">
        <v>3016</v>
      </c>
      <c r="AR2770" s="21" t="s">
        <v>1155</v>
      </c>
      <c r="AS2770" t="s">
        <v>3085</v>
      </c>
    </row>
    <row r="2771" spans="1:45" x14ac:dyDescent="0.2">
      <c r="A2771" s="21" t="s">
        <v>1685</v>
      </c>
      <c r="B2771" s="21" t="s">
        <v>1146</v>
      </c>
      <c r="C2771" s="21" t="s">
        <v>1149</v>
      </c>
      <c r="D2771" s="21" t="s">
        <v>420</v>
      </c>
      <c r="E2771" s="21" t="s">
        <v>3093</v>
      </c>
      <c r="G2771" s="21" t="s">
        <v>153</v>
      </c>
      <c r="H2771" s="21" t="s">
        <v>1165</v>
      </c>
      <c r="I2771" s="21" t="s">
        <v>3087</v>
      </c>
      <c r="J2771" s="21">
        <v>55.266666666666602</v>
      </c>
      <c r="K2771">
        <v>-128.4</v>
      </c>
      <c r="L2771">
        <v>1100</v>
      </c>
      <c r="M2771" s="21" t="s">
        <v>3034</v>
      </c>
      <c r="O2771" s="21">
        <v>1992</v>
      </c>
      <c r="Q2771" s="21" t="s">
        <v>3086</v>
      </c>
      <c r="T2771" s="21">
        <v>-20</v>
      </c>
      <c r="U2771" s="21" t="s">
        <v>1218</v>
      </c>
      <c r="V2771" s="9" t="s">
        <v>1247</v>
      </c>
      <c r="W2771">
        <f>56</f>
        <v>56</v>
      </c>
      <c r="X2771" s="9" t="s">
        <v>3088</v>
      </c>
      <c r="Z2771" s="22">
        <v>8</v>
      </c>
      <c r="AD2771" s="22" t="s">
        <v>1165</v>
      </c>
      <c r="AF2771" s="24" t="s">
        <v>153</v>
      </c>
      <c r="AG2771" t="s">
        <v>1160</v>
      </c>
      <c r="AH2771">
        <f t="shared" si="25"/>
        <v>4320</v>
      </c>
      <c r="AI2771" s="21" t="s">
        <v>153</v>
      </c>
      <c r="AJ2771" s="21" t="s">
        <v>1148</v>
      </c>
      <c r="AK2771" s="21">
        <v>57.74</v>
      </c>
      <c r="AL2771" s="21" t="s">
        <v>1321</v>
      </c>
      <c r="AM2771">
        <f>60.113-57.74</f>
        <v>2.3729999999999976</v>
      </c>
      <c r="AN2771" s="21">
        <v>3</v>
      </c>
      <c r="AO2771" s="21">
        <v>50</v>
      </c>
      <c r="AP2771" s="21">
        <v>30</v>
      </c>
      <c r="AQ2771" s="22" t="s">
        <v>3016</v>
      </c>
      <c r="AR2771" s="21" t="s">
        <v>1155</v>
      </c>
      <c r="AS2771" t="s">
        <v>3085</v>
      </c>
    </row>
    <row r="2772" spans="1:45" x14ac:dyDescent="0.2">
      <c r="A2772" s="21" t="s">
        <v>1685</v>
      </c>
      <c r="B2772" s="21" t="s">
        <v>1146</v>
      </c>
      <c r="C2772" s="21" t="s">
        <v>1149</v>
      </c>
      <c r="D2772" s="21" t="s">
        <v>420</v>
      </c>
      <c r="E2772" s="21" t="s">
        <v>3093</v>
      </c>
      <c r="G2772" s="21" t="s">
        <v>153</v>
      </c>
      <c r="H2772" s="21" t="s">
        <v>1165</v>
      </c>
      <c r="I2772" s="21" t="s">
        <v>3087</v>
      </c>
      <c r="J2772" s="21">
        <v>55.266666666666602</v>
      </c>
      <c r="K2772">
        <v>-128.4</v>
      </c>
      <c r="L2772">
        <v>1100</v>
      </c>
      <c r="M2772" s="21" t="s">
        <v>3034</v>
      </c>
      <c r="O2772" s="21">
        <v>1992</v>
      </c>
      <c r="Q2772" s="21" t="s">
        <v>3086</v>
      </c>
      <c r="T2772" s="21">
        <v>-20</v>
      </c>
      <c r="U2772" s="21" t="s">
        <v>1218</v>
      </c>
      <c r="V2772" s="9" t="s">
        <v>1247</v>
      </c>
      <c r="W2772">
        <f>56</f>
        <v>56</v>
      </c>
      <c r="X2772" s="9" t="s">
        <v>3088</v>
      </c>
      <c r="Y2772" t="s">
        <v>3089</v>
      </c>
      <c r="Z2772" s="22">
        <v>8</v>
      </c>
      <c r="AD2772" s="22" t="s">
        <v>1165</v>
      </c>
      <c r="AF2772" s="24" t="s">
        <v>153</v>
      </c>
      <c r="AG2772" t="s">
        <v>1160</v>
      </c>
      <c r="AH2772">
        <f t="shared" si="25"/>
        <v>4320</v>
      </c>
      <c r="AI2772" s="21" t="s">
        <v>153</v>
      </c>
      <c r="AJ2772" s="21" t="s">
        <v>1148</v>
      </c>
      <c r="AK2772" s="21">
        <v>5.085</v>
      </c>
      <c r="AL2772" s="21" t="s">
        <v>1321</v>
      </c>
      <c r="AM2772">
        <v>0</v>
      </c>
      <c r="AN2772" s="21">
        <v>3</v>
      </c>
      <c r="AO2772" s="21">
        <v>50</v>
      </c>
      <c r="AP2772" s="21">
        <v>3</v>
      </c>
      <c r="AQ2772" s="22" t="s">
        <v>3016</v>
      </c>
      <c r="AR2772" s="21" t="s">
        <v>1155</v>
      </c>
      <c r="AS2772" t="s">
        <v>3085</v>
      </c>
    </row>
    <row r="2773" spans="1:45" x14ac:dyDescent="0.2">
      <c r="A2773" s="21" t="s">
        <v>1685</v>
      </c>
      <c r="B2773" s="21" t="s">
        <v>1146</v>
      </c>
      <c r="C2773" s="21" t="s">
        <v>1149</v>
      </c>
      <c r="D2773" s="21" t="s">
        <v>420</v>
      </c>
      <c r="E2773" s="21" t="s">
        <v>3093</v>
      </c>
      <c r="G2773" s="21" t="s">
        <v>153</v>
      </c>
      <c r="H2773" s="21" t="s">
        <v>1165</v>
      </c>
      <c r="I2773" s="21" t="s">
        <v>3087</v>
      </c>
      <c r="J2773" s="21">
        <v>55.266666666666602</v>
      </c>
      <c r="K2773">
        <v>-128.4</v>
      </c>
      <c r="L2773">
        <v>1100</v>
      </c>
      <c r="M2773" s="21" t="s">
        <v>3034</v>
      </c>
      <c r="O2773" s="21">
        <v>1992</v>
      </c>
      <c r="Q2773" s="21" t="s">
        <v>3086</v>
      </c>
      <c r="T2773" s="21">
        <v>-20</v>
      </c>
      <c r="U2773" s="21" t="s">
        <v>1218</v>
      </c>
      <c r="V2773" s="9" t="s">
        <v>1247</v>
      </c>
      <c r="W2773">
        <f>56</f>
        <v>56</v>
      </c>
      <c r="X2773" s="9" t="s">
        <v>3088</v>
      </c>
      <c r="Y2773" t="s">
        <v>3089</v>
      </c>
      <c r="Z2773" s="22">
        <v>8</v>
      </c>
      <c r="AD2773" s="22" t="s">
        <v>1165</v>
      </c>
      <c r="AF2773" s="24" t="s">
        <v>153</v>
      </c>
      <c r="AG2773" t="s">
        <v>1160</v>
      </c>
      <c r="AH2773">
        <f t="shared" si="25"/>
        <v>4320</v>
      </c>
      <c r="AI2773" s="21" t="s">
        <v>153</v>
      </c>
      <c r="AJ2773" s="21" t="s">
        <v>1148</v>
      </c>
      <c r="AK2773" s="21">
        <v>24.632999999999999</v>
      </c>
      <c r="AL2773" s="21" t="s">
        <v>1321</v>
      </c>
      <c r="AM2773">
        <f>24.633-23.277</f>
        <v>1.3559999999999981</v>
      </c>
      <c r="AN2773" s="21">
        <v>3</v>
      </c>
      <c r="AO2773" s="21">
        <v>50</v>
      </c>
      <c r="AP2773" s="21">
        <v>6</v>
      </c>
      <c r="AQ2773" s="22" t="s">
        <v>3016</v>
      </c>
      <c r="AR2773" s="21" t="s">
        <v>1155</v>
      </c>
      <c r="AS2773" t="s">
        <v>3085</v>
      </c>
    </row>
    <row r="2774" spans="1:45" x14ac:dyDescent="0.2">
      <c r="A2774" s="21" t="s">
        <v>1685</v>
      </c>
      <c r="B2774" s="21" t="s">
        <v>1146</v>
      </c>
      <c r="C2774" s="21" t="s">
        <v>1149</v>
      </c>
      <c r="D2774" s="21" t="s">
        <v>420</v>
      </c>
      <c r="E2774" s="21" t="s">
        <v>3093</v>
      </c>
      <c r="G2774" s="21" t="s">
        <v>153</v>
      </c>
      <c r="H2774" s="21" t="s">
        <v>1165</v>
      </c>
      <c r="I2774" s="21" t="s">
        <v>3087</v>
      </c>
      <c r="J2774" s="21">
        <v>55.266666666666602</v>
      </c>
      <c r="K2774">
        <v>-128.4</v>
      </c>
      <c r="L2774">
        <v>1100</v>
      </c>
      <c r="M2774" s="21" t="s">
        <v>3034</v>
      </c>
      <c r="O2774" s="21">
        <v>1992</v>
      </c>
      <c r="Q2774" s="21" t="s">
        <v>3086</v>
      </c>
      <c r="T2774" s="21">
        <v>-20</v>
      </c>
      <c r="U2774" s="21" t="s">
        <v>1218</v>
      </c>
      <c r="V2774" s="9" t="s">
        <v>1247</v>
      </c>
      <c r="W2774">
        <f>56</f>
        <v>56</v>
      </c>
      <c r="X2774" s="9" t="s">
        <v>3088</v>
      </c>
      <c r="Y2774" t="s">
        <v>3089</v>
      </c>
      <c r="Z2774" s="22">
        <v>8</v>
      </c>
      <c r="AD2774" s="22" t="s">
        <v>1165</v>
      </c>
      <c r="AF2774" s="24" t="s">
        <v>153</v>
      </c>
      <c r="AG2774" t="s">
        <v>1160</v>
      </c>
      <c r="AH2774">
        <f t="shared" si="25"/>
        <v>4320</v>
      </c>
      <c r="AI2774" s="21" t="s">
        <v>153</v>
      </c>
      <c r="AJ2774" s="21" t="s">
        <v>1148</v>
      </c>
      <c r="AK2774" s="21">
        <v>47.796999999999997</v>
      </c>
      <c r="AL2774" s="21" t="s">
        <v>1321</v>
      </c>
      <c r="AM2774">
        <f>51.977-46.893</f>
        <v>5.0839999999999961</v>
      </c>
      <c r="AN2774" s="21">
        <v>3</v>
      </c>
      <c r="AO2774" s="21">
        <v>50</v>
      </c>
      <c r="AP2774" s="21">
        <v>9</v>
      </c>
      <c r="AQ2774" s="22" t="s">
        <v>3016</v>
      </c>
      <c r="AR2774" s="21" t="s">
        <v>1155</v>
      </c>
      <c r="AS2774" t="s">
        <v>3085</v>
      </c>
    </row>
    <row r="2775" spans="1:45" x14ac:dyDescent="0.2">
      <c r="A2775" s="21" t="s">
        <v>1685</v>
      </c>
      <c r="B2775" s="21" t="s">
        <v>1146</v>
      </c>
      <c r="C2775" s="21" t="s">
        <v>1149</v>
      </c>
      <c r="D2775" s="21" t="s">
        <v>420</v>
      </c>
      <c r="E2775" s="21" t="s">
        <v>3093</v>
      </c>
      <c r="G2775" s="21" t="s">
        <v>153</v>
      </c>
      <c r="H2775" s="21" t="s">
        <v>1165</v>
      </c>
      <c r="I2775" s="21" t="s">
        <v>3087</v>
      </c>
      <c r="J2775" s="21">
        <v>55.266666666666602</v>
      </c>
      <c r="K2775">
        <v>-128.4</v>
      </c>
      <c r="L2775">
        <v>1100</v>
      </c>
      <c r="M2775" s="21" t="s">
        <v>3034</v>
      </c>
      <c r="O2775" s="21">
        <v>1992</v>
      </c>
      <c r="Q2775" s="21" t="s">
        <v>3086</v>
      </c>
      <c r="T2775" s="21">
        <v>-20</v>
      </c>
      <c r="U2775" s="21" t="s">
        <v>1218</v>
      </c>
      <c r="V2775" s="9" t="s">
        <v>1247</v>
      </c>
      <c r="W2775">
        <f>56</f>
        <v>56</v>
      </c>
      <c r="X2775" s="9" t="s">
        <v>3088</v>
      </c>
      <c r="Y2775" t="s">
        <v>3089</v>
      </c>
      <c r="Z2775" s="22">
        <v>8</v>
      </c>
      <c r="AD2775" s="22" t="s">
        <v>1165</v>
      </c>
      <c r="AF2775" s="24" t="s">
        <v>153</v>
      </c>
      <c r="AG2775" t="s">
        <v>1160</v>
      </c>
      <c r="AH2775">
        <f t="shared" si="25"/>
        <v>4320</v>
      </c>
      <c r="AI2775" s="21" t="s">
        <v>153</v>
      </c>
      <c r="AJ2775" s="21" t="s">
        <v>1148</v>
      </c>
      <c r="AK2775" s="21">
        <v>78.305000000000007</v>
      </c>
      <c r="AL2775" s="21" t="s">
        <v>1321</v>
      </c>
      <c r="AM2775" s="21">
        <f>83.729-74.689</f>
        <v>9.0400000000000063</v>
      </c>
      <c r="AN2775" s="21">
        <v>3</v>
      </c>
      <c r="AO2775" s="21">
        <v>50</v>
      </c>
      <c r="AP2775" s="21">
        <v>12</v>
      </c>
      <c r="AQ2775" s="22" t="s">
        <v>3016</v>
      </c>
      <c r="AR2775" s="21" t="s">
        <v>1155</v>
      </c>
      <c r="AS2775" t="s">
        <v>3085</v>
      </c>
    </row>
    <row r="2776" spans="1:45" x14ac:dyDescent="0.2">
      <c r="A2776" s="21" t="s">
        <v>1685</v>
      </c>
      <c r="B2776" s="21" t="s">
        <v>1146</v>
      </c>
      <c r="C2776" s="21" t="s">
        <v>1149</v>
      </c>
      <c r="D2776" s="21" t="s">
        <v>420</v>
      </c>
      <c r="E2776" s="21" t="s">
        <v>3093</v>
      </c>
      <c r="G2776" s="21" t="s">
        <v>153</v>
      </c>
      <c r="H2776" s="21" t="s">
        <v>1165</v>
      </c>
      <c r="I2776" s="21" t="s">
        <v>3087</v>
      </c>
      <c r="J2776" s="21">
        <v>55.266666666666602</v>
      </c>
      <c r="K2776">
        <v>-128.4</v>
      </c>
      <c r="L2776">
        <v>1100</v>
      </c>
      <c r="M2776" s="21" t="s">
        <v>3034</v>
      </c>
      <c r="O2776" s="21">
        <v>1992</v>
      </c>
      <c r="Q2776" s="21" t="s">
        <v>3086</v>
      </c>
      <c r="T2776" s="21">
        <v>-20</v>
      </c>
      <c r="U2776" s="21" t="s">
        <v>1218</v>
      </c>
      <c r="V2776" s="9" t="s">
        <v>1247</v>
      </c>
      <c r="W2776">
        <f>56</f>
        <v>56</v>
      </c>
      <c r="X2776" s="9" t="s">
        <v>3088</v>
      </c>
      <c r="Y2776" t="s">
        <v>3089</v>
      </c>
      <c r="Z2776" s="22">
        <v>8</v>
      </c>
      <c r="AD2776" s="22" t="s">
        <v>1165</v>
      </c>
      <c r="AF2776" s="24" t="s">
        <v>153</v>
      </c>
      <c r="AG2776" t="s">
        <v>1160</v>
      </c>
      <c r="AH2776">
        <f t="shared" si="25"/>
        <v>4320</v>
      </c>
      <c r="AI2776" s="21" t="s">
        <v>153</v>
      </c>
      <c r="AJ2776" s="21" t="s">
        <v>1148</v>
      </c>
      <c r="AK2776" s="21">
        <v>82.712000000000003</v>
      </c>
      <c r="AL2776" s="21" t="s">
        <v>1321</v>
      </c>
      <c r="AM2776" s="21">
        <f>85.65-75.141</f>
        <v>10.509</v>
      </c>
      <c r="AN2776" s="21">
        <v>3</v>
      </c>
      <c r="AO2776" s="21">
        <v>50</v>
      </c>
      <c r="AP2776" s="21">
        <v>15</v>
      </c>
      <c r="AQ2776" s="22" t="s">
        <v>3016</v>
      </c>
      <c r="AR2776" s="21" t="s">
        <v>1155</v>
      </c>
      <c r="AS2776" t="s">
        <v>3085</v>
      </c>
    </row>
    <row r="2777" spans="1:45" x14ac:dyDescent="0.2">
      <c r="A2777" s="21" t="s">
        <v>1685</v>
      </c>
      <c r="B2777" s="21" t="s">
        <v>1146</v>
      </c>
      <c r="C2777" s="21" t="s">
        <v>1149</v>
      </c>
      <c r="D2777" s="21" t="s">
        <v>420</v>
      </c>
      <c r="E2777" s="21" t="s">
        <v>3093</v>
      </c>
      <c r="G2777" s="21" t="s">
        <v>153</v>
      </c>
      <c r="H2777" s="21" t="s">
        <v>1165</v>
      </c>
      <c r="I2777" s="21" t="s">
        <v>3087</v>
      </c>
      <c r="J2777" s="21">
        <v>55.266666666666602</v>
      </c>
      <c r="K2777">
        <v>-128.4</v>
      </c>
      <c r="L2777">
        <v>1100</v>
      </c>
      <c r="M2777" s="21" t="s">
        <v>3034</v>
      </c>
      <c r="O2777" s="21">
        <v>1992</v>
      </c>
      <c r="Q2777" s="21" t="s">
        <v>3086</v>
      </c>
      <c r="T2777" s="21">
        <v>-20</v>
      </c>
      <c r="U2777" s="21" t="s">
        <v>1218</v>
      </c>
      <c r="V2777" s="9" t="s">
        <v>1247</v>
      </c>
      <c r="W2777">
        <f>56</f>
        <v>56</v>
      </c>
      <c r="X2777" s="9" t="s">
        <v>3088</v>
      </c>
      <c r="Y2777" t="s">
        <v>3089</v>
      </c>
      <c r="Z2777" s="22">
        <v>8</v>
      </c>
      <c r="AD2777" s="22" t="s">
        <v>1165</v>
      </c>
      <c r="AF2777" s="24" t="s">
        <v>153</v>
      </c>
      <c r="AG2777" t="s">
        <v>1160</v>
      </c>
      <c r="AH2777">
        <f t="shared" si="25"/>
        <v>4320</v>
      </c>
      <c r="AI2777" s="21" t="s">
        <v>153</v>
      </c>
      <c r="AJ2777" s="21" t="s">
        <v>1148</v>
      </c>
      <c r="AK2777" s="21">
        <v>85.65</v>
      </c>
      <c r="AL2777" s="21" t="s">
        <v>1321</v>
      </c>
      <c r="AM2777" s="21">
        <f>88.249-83.616</f>
        <v>4.6329999999999956</v>
      </c>
      <c r="AN2777" s="21">
        <v>3</v>
      </c>
      <c r="AO2777" s="21">
        <v>50</v>
      </c>
      <c r="AP2777" s="21">
        <v>18</v>
      </c>
      <c r="AQ2777" s="22" t="s">
        <v>3016</v>
      </c>
      <c r="AR2777" s="21" t="s">
        <v>1155</v>
      </c>
      <c r="AS2777" t="s">
        <v>3085</v>
      </c>
    </row>
    <row r="2778" spans="1:45" x14ac:dyDescent="0.2">
      <c r="A2778" s="21" t="s">
        <v>1685</v>
      </c>
      <c r="B2778" s="21" t="s">
        <v>1146</v>
      </c>
      <c r="C2778" s="21" t="s">
        <v>1149</v>
      </c>
      <c r="D2778" s="21" t="s">
        <v>420</v>
      </c>
      <c r="E2778" s="21" t="s">
        <v>3093</v>
      </c>
      <c r="G2778" s="21" t="s">
        <v>153</v>
      </c>
      <c r="H2778" s="21" t="s">
        <v>1165</v>
      </c>
      <c r="I2778" s="21" t="s">
        <v>3087</v>
      </c>
      <c r="J2778" s="21">
        <v>55.266666666666602</v>
      </c>
      <c r="K2778">
        <v>-128.4</v>
      </c>
      <c r="L2778">
        <v>1100</v>
      </c>
      <c r="M2778" s="21" t="s">
        <v>3034</v>
      </c>
      <c r="O2778" s="21">
        <v>1992</v>
      </c>
      <c r="Q2778" s="21" t="s">
        <v>3086</v>
      </c>
      <c r="T2778" s="21">
        <v>-20</v>
      </c>
      <c r="U2778" s="21" t="s">
        <v>1218</v>
      </c>
      <c r="V2778" s="9" t="s">
        <v>1247</v>
      </c>
      <c r="W2778">
        <f>56</f>
        <v>56</v>
      </c>
      <c r="X2778" s="9" t="s">
        <v>3088</v>
      </c>
      <c r="Y2778" t="s">
        <v>3089</v>
      </c>
      <c r="Z2778" s="22">
        <v>8</v>
      </c>
      <c r="AD2778" s="22" t="s">
        <v>1165</v>
      </c>
      <c r="AF2778" s="24" t="s">
        <v>153</v>
      </c>
      <c r="AG2778" t="s">
        <v>1160</v>
      </c>
      <c r="AH2778">
        <f t="shared" ref="AH2778:AH2811" si="26">24*60*3</f>
        <v>4320</v>
      </c>
      <c r="AI2778" s="21" t="s">
        <v>153</v>
      </c>
      <c r="AJ2778" s="21" t="s">
        <v>1148</v>
      </c>
      <c r="AK2778" s="21">
        <v>86.554000000000002</v>
      </c>
      <c r="AL2778" s="21" t="s">
        <v>1321</v>
      </c>
      <c r="AM2778" s="21">
        <f>89.04-84.746</f>
        <v>4.2940000000000111</v>
      </c>
      <c r="AN2778" s="21">
        <v>3</v>
      </c>
      <c r="AO2778" s="21">
        <v>50</v>
      </c>
      <c r="AP2778" s="21">
        <v>21</v>
      </c>
      <c r="AQ2778" s="22" t="s">
        <v>3016</v>
      </c>
      <c r="AR2778" s="21" t="s">
        <v>1155</v>
      </c>
      <c r="AS2778" t="s">
        <v>3085</v>
      </c>
    </row>
    <row r="2779" spans="1:45" x14ac:dyDescent="0.2">
      <c r="A2779" s="21" t="s">
        <v>1685</v>
      </c>
      <c r="B2779" s="21" t="s">
        <v>1146</v>
      </c>
      <c r="C2779" s="21" t="s">
        <v>1149</v>
      </c>
      <c r="D2779" s="21" t="s">
        <v>420</v>
      </c>
      <c r="E2779" s="21" t="s">
        <v>3093</v>
      </c>
      <c r="G2779" s="21" t="s">
        <v>153</v>
      </c>
      <c r="H2779" s="21" t="s">
        <v>1165</v>
      </c>
      <c r="I2779" s="21" t="s">
        <v>3087</v>
      </c>
      <c r="J2779" s="21">
        <v>55.266666666666602</v>
      </c>
      <c r="K2779">
        <v>-128.4</v>
      </c>
      <c r="L2779">
        <v>1100</v>
      </c>
      <c r="M2779" s="21" t="s">
        <v>3034</v>
      </c>
      <c r="O2779" s="21">
        <v>1992</v>
      </c>
      <c r="Q2779" s="21" t="s">
        <v>3086</v>
      </c>
      <c r="T2779" s="21">
        <v>-20</v>
      </c>
      <c r="U2779" s="21" t="s">
        <v>1218</v>
      </c>
      <c r="V2779" s="9" t="s">
        <v>1247</v>
      </c>
      <c r="W2779">
        <f>56</f>
        <v>56</v>
      </c>
      <c r="X2779" s="9" t="s">
        <v>3088</v>
      </c>
      <c r="Y2779" t="s">
        <v>3089</v>
      </c>
      <c r="Z2779" s="22">
        <v>8</v>
      </c>
      <c r="AD2779" s="22" t="s">
        <v>1165</v>
      </c>
      <c r="AF2779" s="24" t="s">
        <v>153</v>
      </c>
      <c r="AG2779" t="s">
        <v>1160</v>
      </c>
      <c r="AH2779">
        <f t="shared" si="26"/>
        <v>4320</v>
      </c>
      <c r="AI2779" s="21" t="s">
        <v>153</v>
      </c>
      <c r="AJ2779" s="21" t="s">
        <v>1148</v>
      </c>
      <c r="AK2779" s="21">
        <v>86.441000000000003</v>
      </c>
      <c r="AL2779" s="21" t="s">
        <v>1321</v>
      </c>
      <c r="AM2779" s="21">
        <f>88.249-84.52</f>
        <v>3.7289999999999992</v>
      </c>
      <c r="AN2779" s="21">
        <v>3</v>
      </c>
      <c r="AO2779" s="21">
        <v>50</v>
      </c>
      <c r="AP2779" s="21">
        <v>24</v>
      </c>
      <c r="AQ2779" s="22" t="s">
        <v>3016</v>
      </c>
      <c r="AR2779" s="21" t="s">
        <v>1155</v>
      </c>
      <c r="AS2779" t="s">
        <v>3085</v>
      </c>
    </row>
    <row r="2780" spans="1:45" x14ac:dyDescent="0.2">
      <c r="A2780" s="21" t="s">
        <v>1685</v>
      </c>
      <c r="B2780" s="21" t="s">
        <v>1146</v>
      </c>
      <c r="C2780" s="21" t="s">
        <v>1149</v>
      </c>
      <c r="D2780" s="21" t="s">
        <v>420</v>
      </c>
      <c r="E2780" s="21" t="s">
        <v>3093</v>
      </c>
      <c r="G2780" s="21" t="s">
        <v>153</v>
      </c>
      <c r="H2780" s="21" t="s">
        <v>1165</v>
      </c>
      <c r="I2780" s="21" t="s">
        <v>3087</v>
      </c>
      <c r="J2780" s="21">
        <v>55.266666666666602</v>
      </c>
      <c r="K2780">
        <v>-128.4</v>
      </c>
      <c r="L2780">
        <v>1100</v>
      </c>
      <c r="M2780" s="21" t="s">
        <v>3034</v>
      </c>
      <c r="O2780" s="21">
        <v>1992</v>
      </c>
      <c r="Q2780" s="21" t="s">
        <v>3086</v>
      </c>
      <c r="T2780" s="21">
        <v>-20</v>
      </c>
      <c r="U2780" s="21" t="s">
        <v>1218</v>
      </c>
      <c r="V2780" s="9" t="s">
        <v>1247</v>
      </c>
      <c r="W2780">
        <f>56</f>
        <v>56</v>
      </c>
      <c r="X2780" s="9" t="s">
        <v>3088</v>
      </c>
      <c r="Y2780" t="s">
        <v>3089</v>
      </c>
      <c r="Z2780" s="22">
        <v>8</v>
      </c>
      <c r="AD2780" s="22" t="s">
        <v>1165</v>
      </c>
      <c r="AF2780" s="24" t="s">
        <v>153</v>
      </c>
      <c r="AG2780" t="s">
        <v>1160</v>
      </c>
      <c r="AH2780">
        <f t="shared" si="26"/>
        <v>4320</v>
      </c>
      <c r="AI2780" s="21" t="s">
        <v>153</v>
      </c>
      <c r="AJ2780" s="21" t="s">
        <v>1148</v>
      </c>
      <c r="AK2780" s="21">
        <v>86.441000000000003</v>
      </c>
      <c r="AL2780" s="21" t="s">
        <v>1321</v>
      </c>
      <c r="AM2780" s="21">
        <f>87.345-85.537</f>
        <v>1.8079999999999927</v>
      </c>
      <c r="AN2780" s="21">
        <v>3</v>
      </c>
      <c r="AO2780" s="21">
        <v>50</v>
      </c>
      <c r="AP2780" s="21">
        <v>27</v>
      </c>
      <c r="AQ2780" s="22" t="s">
        <v>3016</v>
      </c>
      <c r="AR2780" s="21" t="s">
        <v>1155</v>
      </c>
      <c r="AS2780" t="s">
        <v>3085</v>
      </c>
    </row>
    <row r="2781" spans="1:45" x14ac:dyDescent="0.2">
      <c r="A2781" s="21" t="s">
        <v>1685</v>
      </c>
      <c r="B2781" s="21" t="s">
        <v>1146</v>
      </c>
      <c r="C2781" s="21" t="s">
        <v>1149</v>
      </c>
      <c r="D2781" s="21" t="s">
        <v>420</v>
      </c>
      <c r="E2781" s="21" t="s">
        <v>3093</v>
      </c>
      <c r="G2781" s="21" t="s">
        <v>153</v>
      </c>
      <c r="H2781" s="21" t="s">
        <v>1165</v>
      </c>
      <c r="I2781" s="21" t="s">
        <v>3087</v>
      </c>
      <c r="J2781" s="21">
        <v>55.266666666666602</v>
      </c>
      <c r="K2781">
        <v>-128.4</v>
      </c>
      <c r="L2781">
        <v>1100</v>
      </c>
      <c r="M2781" s="21" t="s">
        <v>3034</v>
      </c>
      <c r="O2781" s="21">
        <v>1992</v>
      </c>
      <c r="Q2781" s="21" t="s">
        <v>3086</v>
      </c>
      <c r="T2781" s="21">
        <v>-20</v>
      </c>
      <c r="U2781" s="21" t="s">
        <v>1218</v>
      </c>
      <c r="V2781" s="9" t="s">
        <v>1247</v>
      </c>
      <c r="W2781">
        <f>56</f>
        <v>56</v>
      </c>
      <c r="X2781" s="9" t="s">
        <v>3088</v>
      </c>
      <c r="Y2781" t="s">
        <v>3089</v>
      </c>
      <c r="Z2781" s="22">
        <v>8</v>
      </c>
      <c r="AD2781" s="22" t="s">
        <v>1165</v>
      </c>
      <c r="AF2781" s="24" t="s">
        <v>153</v>
      </c>
      <c r="AG2781" t="s">
        <v>1160</v>
      </c>
      <c r="AH2781">
        <f t="shared" si="26"/>
        <v>4320</v>
      </c>
      <c r="AI2781" s="21" t="s">
        <v>153</v>
      </c>
      <c r="AJ2781" s="21" t="s">
        <v>1148</v>
      </c>
      <c r="AK2781" s="21">
        <v>86.441000000000003</v>
      </c>
      <c r="AL2781" s="21" t="s">
        <v>1321</v>
      </c>
      <c r="AM2781" s="21">
        <f>87.345-85.537</f>
        <v>1.8079999999999927</v>
      </c>
      <c r="AN2781" s="21">
        <v>3</v>
      </c>
      <c r="AO2781" s="21">
        <v>50</v>
      </c>
      <c r="AP2781" s="21">
        <v>30</v>
      </c>
      <c r="AQ2781" s="22" t="s">
        <v>3016</v>
      </c>
      <c r="AR2781" s="21" t="s">
        <v>1155</v>
      </c>
      <c r="AS2781" t="s">
        <v>3085</v>
      </c>
    </row>
    <row r="2782" spans="1:45" x14ac:dyDescent="0.2">
      <c r="A2782" s="21" t="s">
        <v>1685</v>
      </c>
      <c r="B2782" s="21" t="s">
        <v>1146</v>
      </c>
      <c r="C2782" s="21" t="s">
        <v>1149</v>
      </c>
      <c r="D2782" s="21" t="s">
        <v>420</v>
      </c>
      <c r="E2782" s="21" t="s">
        <v>3093</v>
      </c>
      <c r="G2782" s="21" t="s">
        <v>153</v>
      </c>
      <c r="H2782" s="21" t="s">
        <v>1165</v>
      </c>
      <c r="I2782" s="21" t="s">
        <v>3087</v>
      </c>
      <c r="J2782" s="21">
        <v>55.266666666666602</v>
      </c>
      <c r="K2782">
        <v>-128.4</v>
      </c>
      <c r="L2782">
        <v>1100</v>
      </c>
      <c r="M2782" s="21" t="s">
        <v>3034</v>
      </c>
      <c r="O2782" s="21">
        <v>1992</v>
      </c>
      <c r="Q2782" s="21" t="s">
        <v>3086</v>
      </c>
      <c r="T2782" s="21">
        <v>-20</v>
      </c>
      <c r="U2782" s="21" t="s">
        <v>1218</v>
      </c>
      <c r="V2782" s="9" t="s">
        <v>1247</v>
      </c>
      <c r="W2782">
        <f>56</f>
        <v>56</v>
      </c>
      <c r="X2782" s="9" t="s">
        <v>3088</v>
      </c>
      <c r="Y2782" t="s">
        <v>3090</v>
      </c>
      <c r="Z2782" s="22">
        <v>8</v>
      </c>
      <c r="AD2782" s="22" t="s">
        <v>1165</v>
      </c>
      <c r="AF2782" s="24" t="s">
        <v>153</v>
      </c>
      <c r="AG2782" t="s">
        <v>1160</v>
      </c>
      <c r="AH2782">
        <f t="shared" si="26"/>
        <v>4320</v>
      </c>
      <c r="AI2782" s="21" t="s">
        <v>153</v>
      </c>
      <c r="AJ2782" s="21" t="s">
        <v>1148</v>
      </c>
      <c r="AK2782" s="21">
        <v>0</v>
      </c>
      <c r="AL2782" s="21" t="s">
        <v>1321</v>
      </c>
      <c r="AM2782" s="21">
        <v>0</v>
      </c>
      <c r="AN2782" s="21">
        <v>3</v>
      </c>
      <c r="AO2782" s="21">
        <v>50</v>
      </c>
      <c r="AP2782" s="21">
        <v>3</v>
      </c>
      <c r="AQ2782" s="22" t="s">
        <v>3016</v>
      </c>
      <c r="AR2782" s="21" t="s">
        <v>1155</v>
      </c>
      <c r="AS2782" t="s">
        <v>3085</v>
      </c>
    </row>
    <row r="2783" spans="1:45" x14ac:dyDescent="0.2">
      <c r="A2783" s="21" t="s">
        <v>1685</v>
      </c>
      <c r="B2783" s="21" t="s">
        <v>1146</v>
      </c>
      <c r="C2783" s="21" t="s">
        <v>1149</v>
      </c>
      <c r="D2783" s="21" t="s">
        <v>420</v>
      </c>
      <c r="E2783" s="21" t="s">
        <v>3093</v>
      </c>
      <c r="G2783" s="21" t="s">
        <v>153</v>
      </c>
      <c r="H2783" s="21" t="s">
        <v>1165</v>
      </c>
      <c r="I2783" s="21" t="s">
        <v>3087</v>
      </c>
      <c r="J2783" s="21">
        <v>55.266666666666602</v>
      </c>
      <c r="K2783">
        <v>-128.4</v>
      </c>
      <c r="L2783">
        <v>1100</v>
      </c>
      <c r="M2783" s="21" t="s">
        <v>3034</v>
      </c>
      <c r="O2783" s="21">
        <v>1992</v>
      </c>
      <c r="Q2783" s="21" t="s">
        <v>3086</v>
      </c>
      <c r="T2783" s="21">
        <v>-20</v>
      </c>
      <c r="U2783" s="21" t="s">
        <v>1218</v>
      </c>
      <c r="V2783" s="9" t="s">
        <v>1247</v>
      </c>
      <c r="W2783">
        <f>56</f>
        <v>56</v>
      </c>
      <c r="X2783" s="9" t="s">
        <v>3088</v>
      </c>
      <c r="Y2783" t="s">
        <v>3090</v>
      </c>
      <c r="Z2783" s="22">
        <v>8</v>
      </c>
      <c r="AD2783" s="22" t="s">
        <v>1165</v>
      </c>
      <c r="AF2783" s="24" t="s">
        <v>153</v>
      </c>
      <c r="AG2783" t="s">
        <v>1160</v>
      </c>
      <c r="AH2783">
        <f t="shared" si="26"/>
        <v>4320</v>
      </c>
      <c r="AI2783" s="21" t="s">
        <v>153</v>
      </c>
      <c r="AJ2783" s="21" t="s">
        <v>1148</v>
      </c>
      <c r="AK2783" s="21">
        <v>8.5879999999999992</v>
      </c>
      <c r="AL2783" s="21" t="s">
        <v>1321</v>
      </c>
      <c r="AM2783" s="21" t="s">
        <v>3003</v>
      </c>
      <c r="AN2783" s="21">
        <v>3</v>
      </c>
      <c r="AO2783" s="21">
        <v>50</v>
      </c>
      <c r="AP2783" s="21">
        <v>6</v>
      </c>
      <c r="AQ2783" s="22" t="s">
        <v>3016</v>
      </c>
      <c r="AR2783" s="21" t="s">
        <v>1155</v>
      </c>
      <c r="AS2783" t="s">
        <v>3085</v>
      </c>
    </row>
    <row r="2784" spans="1:45" x14ac:dyDescent="0.2">
      <c r="A2784" s="21" t="s">
        <v>1685</v>
      </c>
      <c r="B2784" s="21" t="s">
        <v>1146</v>
      </c>
      <c r="C2784" s="21" t="s">
        <v>1149</v>
      </c>
      <c r="D2784" s="21" t="s">
        <v>420</v>
      </c>
      <c r="E2784" s="21" t="s">
        <v>3093</v>
      </c>
      <c r="G2784" s="21" t="s">
        <v>153</v>
      </c>
      <c r="H2784" s="21" t="s">
        <v>1165</v>
      </c>
      <c r="I2784" s="21" t="s">
        <v>3087</v>
      </c>
      <c r="J2784" s="21">
        <v>55.266666666666602</v>
      </c>
      <c r="K2784">
        <v>-128.4</v>
      </c>
      <c r="L2784">
        <v>1100</v>
      </c>
      <c r="M2784" s="21" t="s">
        <v>3034</v>
      </c>
      <c r="O2784" s="21">
        <v>1992</v>
      </c>
      <c r="Q2784" s="21" t="s">
        <v>3086</v>
      </c>
      <c r="T2784" s="21">
        <v>-20</v>
      </c>
      <c r="U2784" s="21" t="s">
        <v>1218</v>
      </c>
      <c r="V2784" s="9" t="s">
        <v>1247</v>
      </c>
      <c r="W2784">
        <f>56</f>
        <v>56</v>
      </c>
      <c r="X2784" s="9" t="s">
        <v>3088</v>
      </c>
      <c r="Y2784" t="s">
        <v>3090</v>
      </c>
      <c r="Z2784" s="22">
        <v>8</v>
      </c>
      <c r="AD2784" s="22" t="s">
        <v>1165</v>
      </c>
      <c r="AF2784" s="24" t="s">
        <v>153</v>
      </c>
      <c r="AG2784" t="s">
        <v>1160</v>
      </c>
      <c r="AH2784">
        <f t="shared" si="26"/>
        <v>4320</v>
      </c>
      <c r="AI2784" s="21" t="s">
        <v>153</v>
      </c>
      <c r="AJ2784" s="21" t="s">
        <v>1148</v>
      </c>
      <c r="AK2784" s="21">
        <v>25.085000000000001</v>
      </c>
      <c r="AL2784" s="21" t="s">
        <v>1321</v>
      </c>
      <c r="AM2784" s="21" t="s">
        <v>3003</v>
      </c>
      <c r="AN2784" s="21">
        <v>3</v>
      </c>
      <c r="AO2784" s="21">
        <v>50</v>
      </c>
      <c r="AP2784" s="21">
        <v>9</v>
      </c>
      <c r="AQ2784" s="22" t="s">
        <v>3016</v>
      </c>
      <c r="AR2784" s="21" t="s">
        <v>1155</v>
      </c>
      <c r="AS2784" t="s">
        <v>3085</v>
      </c>
    </row>
    <row r="2785" spans="1:45" x14ac:dyDescent="0.2">
      <c r="A2785" s="21" t="s">
        <v>1685</v>
      </c>
      <c r="B2785" s="21" t="s">
        <v>1146</v>
      </c>
      <c r="C2785" s="21" t="s">
        <v>1149</v>
      </c>
      <c r="D2785" s="21" t="s">
        <v>420</v>
      </c>
      <c r="E2785" s="21" t="s">
        <v>3093</v>
      </c>
      <c r="G2785" s="21" t="s">
        <v>153</v>
      </c>
      <c r="H2785" s="21" t="s">
        <v>1165</v>
      </c>
      <c r="I2785" s="21" t="s">
        <v>3087</v>
      </c>
      <c r="J2785" s="21">
        <v>55.266666666666602</v>
      </c>
      <c r="K2785">
        <v>-128.4</v>
      </c>
      <c r="L2785">
        <v>1100</v>
      </c>
      <c r="M2785" s="21" t="s">
        <v>3034</v>
      </c>
      <c r="O2785" s="21">
        <v>1992</v>
      </c>
      <c r="Q2785" s="21" t="s">
        <v>3086</v>
      </c>
      <c r="T2785" s="21">
        <v>-20</v>
      </c>
      <c r="U2785" s="21" t="s">
        <v>1218</v>
      </c>
      <c r="V2785" s="9" t="s">
        <v>1247</v>
      </c>
      <c r="W2785">
        <f>56</f>
        <v>56</v>
      </c>
      <c r="X2785" s="9" t="s">
        <v>3088</v>
      </c>
      <c r="Y2785" t="s">
        <v>3090</v>
      </c>
      <c r="Z2785" s="22">
        <v>8</v>
      </c>
      <c r="AD2785" s="22" t="s">
        <v>1165</v>
      </c>
      <c r="AF2785" s="24" t="s">
        <v>153</v>
      </c>
      <c r="AG2785" t="s">
        <v>1160</v>
      </c>
      <c r="AH2785">
        <f t="shared" si="26"/>
        <v>4320</v>
      </c>
      <c r="AI2785" s="21" t="s">
        <v>153</v>
      </c>
      <c r="AJ2785" s="21" t="s">
        <v>1148</v>
      </c>
      <c r="AK2785" s="21">
        <v>41.695</v>
      </c>
      <c r="AL2785" s="21" t="s">
        <v>1321</v>
      </c>
      <c r="AM2785" s="21" t="s">
        <v>3003</v>
      </c>
      <c r="AN2785" s="21">
        <v>3</v>
      </c>
      <c r="AO2785" s="21">
        <v>50</v>
      </c>
      <c r="AP2785" s="21">
        <v>12</v>
      </c>
      <c r="AQ2785" s="22" t="s">
        <v>3016</v>
      </c>
      <c r="AR2785" s="21" t="s">
        <v>1155</v>
      </c>
      <c r="AS2785" t="s">
        <v>3085</v>
      </c>
    </row>
    <row r="2786" spans="1:45" x14ac:dyDescent="0.2">
      <c r="A2786" s="21" t="s">
        <v>1685</v>
      </c>
      <c r="B2786" s="21" t="s">
        <v>1146</v>
      </c>
      <c r="C2786" s="21" t="s">
        <v>1149</v>
      </c>
      <c r="D2786" s="21" t="s">
        <v>420</v>
      </c>
      <c r="E2786" s="21" t="s">
        <v>3093</v>
      </c>
      <c r="G2786" s="21" t="s">
        <v>153</v>
      </c>
      <c r="H2786" s="21" t="s">
        <v>1165</v>
      </c>
      <c r="I2786" s="21" t="s">
        <v>3087</v>
      </c>
      <c r="J2786" s="21">
        <v>55.266666666666602</v>
      </c>
      <c r="K2786">
        <v>-128.4</v>
      </c>
      <c r="L2786">
        <v>1100</v>
      </c>
      <c r="M2786" s="21" t="s">
        <v>3034</v>
      </c>
      <c r="O2786" s="21">
        <v>1992</v>
      </c>
      <c r="Q2786" s="21" t="s">
        <v>3086</v>
      </c>
      <c r="T2786" s="21">
        <v>-20</v>
      </c>
      <c r="U2786" s="21" t="s">
        <v>1218</v>
      </c>
      <c r="V2786" s="9" t="s">
        <v>1247</v>
      </c>
      <c r="W2786">
        <f>56</f>
        <v>56</v>
      </c>
      <c r="X2786" s="9" t="s">
        <v>3088</v>
      </c>
      <c r="Y2786" t="s">
        <v>3090</v>
      </c>
      <c r="Z2786" s="22">
        <v>8</v>
      </c>
      <c r="AD2786" s="22" t="s">
        <v>1165</v>
      </c>
      <c r="AF2786" s="24" t="s">
        <v>153</v>
      </c>
      <c r="AG2786" t="s">
        <v>1160</v>
      </c>
      <c r="AH2786">
        <f t="shared" si="26"/>
        <v>4320</v>
      </c>
      <c r="AI2786" s="21" t="s">
        <v>153</v>
      </c>
      <c r="AJ2786" s="21" t="s">
        <v>1148</v>
      </c>
      <c r="AK2786" s="21">
        <v>59.887</v>
      </c>
      <c r="AL2786" s="21" t="s">
        <v>1321</v>
      </c>
      <c r="AM2786" s="21" t="s">
        <v>3003</v>
      </c>
      <c r="AN2786" s="21">
        <v>3</v>
      </c>
      <c r="AO2786" s="21">
        <v>50</v>
      </c>
      <c r="AP2786" s="21">
        <v>15</v>
      </c>
      <c r="AQ2786" s="22" t="s">
        <v>3016</v>
      </c>
      <c r="AR2786" s="21" t="s">
        <v>1155</v>
      </c>
      <c r="AS2786" t="s">
        <v>3085</v>
      </c>
    </row>
    <row r="2787" spans="1:45" x14ac:dyDescent="0.2">
      <c r="A2787" s="21" t="s">
        <v>1685</v>
      </c>
      <c r="B2787" s="21" t="s">
        <v>1146</v>
      </c>
      <c r="C2787" s="21" t="s">
        <v>1149</v>
      </c>
      <c r="D2787" s="21" t="s">
        <v>420</v>
      </c>
      <c r="E2787" s="21" t="s">
        <v>3093</v>
      </c>
      <c r="G2787" s="21" t="s">
        <v>153</v>
      </c>
      <c r="H2787" s="21" t="s">
        <v>1165</v>
      </c>
      <c r="I2787" s="21" t="s">
        <v>3087</v>
      </c>
      <c r="J2787" s="21">
        <v>55.266666666666602</v>
      </c>
      <c r="K2787">
        <v>-128.4</v>
      </c>
      <c r="L2787">
        <v>1100</v>
      </c>
      <c r="M2787" s="21" t="s">
        <v>3034</v>
      </c>
      <c r="O2787" s="21">
        <v>1992</v>
      </c>
      <c r="Q2787" s="21" t="s">
        <v>3086</v>
      </c>
      <c r="T2787" s="21">
        <v>-20</v>
      </c>
      <c r="U2787" s="21" t="s">
        <v>1218</v>
      </c>
      <c r="V2787" s="9" t="s">
        <v>1247</v>
      </c>
      <c r="W2787">
        <f>56</f>
        <v>56</v>
      </c>
      <c r="X2787" s="9" t="s">
        <v>3088</v>
      </c>
      <c r="Y2787" t="s">
        <v>3090</v>
      </c>
      <c r="Z2787" s="22">
        <v>8</v>
      </c>
      <c r="AD2787" s="22" t="s">
        <v>1165</v>
      </c>
      <c r="AF2787" s="24" t="s">
        <v>153</v>
      </c>
      <c r="AG2787" t="s">
        <v>1160</v>
      </c>
      <c r="AH2787">
        <f t="shared" si="26"/>
        <v>4320</v>
      </c>
      <c r="AI2787" s="21" t="s">
        <v>153</v>
      </c>
      <c r="AJ2787" s="21" t="s">
        <v>1148</v>
      </c>
      <c r="AK2787" s="21">
        <v>66.554000000000002</v>
      </c>
      <c r="AL2787" s="21" t="s">
        <v>1321</v>
      </c>
      <c r="AM2787" s="21" t="s">
        <v>3003</v>
      </c>
      <c r="AN2787" s="21">
        <v>3</v>
      </c>
      <c r="AO2787" s="21">
        <v>50</v>
      </c>
      <c r="AP2787" s="21">
        <v>18</v>
      </c>
      <c r="AQ2787" s="22" t="s">
        <v>3016</v>
      </c>
      <c r="AR2787" s="21" t="s">
        <v>1155</v>
      </c>
      <c r="AS2787" t="s">
        <v>3085</v>
      </c>
    </row>
    <row r="2788" spans="1:45" x14ac:dyDescent="0.2">
      <c r="A2788" s="21" t="s">
        <v>1685</v>
      </c>
      <c r="B2788" s="21" t="s">
        <v>1146</v>
      </c>
      <c r="C2788" s="21" t="s">
        <v>1149</v>
      </c>
      <c r="D2788" s="21" t="s">
        <v>420</v>
      </c>
      <c r="E2788" s="21" t="s">
        <v>3093</v>
      </c>
      <c r="G2788" s="21" t="s">
        <v>153</v>
      </c>
      <c r="H2788" s="21" t="s">
        <v>1165</v>
      </c>
      <c r="I2788" s="21" t="s">
        <v>3087</v>
      </c>
      <c r="J2788" s="21">
        <v>55.266666666666602</v>
      </c>
      <c r="K2788">
        <v>-128.4</v>
      </c>
      <c r="L2788">
        <v>1100</v>
      </c>
      <c r="M2788" s="21" t="s">
        <v>3034</v>
      </c>
      <c r="O2788" s="21">
        <v>1992</v>
      </c>
      <c r="Q2788" s="21" t="s">
        <v>3086</v>
      </c>
      <c r="T2788" s="21">
        <v>-20</v>
      </c>
      <c r="U2788" s="21" t="s">
        <v>1218</v>
      </c>
      <c r="V2788" s="9" t="s">
        <v>1247</v>
      </c>
      <c r="W2788">
        <f>56</f>
        <v>56</v>
      </c>
      <c r="X2788" s="9" t="s">
        <v>3088</v>
      </c>
      <c r="Y2788" t="s">
        <v>3090</v>
      </c>
      <c r="Z2788" s="22">
        <v>8</v>
      </c>
      <c r="AD2788" s="22" t="s">
        <v>1165</v>
      </c>
      <c r="AF2788" s="24" t="s">
        <v>153</v>
      </c>
      <c r="AG2788" t="s">
        <v>1160</v>
      </c>
      <c r="AH2788">
        <f t="shared" si="26"/>
        <v>4320</v>
      </c>
      <c r="AI2788" s="21" t="s">
        <v>153</v>
      </c>
      <c r="AJ2788" s="21" t="s">
        <v>1148</v>
      </c>
      <c r="AK2788" s="21">
        <v>68.474999999999994</v>
      </c>
      <c r="AL2788" s="21" t="s">
        <v>1321</v>
      </c>
      <c r="AM2788" s="21" t="s">
        <v>3003</v>
      </c>
      <c r="AN2788" s="21">
        <v>3</v>
      </c>
      <c r="AO2788" s="21">
        <v>50</v>
      </c>
      <c r="AP2788" s="21">
        <v>21</v>
      </c>
      <c r="AQ2788" s="22" t="s">
        <v>3016</v>
      </c>
      <c r="AR2788" s="21" t="s">
        <v>1155</v>
      </c>
      <c r="AS2788" t="s">
        <v>3085</v>
      </c>
    </row>
    <row r="2789" spans="1:45" x14ac:dyDescent="0.2">
      <c r="A2789" s="21" t="s">
        <v>1685</v>
      </c>
      <c r="B2789" s="21" t="s">
        <v>1146</v>
      </c>
      <c r="C2789" s="21" t="s">
        <v>1149</v>
      </c>
      <c r="D2789" s="21" t="s">
        <v>420</v>
      </c>
      <c r="E2789" s="21" t="s">
        <v>3093</v>
      </c>
      <c r="G2789" s="21" t="s">
        <v>153</v>
      </c>
      <c r="H2789" s="21" t="s">
        <v>1165</v>
      </c>
      <c r="I2789" s="21" t="s">
        <v>3087</v>
      </c>
      <c r="J2789" s="21">
        <v>55.266666666666602</v>
      </c>
      <c r="K2789">
        <v>-128.4</v>
      </c>
      <c r="L2789">
        <v>1100</v>
      </c>
      <c r="M2789" s="21" t="s">
        <v>3034</v>
      </c>
      <c r="O2789" s="21">
        <v>1992</v>
      </c>
      <c r="Q2789" s="21" t="s">
        <v>3086</v>
      </c>
      <c r="T2789" s="21">
        <v>-20</v>
      </c>
      <c r="U2789" s="21" t="s">
        <v>1218</v>
      </c>
      <c r="V2789" s="9" t="s">
        <v>1247</v>
      </c>
      <c r="W2789">
        <f>56</f>
        <v>56</v>
      </c>
      <c r="X2789" s="9" t="s">
        <v>3088</v>
      </c>
      <c r="Y2789" t="s">
        <v>3090</v>
      </c>
      <c r="Z2789" s="22">
        <v>8</v>
      </c>
      <c r="AD2789" s="22" t="s">
        <v>1165</v>
      </c>
      <c r="AF2789" s="24" t="s">
        <v>153</v>
      </c>
      <c r="AG2789" t="s">
        <v>1160</v>
      </c>
      <c r="AH2789">
        <f t="shared" si="26"/>
        <v>4320</v>
      </c>
      <c r="AI2789" s="21" t="s">
        <v>153</v>
      </c>
      <c r="AJ2789" s="21" t="s">
        <v>1148</v>
      </c>
      <c r="AK2789" s="21">
        <v>69.831000000000003</v>
      </c>
      <c r="AL2789" s="21" t="s">
        <v>1321</v>
      </c>
      <c r="AM2789" s="21" t="s">
        <v>3003</v>
      </c>
      <c r="AN2789" s="21">
        <v>3</v>
      </c>
      <c r="AO2789" s="21">
        <v>50</v>
      </c>
      <c r="AP2789" s="21">
        <v>24</v>
      </c>
      <c r="AQ2789" s="22" t="s">
        <v>3016</v>
      </c>
      <c r="AR2789" s="21" t="s">
        <v>1155</v>
      </c>
      <c r="AS2789" t="s">
        <v>3085</v>
      </c>
    </row>
    <row r="2790" spans="1:45" x14ac:dyDescent="0.2">
      <c r="A2790" s="21" t="s">
        <v>1685</v>
      </c>
      <c r="B2790" s="21" t="s">
        <v>1146</v>
      </c>
      <c r="C2790" s="21" t="s">
        <v>1149</v>
      </c>
      <c r="D2790" s="21" t="s">
        <v>420</v>
      </c>
      <c r="E2790" s="21" t="s">
        <v>3093</v>
      </c>
      <c r="G2790" s="21" t="s">
        <v>153</v>
      </c>
      <c r="H2790" s="21" t="s">
        <v>1165</v>
      </c>
      <c r="I2790" s="21" t="s">
        <v>3087</v>
      </c>
      <c r="J2790" s="21">
        <v>55.266666666666602</v>
      </c>
      <c r="K2790">
        <v>-128.4</v>
      </c>
      <c r="L2790">
        <v>1100</v>
      </c>
      <c r="M2790" s="21" t="s">
        <v>3034</v>
      </c>
      <c r="O2790" s="21">
        <v>1992</v>
      </c>
      <c r="Q2790" s="21" t="s">
        <v>3086</v>
      </c>
      <c r="T2790" s="21">
        <v>-20</v>
      </c>
      <c r="U2790" s="21" t="s">
        <v>1218</v>
      </c>
      <c r="V2790" s="9" t="s">
        <v>1247</v>
      </c>
      <c r="W2790">
        <f>56</f>
        <v>56</v>
      </c>
      <c r="X2790" s="9" t="s">
        <v>3088</v>
      </c>
      <c r="Y2790" t="s">
        <v>3090</v>
      </c>
      <c r="Z2790" s="22">
        <v>8</v>
      </c>
      <c r="AD2790" s="22" t="s">
        <v>1165</v>
      </c>
      <c r="AF2790" s="24" t="s">
        <v>153</v>
      </c>
      <c r="AG2790" t="s">
        <v>1160</v>
      </c>
      <c r="AH2790">
        <f t="shared" si="26"/>
        <v>4320</v>
      </c>
      <c r="AI2790" s="21" t="s">
        <v>153</v>
      </c>
      <c r="AJ2790" s="21" t="s">
        <v>1148</v>
      </c>
      <c r="AK2790" s="21">
        <v>70.620999999999995</v>
      </c>
      <c r="AL2790" s="21" t="s">
        <v>1321</v>
      </c>
      <c r="AM2790" s="21" t="s">
        <v>3003</v>
      </c>
      <c r="AN2790" s="21">
        <v>3</v>
      </c>
      <c r="AO2790" s="21">
        <v>50</v>
      </c>
      <c r="AP2790" s="21">
        <v>27</v>
      </c>
      <c r="AQ2790" s="22" t="s">
        <v>3016</v>
      </c>
      <c r="AR2790" s="21" t="s">
        <v>1155</v>
      </c>
      <c r="AS2790" t="s">
        <v>3085</v>
      </c>
    </row>
    <row r="2791" spans="1:45" x14ac:dyDescent="0.2">
      <c r="A2791" s="21" t="s">
        <v>1685</v>
      </c>
      <c r="B2791" s="21" t="s">
        <v>1146</v>
      </c>
      <c r="C2791" s="21" t="s">
        <v>1149</v>
      </c>
      <c r="D2791" s="21" t="s">
        <v>420</v>
      </c>
      <c r="E2791" s="21" t="s">
        <v>3093</v>
      </c>
      <c r="G2791" s="21" t="s">
        <v>153</v>
      </c>
      <c r="H2791" s="21" t="s">
        <v>1165</v>
      </c>
      <c r="I2791" s="21" t="s">
        <v>3087</v>
      </c>
      <c r="J2791" s="21">
        <v>55.266666666666602</v>
      </c>
      <c r="K2791">
        <v>-128.4</v>
      </c>
      <c r="L2791">
        <v>1100</v>
      </c>
      <c r="M2791" s="21" t="s">
        <v>3034</v>
      </c>
      <c r="O2791" s="21">
        <v>1992</v>
      </c>
      <c r="Q2791" s="21" t="s">
        <v>3086</v>
      </c>
      <c r="T2791" s="21">
        <v>-20</v>
      </c>
      <c r="U2791" s="21" t="s">
        <v>1218</v>
      </c>
      <c r="V2791" s="9" t="s">
        <v>1247</v>
      </c>
      <c r="W2791">
        <f>56</f>
        <v>56</v>
      </c>
      <c r="X2791" s="9" t="s">
        <v>3088</v>
      </c>
      <c r="Y2791" t="s">
        <v>3090</v>
      </c>
      <c r="Z2791" s="22">
        <v>8</v>
      </c>
      <c r="AD2791" s="22" t="s">
        <v>1165</v>
      </c>
      <c r="AF2791" s="24" t="s">
        <v>153</v>
      </c>
      <c r="AG2791" t="s">
        <v>1160</v>
      </c>
      <c r="AH2791">
        <f t="shared" si="26"/>
        <v>4320</v>
      </c>
      <c r="AI2791" s="21" t="s">
        <v>153</v>
      </c>
      <c r="AJ2791" s="21" t="s">
        <v>1148</v>
      </c>
      <c r="AK2791" s="21">
        <v>70.620999999999995</v>
      </c>
      <c r="AL2791" s="21" t="s">
        <v>1321</v>
      </c>
      <c r="AM2791" s="21" t="s">
        <v>3003</v>
      </c>
      <c r="AN2791" s="21">
        <v>3</v>
      </c>
      <c r="AO2791" s="21">
        <v>50</v>
      </c>
      <c r="AP2791" s="21">
        <v>30</v>
      </c>
      <c r="AQ2791" s="22" t="s">
        <v>3016</v>
      </c>
      <c r="AR2791" s="21" t="s">
        <v>1155</v>
      </c>
      <c r="AS2791" t="s">
        <v>3085</v>
      </c>
    </row>
    <row r="2792" spans="1:45" x14ac:dyDescent="0.2">
      <c r="A2792" s="21" t="s">
        <v>1685</v>
      </c>
      <c r="B2792" s="21" t="s">
        <v>1146</v>
      </c>
      <c r="C2792" s="21" t="s">
        <v>1149</v>
      </c>
      <c r="D2792" s="21" t="s">
        <v>420</v>
      </c>
      <c r="E2792" s="21" t="s">
        <v>3093</v>
      </c>
      <c r="G2792" s="21" t="s">
        <v>153</v>
      </c>
      <c r="H2792" s="21" t="s">
        <v>1165</v>
      </c>
      <c r="I2792" s="21" t="s">
        <v>3087</v>
      </c>
      <c r="J2792" s="21">
        <v>55.266666666666602</v>
      </c>
      <c r="K2792">
        <v>-128.4</v>
      </c>
      <c r="L2792">
        <v>1100</v>
      </c>
      <c r="M2792" s="21" t="s">
        <v>3034</v>
      </c>
      <c r="O2792" s="21">
        <v>1992</v>
      </c>
      <c r="Q2792" s="21" t="s">
        <v>3086</v>
      </c>
      <c r="T2792" s="21">
        <v>-20</v>
      </c>
      <c r="U2792" s="21" t="s">
        <v>1218</v>
      </c>
      <c r="V2792" s="9" t="s">
        <v>1247</v>
      </c>
      <c r="W2792">
        <f>56</f>
        <v>56</v>
      </c>
      <c r="X2792" s="9" t="s">
        <v>3088</v>
      </c>
      <c r="Y2792" t="s">
        <v>3091</v>
      </c>
      <c r="Z2792" s="22">
        <v>8</v>
      </c>
      <c r="AD2792" s="22" t="s">
        <v>1165</v>
      </c>
      <c r="AF2792" s="24" t="s">
        <v>153</v>
      </c>
      <c r="AG2792" t="s">
        <v>1160</v>
      </c>
      <c r="AH2792">
        <f t="shared" si="26"/>
        <v>4320</v>
      </c>
      <c r="AI2792" s="21" t="s">
        <v>153</v>
      </c>
      <c r="AJ2792" s="21" t="s">
        <v>1148</v>
      </c>
      <c r="AK2792" s="21">
        <v>1.5820000000000001</v>
      </c>
      <c r="AL2792" s="21" t="s">
        <v>1321</v>
      </c>
      <c r="AM2792" s="21" t="s">
        <v>3003</v>
      </c>
      <c r="AN2792" s="21">
        <v>3</v>
      </c>
      <c r="AO2792" s="21">
        <v>50</v>
      </c>
      <c r="AP2792" s="21">
        <v>3</v>
      </c>
      <c r="AQ2792" s="22" t="s">
        <v>3016</v>
      </c>
      <c r="AR2792" s="21" t="s">
        <v>1155</v>
      </c>
      <c r="AS2792" t="s">
        <v>3085</v>
      </c>
    </row>
    <row r="2793" spans="1:45" x14ac:dyDescent="0.2">
      <c r="A2793" s="21" t="s">
        <v>1685</v>
      </c>
      <c r="B2793" s="21" t="s">
        <v>1146</v>
      </c>
      <c r="C2793" s="21" t="s">
        <v>1149</v>
      </c>
      <c r="D2793" s="21" t="s">
        <v>420</v>
      </c>
      <c r="E2793" s="21" t="s">
        <v>3093</v>
      </c>
      <c r="G2793" s="21" t="s">
        <v>153</v>
      </c>
      <c r="H2793" s="21" t="s">
        <v>1165</v>
      </c>
      <c r="I2793" s="21" t="s">
        <v>3087</v>
      </c>
      <c r="J2793" s="21">
        <v>55.266666666666602</v>
      </c>
      <c r="K2793">
        <v>-128.4</v>
      </c>
      <c r="L2793">
        <v>1100</v>
      </c>
      <c r="M2793" s="21" t="s">
        <v>3034</v>
      </c>
      <c r="O2793" s="21">
        <v>1992</v>
      </c>
      <c r="Q2793" s="21" t="s">
        <v>3086</v>
      </c>
      <c r="T2793" s="21">
        <v>-20</v>
      </c>
      <c r="U2793" s="21" t="s">
        <v>1218</v>
      </c>
      <c r="V2793" s="9" t="s">
        <v>1247</v>
      </c>
      <c r="W2793">
        <f>56</f>
        <v>56</v>
      </c>
      <c r="X2793" s="9" t="s">
        <v>3088</v>
      </c>
      <c r="Y2793" t="s">
        <v>3091</v>
      </c>
      <c r="Z2793" s="22">
        <v>8</v>
      </c>
      <c r="AD2793" s="22" t="s">
        <v>1165</v>
      </c>
      <c r="AF2793" s="24" t="s">
        <v>153</v>
      </c>
      <c r="AG2793" t="s">
        <v>1160</v>
      </c>
      <c r="AH2793">
        <f t="shared" si="26"/>
        <v>4320</v>
      </c>
      <c r="AI2793" s="21" t="s">
        <v>153</v>
      </c>
      <c r="AJ2793" s="21" t="s">
        <v>1148</v>
      </c>
      <c r="AK2793" s="21">
        <v>6.78</v>
      </c>
      <c r="AL2793" s="21" t="s">
        <v>1321</v>
      </c>
      <c r="AM2793" s="21" t="s">
        <v>3003</v>
      </c>
      <c r="AN2793" s="21">
        <v>3</v>
      </c>
      <c r="AO2793" s="21">
        <v>50</v>
      </c>
      <c r="AP2793" s="21">
        <v>6</v>
      </c>
      <c r="AQ2793" s="22" t="s">
        <v>3016</v>
      </c>
      <c r="AR2793" s="21" t="s">
        <v>1155</v>
      </c>
      <c r="AS2793" t="s">
        <v>3085</v>
      </c>
    </row>
    <row r="2794" spans="1:45" x14ac:dyDescent="0.2">
      <c r="A2794" s="21" t="s">
        <v>1685</v>
      </c>
      <c r="B2794" s="21" t="s">
        <v>1146</v>
      </c>
      <c r="C2794" s="21" t="s">
        <v>1149</v>
      </c>
      <c r="D2794" s="21" t="s">
        <v>420</v>
      </c>
      <c r="E2794" s="21" t="s">
        <v>3093</v>
      </c>
      <c r="G2794" s="21" t="s">
        <v>153</v>
      </c>
      <c r="H2794" s="21" t="s">
        <v>1165</v>
      </c>
      <c r="I2794" s="21" t="s">
        <v>3087</v>
      </c>
      <c r="J2794" s="21">
        <v>55.266666666666602</v>
      </c>
      <c r="K2794">
        <v>-128.4</v>
      </c>
      <c r="L2794">
        <v>1100</v>
      </c>
      <c r="M2794" s="21" t="s">
        <v>3034</v>
      </c>
      <c r="O2794" s="21">
        <v>1992</v>
      </c>
      <c r="Q2794" s="21" t="s">
        <v>3086</v>
      </c>
      <c r="T2794" s="21">
        <v>-20</v>
      </c>
      <c r="U2794" s="21" t="s">
        <v>1218</v>
      </c>
      <c r="V2794" s="9" t="s">
        <v>1247</v>
      </c>
      <c r="W2794">
        <f>56</f>
        <v>56</v>
      </c>
      <c r="X2794" s="9" t="s">
        <v>3088</v>
      </c>
      <c r="Y2794" t="s">
        <v>3091</v>
      </c>
      <c r="Z2794" s="22">
        <v>8</v>
      </c>
      <c r="AD2794" s="22" t="s">
        <v>1165</v>
      </c>
      <c r="AF2794" s="24" t="s">
        <v>153</v>
      </c>
      <c r="AG2794" t="s">
        <v>1160</v>
      </c>
      <c r="AH2794">
        <f t="shared" si="26"/>
        <v>4320</v>
      </c>
      <c r="AI2794" s="21" t="s">
        <v>153</v>
      </c>
      <c r="AJ2794" s="21" t="s">
        <v>1148</v>
      </c>
      <c r="AK2794" s="21">
        <v>14.802</v>
      </c>
      <c r="AL2794" s="21" t="s">
        <v>1321</v>
      </c>
      <c r="AM2794" s="21" t="s">
        <v>3003</v>
      </c>
      <c r="AN2794" s="21">
        <v>3</v>
      </c>
      <c r="AO2794" s="21">
        <v>50</v>
      </c>
      <c r="AP2794" s="21">
        <v>9</v>
      </c>
      <c r="AQ2794" s="22" t="s">
        <v>3016</v>
      </c>
      <c r="AR2794" s="21" t="s">
        <v>1155</v>
      </c>
      <c r="AS2794" t="s">
        <v>3085</v>
      </c>
    </row>
    <row r="2795" spans="1:45" x14ac:dyDescent="0.2">
      <c r="A2795" s="21" t="s">
        <v>1685</v>
      </c>
      <c r="B2795" s="21" t="s">
        <v>1146</v>
      </c>
      <c r="C2795" s="21" t="s">
        <v>1149</v>
      </c>
      <c r="D2795" s="21" t="s">
        <v>420</v>
      </c>
      <c r="E2795" s="21" t="s">
        <v>3093</v>
      </c>
      <c r="G2795" s="21" t="s">
        <v>153</v>
      </c>
      <c r="H2795" s="21" t="s">
        <v>1165</v>
      </c>
      <c r="I2795" s="21" t="s">
        <v>3087</v>
      </c>
      <c r="J2795" s="21">
        <v>55.266666666666602</v>
      </c>
      <c r="K2795">
        <v>-128.4</v>
      </c>
      <c r="L2795">
        <v>1100</v>
      </c>
      <c r="M2795" s="21" t="s">
        <v>3034</v>
      </c>
      <c r="O2795" s="21">
        <v>1992</v>
      </c>
      <c r="Q2795" s="21" t="s">
        <v>3086</v>
      </c>
      <c r="T2795" s="21">
        <v>-20</v>
      </c>
      <c r="U2795" s="21" t="s">
        <v>1218</v>
      </c>
      <c r="V2795" s="9" t="s">
        <v>1247</v>
      </c>
      <c r="W2795">
        <f>56</f>
        <v>56</v>
      </c>
      <c r="X2795" s="9" t="s">
        <v>3088</v>
      </c>
      <c r="Y2795" t="s">
        <v>3091</v>
      </c>
      <c r="Z2795" s="22">
        <v>8</v>
      </c>
      <c r="AD2795" s="22" t="s">
        <v>1165</v>
      </c>
      <c r="AF2795" s="24" t="s">
        <v>153</v>
      </c>
      <c r="AG2795" t="s">
        <v>1160</v>
      </c>
      <c r="AH2795">
        <f t="shared" si="26"/>
        <v>4320</v>
      </c>
      <c r="AI2795" s="21" t="s">
        <v>153</v>
      </c>
      <c r="AJ2795" s="21" t="s">
        <v>1148</v>
      </c>
      <c r="AK2795" s="21">
        <v>38.982999999999997</v>
      </c>
      <c r="AL2795" s="21" t="s">
        <v>1321</v>
      </c>
      <c r="AM2795" s="21" t="s">
        <v>3003</v>
      </c>
      <c r="AN2795" s="21">
        <v>3</v>
      </c>
      <c r="AO2795" s="21">
        <v>50</v>
      </c>
      <c r="AP2795" s="21">
        <v>12</v>
      </c>
      <c r="AQ2795" s="22" t="s">
        <v>3016</v>
      </c>
      <c r="AR2795" s="21" t="s">
        <v>1155</v>
      </c>
      <c r="AS2795" t="s">
        <v>3085</v>
      </c>
    </row>
    <row r="2796" spans="1:45" x14ac:dyDescent="0.2">
      <c r="A2796" s="21" t="s">
        <v>1685</v>
      </c>
      <c r="B2796" s="21" t="s">
        <v>1146</v>
      </c>
      <c r="C2796" s="21" t="s">
        <v>1149</v>
      </c>
      <c r="D2796" s="21" t="s">
        <v>420</v>
      </c>
      <c r="E2796" s="21" t="s">
        <v>3093</v>
      </c>
      <c r="G2796" s="21" t="s">
        <v>153</v>
      </c>
      <c r="H2796" s="21" t="s">
        <v>1165</v>
      </c>
      <c r="I2796" s="21" t="s">
        <v>3087</v>
      </c>
      <c r="J2796" s="21">
        <v>55.266666666666602</v>
      </c>
      <c r="K2796">
        <v>-128.4</v>
      </c>
      <c r="L2796">
        <v>1100</v>
      </c>
      <c r="M2796" s="21" t="s">
        <v>3034</v>
      </c>
      <c r="O2796" s="21">
        <v>1992</v>
      </c>
      <c r="Q2796" s="21" t="s">
        <v>3086</v>
      </c>
      <c r="T2796" s="21">
        <v>-20</v>
      </c>
      <c r="U2796" s="21" t="s">
        <v>1218</v>
      </c>
      <c r="V2796" s="9" t="s">
        <v>1247</v>
      </c>
      <c r="W2796">
        <f>56</f>
        <v>56</v>
      </c>
      <c r="X2796" s="9" t="s">
        <v>3088</v>
      </c>
      <c r="Y2796" t="s">
        <v>3091</v>
      </c>
      <c r="Z2796" s="22">
        <v>8</v>
      </c>
      <c r="AD2796" s="22" t="s">
        <v>1165</v>
      </c>
      <c r="AF2796" s="24" t="s">
        <v>153</v>
      </c>
      <c r="AG2796" t="s">
        <v>1160</v>
      </c>
      <c r="AH2796">
        <f t="shared" si="26"/>
        <v>4320</v>
      </c>
      <c r="AI2796" s="21" t="s">
        <v>153</v>
      </c>
      <c r="AJ2796" s="21" t="s">
        <v>1148</v>
      </c>
      <c r="AK2796" s="21">
        <v>57.966000000000001</v>
      </c>
      <c r="AL2796" s="21" t="s">
        <v>1321</v>
      </c>
      <c r="AM2796" s="21" t="s">
        <v>3003</v>
      </c>
      <c r="AN2796" s="21">
        <v>3</v>
      </c>
      <c r="AO2796" s="21">
        <v>50</v>
      </c>
      <c r="AP2796" s="21">
        <v>15</v>
      </c>
      <c r="AQ2796" s="22" t="s">
        <v>3016</v>
      </c>
      <c r="AR2796" s="21" t="s">
        <v>1155</v>
      </c>
      <c r="AS2796" t="s">
        <v>3085</v>
      </c>
    </row>
    <row r="2797" spans="1:45" x14ac:dyDescent="0.2">
      <c r="A2797" s="21" t="s">
        <v>1685</v>
      </c>
      <c r="B2797" s="21" t="s">
        <v>1146</v>
      </c>
      <c r="C2797" s="21" t="s">
        <v>1149</v>
      </c>
      <c r="D2797" s="21" t="s">
        <v>420</v>
      </c>
      <c r="E2797" s="21" t="s">
        <v>3093</v>
      </c>
      <c r="G2797" s="21" t="s">
        <v>153</v>
      </c>
      <c r="H2797" s="21" t="s">
        <v>1165</v>
      </c>
      <c r="I2797" s="21" t="s">
        <v>3087</v>
      </c>
      <c r="J2797" s="21">
        <v>55.266666666666602</v>
      </c>
      <c r="K2797">
        <v>-128.4</v>
      </c>
      <c r="L2797">
        <v>1100</v>
      </c>
      <c r="M2797" s="21" t="s">
        <v>3034</v>
      </c>
      <c r="O2797" s="21">
        <v>1992</v>
      </c>
      <c r="Q2797" s="21" t="s">
        <v>3086</v>
      </c>
      <c r="T2797" s="21">
        <v>-20</v>
      </c>
      <c r="U2797" s="21" t="s">
        <v>1218</v>
      </c>
      <c r="V2797" s="9" t="s">
        <v>1247</v>
      </c>
      <c r="W2797">
        <f>56</f>
        <v>56</v>
      </c>
      <c r="X2797" s="9" t="s">
        <v>3088</v>
      </c>
      <c r="Y2797" t="s">
        <v>3091</v>
      </c>
      <c r="Z2797" s="22">
        <v>8</v>
      </c>
      <c r="AD2797" s="22" t="s">
        <v>1165</v>
      </c>
      <c r="AF2797" s="24" t="s">
        <v>153</v>
      </c>
      <c r="AG2797" t="s">
        <v>1160</v>
      </c>
      <c r="AH2797">
        <f t="shared" si="26"/>
        <v>4320</v>
      </c>
      <c r="AI2797" s="21" t="s">
        <v>153</v>
      </c>
      <c r="AJ2797" s="21" t="s">
        <v>1148</v>
      </c>
      <c r="AK2797" s="21">
        <v>65.084999999999994</v>
      </c>
      <c r="AL2797" s="21" t="s">
        <v>1321</v>
      </c>
      <c r="AM2797" s="21" t="s">
        <v>3003</v>
      </c>
      <c r="AN2797" s="21">
        <v>3</v>
      </c>
      <c r="AO2797" s="21">
        <v>50</v>
      </c>
      <c r="AP2797" s="21">
        <v>18</v>
      </c>
      <c r="AQ2797" s="22" t="s">
        <v>3016</v>
      </c>
      <c r="AR2797" s="21" t="s">
        <v>1155</v>
      </c>
      <c r="AS2797" t="s">
        <v>3085</v>
      </c>
    </row>
    <row r="2798" spans="1:45" x14ac:dyDescent="0.2">
      <c r="A2798" s="21" t="s">
        <v>1685</v>
      </c>
      <c r="B2798" s="21" t="s">
        <v>1146</v>
      </c>
      <c r="C2798" s="21" t="s">
        <v>1149</v>
      </c>
      <c r="D2798" s="21" t="s">
        <v>420</v>
      </c>
      <c r="E2798" s="21" t="s">
        <v>3093</v>
      </c>
      <c r="G2798" s="21" t="s">
        <v>153</v>
      </c>
      <c r="H2798" s="21" t="s">
        <v>1165</v>
      </c>
      <c r="I2798" s="21" t="s">
        <v>3087</v>
      </c>
      <c r="J2798" s="21">
        <v>55.266666666666602</v>
      </c>
      <c r="K2798">
        <v>-128.4</v>
      </c>
      <c r="L2798">
        <v>1100</v>
      </c>
      <c r="M2798" s="21" t="s">
        <v>3034</v>
      </c>
      <c r="O2798" s="21">
        <v>1992</v>
      </c>
      <c r="Q2798" s="21" t="s">
        <v>3086</v>
      </c>
      <c r="T2798" s="21">
        <v>-20</v>
      </c>
      <c r="U2798" s="21" t="s">
        <v>1218</v>
      </c>
      <c r="V2798" s="9" t="s">
        <v>1247</v>
      </c>
      <c r="W2798">
        <f>56</f>
        <v>56</v>
      </c>
      <c r="X2798" s="9" t="s">
        <v>3088</v>
      </c>
      <c r="Y2798" t="s">
        <v>3091</v>
      </c>
      <c r="Z2798" s="22">
        <v>8</v>
      </c>
      <c r="AD2798" s="22" t="s">
        <v>1165</v>
      </c>
      <c r="AF2798" s="24" t="s">
        <v>153</v>
      </c>
      <c r="AG2798" t="s">
        <v>1160</v>
      </c>
      <c r="AH2798">
        <f t="shared" si="26"/>
        <v>4320</v>
      </c>
      <c r="AI2798" s="21" t="s">
        <v>153</v>
      </c>
      <c r="AJ2798" s="21" t="s">
        <v>1148</v>
      </c>
      <c r="AK2798" s="21">
        <v>69.040000000000006</v>
      </c>
      <c r="AL2798" s="21" t="s">
        <v>1321</v>
      </c>
      <c r="AM2798" s="21" t="s">
        <v>3003</v>
      </c>
      <c r="AN2798" s="21">
        <v>3</v>
      </c>
      <c r="AO2798" s="21">
        <v>50</v>
      </c>
      <c r="AP2798" s="21">
        <v>21</v>
      </c>
      <c r="AQ2798" s="22" t="s">
        <v>3016</v>
      </c>
      <c r="AR2798" s="21" t="s">
        <v>1155</v>
      </c>
      <c r="AS2798" t="s">
        <v>3085</v>
      </c>
    </row>
    <row r="2799" spans="1:45" x14ac:dyDescent="0.2">
      <c r="A2799" s="21" t="s">
        <v>1685</v>
      </c>
      <c r="B2799" s="21" t="s">
        <v>1146</v>
      </c>
      <c r="C2799" s="21" t="s">
        <v>1149</v>
      </c>
      <c r="D2799" s="21" t="s">
        <v>420</v>
      </c>
      <c r="E2799" s="21" t="s">
        <v>3093</v>
      </c>
      <c r="G2799" s="21" t="s">
        <v>153</v>
      </c>
      <c r="H2799" s="21" t="s">
        <v>1165</v>
      </c>
      <c r="I2799" s="21" t="s">
        <v>3087</v>
      </c>
      <c r="J2799" s="21">
        <v>55.266666666666602</v>
      </c>
      <c r="K2799">
        <v>-128.4</v>
      </c>
      <c r="L2799">
        <v>1100</v>
      </c>
      <c r="M2799" s="21" t="s">
        <v>3034</v>
      </c>
      <c r="O2799" s="21">
        <v>1992</v>
      </c>
      <c r="Q2799" s="21" t="s">
        <v>3086</v>
      </c>
      <c r="T2799" s="21">
        <v>-20</v>
      </c>
      <c r="U2799" s="21" t="s">
        <v>1218</v>
      </c>
      <c r="V2799" s="9" t="s">
        <v>1247</v>
      </c>
      <c r="W2799">
        <f>56</f>
        <v>56</v>
      </c>
      <c r="X2799" s="9" t="s">
        <v>3088</v>
      </c>
      <c r="Y2799" t="s">
        <v>3091</v>
      </c>
      <c r="Z2799" s="22">
        <v>8</v>
      </c>
      <c r="AD2799" s="22" t="s">
        <v>1165</v>
      </c>
      <c r="AF2799" s="24" t="s">
        <v>153</v>
      </c>
      <c r="AG2799" t="s">
        <v>1160</v>
      </c>
      <c r="AH2799">
        <f t="shared" si="26"/>
        <v>4320</v>
      </c>
      <c r="AI2799" s="21" t="s">
        <v>153</v>
      </c>
      <c r="AJ2799" s="21" t="s">
        <v>1148</v>
      </c>
      <c r="AK2799" s="21">
        <v>70.507999999999996</v>
      </c>
      <c r="AL2799" s="21" t="s">
        <v>1321</v>
      </c>
      <c r="AM2799" s="21" t="s">
        <v>3003</v>
      </c>
      <c r="AN2799" s="21">
        <v>3</v>
      </c>
      <c r="AO2799" s="21">
        <v>50</v>
      </c>
      <c r="AP2799" s="21">
        <v>24</v>
      </c>
      <c r="AQ2799" s="22" t="s">
        <v>3016</v>
      </c>
      <c r="AR2799" s="21" t="s">
        <v>1155</v>
      </c>
      <c r="AS2799" t="s">
        <v>3085</v>
      </c>
    </row>
    <row r="2800" spans="1:45" x14ac:dyDescent="0.2">
      <c r="A2800" s="21" t="s">
        <v>1685</v>
      </c>
      <c r="B2800" s="21" t="s">
        <v>1146</v>
      </c>
      <c r="C2800" s="21" t="s">
        <v>1149</v>
      </c>
      <c r="D2800" s="21" t="s">
        <v>420</v>
      </c>
      <c r="E2800" s="21" t="s">
        <v>3093</v>
      </c>
      <c r="G2800" s="21" t="s">
        <v>153</v>
      </c>
      <c r="H2800" s="21" t="s">
        <v>1165</v>
      </c>
      <c r="I2800" s="21" t="s">
        <v>3087</v>
      </c>
      <c r="J2800" s="21">
        <v>55.266666666666602</v>
      </c>
      <c r="K2800">
        <v>-128.4</v>
      </c>
      <c r="L2800">
        <v>1100</v>
      </c>
      <c r="M2800" s="21" t="s">
        <v>3034</v>
      </c>
      <c r="O2800" s="21">
        <v>1992</v>
      </c>
      <c r="Q2800" s="21" t="s">
        <v>3086</v>
      </c>
      <c r="T2800" s="21">
        <v>-20</v>
      </c>
      <c r="U2800" s="21" t="s">
        <v>1218</v>
      </c>
      <c r="V2800" s="9" t="s">
        <v>1247</v>
      </c>
      <c r="W2800">
        <f>56</f>
        <v>56</v>
      </c>
      <c r="X2800" s="9" t="s">
        <v>3088</v>
      </c>
      <c r="Y2800" t="s">
        <v>3091</v>
      </c>
      <c r="Z2800" s="22">
        <v>8</v>
      </c>
      <c r="AD2800" s="22" t="s">
        <v>1165</v>
      </c>
      <c r="AF2800" s="24" t="s">
        <v>153</v>
      </c>
      <c r="AG2800" t="s">
        <v>1160</v>
      </c>
      <c r="AH2800">
        <f t="shared" si="26"/>
        <v>4320</v>
      </c>
      <c r="AI2800" s="21" t="s">
        <v>153</v>
      </c>
      <c r="AJ2800" s="21" t="s">
        <v>1148</v>
      </c>
      <c r="AK2800" s="21">
        <v>71.186000000000007</v>
      </c>
      <c r="AL2800" s="21" t="s">
        <v>1321</v>
      </c>
      <c r="AM2800" s="21" t="s">
        <v>3003</v>
      </c>
      <c r="AN2800" s="21">
        <v>3</v>
      </c>
      <c r="AO2800" s="21">
        <v>50</v>
      </c>
      <c r="AP2800" s="21">
        <v>27</v>
      </c>
      <c r="AQ2800" s="22" t="s">
        <v>3016</v>
      </c>
      <c r="AR2800" s="21" t="s">
        <v>1155</v>
      </c>
      <c r="AS2800" t="s">
        <v>3085</v>
      </c>
    </row>
    <row r="2801" spans="1:45" x14ac:dyDescent="0.2">
      <c r="A2801" s="21" t="s">
        <v>1685</v>
      </c>
      <c r="B2801" s="21" t="s">
        <v>1146</v>
      </c>
      <c r="C2801" s="21" t="s">
        <v>1149</v>
      </c>
      <c r="D2801" s="21" t="s">
        <v>420</v>
      </c>
      <c r="E2801" s="21" t="s">
        <v>3093</v>
      </c>
      <c r="G2801" s="21" t="s">
        <v>153</v>
      </c>
      <c r="H2801" s="21" t="s">
        <v>1165</v>
      </c>
      <c r="I2801" s="21" t="s">
        <v>3087</v>
      </c>
      <c r="J2801" s="21">
        <v>55.266666666666602</v>
      </c>
      <c r="K2801">
        <v>-128.4</v>
      </c>
      <c r="L2801">
        <v>1100</v>
      </c>
      <c r="M2801" s="21" t="s">
        <v>3034</v>
      </c>
      <c r="O2801" s="21">
        <v>1992</v>
      </c>
      <c r="Q2801" s="21" t="s">
        <v>3086</v>
      </c>
      <c r="T2801" s="21">
        <v>-20</v>
      </c>
      <c r="U2801" s="21" t="s">
        <v>1218</v>
      </c>
      <c r="V2801" s="9" t="s">
        <v>1247</v>
      </c>
      <c r="W2801">
        <f>56</f>
        <v>56</v>
      </c>
      <c r="X2801" s="9" t="s">
        <v>3088</v>
      </c>
      <c r="Y2801" t="s">
        <v>3091</v>
      </c>
      <c r="Z2801" s="22">
        <v>8</v>
      </c>
      <c r="AD2801" s="22" t="s">
        <v>1165</v>
      </c>
      <c r="AF2801" s="24" t="s">
        <v>153</v>
      </c>
      <c r="AG2801" t="s">
        <v>1160</v>
      </c>
      <c r="AH2801">
        <f t="shared" si="26"/>
        <v>4320</v>
      </c>
      <c r="AI2801" s="21" t="s">
        <v>153</v>
      </c>
      <c r="AJ2801" s="21" t="s">
        <v>1148</v>
      </c>
      <c r="AK2801" s="21">
        <v>71.072999999999993</v>
      </c>
      <c r="AL2801" s="21" t="s">
        <v>1321</v>
      </c>
      <c r="AM2801" s="21" t="s">
        <v>3003</v>
      </c>
      <c r="AN2801" s="21">
        <v>3</v>
      </c>
      <c r="AO2801" s="21">
        <v>50</v>
      </c>
      <c r="AP2801" s="21">
        <v>30</v>
      </c>
      <c r="AQ2801" s="22" t="s">
        <v>3016</v>
      </c>
      <c r="AR2801" s="21" t="s">
        <v>1155</v>
      </c>
      <c r="AS2801" t="s">
        <v>3085</v>
      </c>
    </row>
    <row r="2802" spans="1:45" x14ac:dyDescent="0.2">
      <c r="A2802" s="21" t="s">
        <v>1685</v>
      </c>
      <c r="B2802" s="21" t="s">
        <v>1146</v>
      </c>
      <c r="C2802" s="21" t="s">
        <v>1149</v>
      </c>
      <c r="D2802" s="21" t="s">
        <v>420</v>
      </c>
      <c r="E2802" s="21" t="s">
        <v>3093</v>
      </c>
      <c r="G2802" s="21" t="s">
        <v>153</v>
      </c>
      <c r="H2802" s="21" t="s">
        <v>1165</v>
      </c>
      <c r="I2802" s="21" t="s">
        <v>3087</v>
      </c>
      <c r="J2802" s="21">
        <v>55.266666666666602</v>
      </c>
      <c r="K2802">
        <v>-128.4</v>
      </c>
      <c r="L2802">
        <v>1100</v>
      </c>
      <c r="M2802" s="21" t="s">
        <v>3034</v>
      </c>
      <c r="O2802" s="21">
        <v>1992</v>
      </c>
      <c r="Q2802" s="21" t="s">
        <v>3086</v>
      </c>
      <c r="T2802" s="21">
        <v>-20</v>
      </c>
      <c r="U2802" s="21" t="s">
        <v>1147</v>
      </c>
      <c r="X2802" s="9" t="s">
        <v>3088</v>
      </c>
      <c r="Z2802" s="22">
        <v>8</v>
      </c>
      <c r="AD2802" s="22" t="s">
        <v>1165</v>
      </c>
      <c r="AF2802" s="24" t="s">
        <v>153</v>
      </c>
      <c r="AG2802" t="s">
        <v>1160</v>
      </c>
      <c r="AH2802">
        <f t="shared" si="26"/>
        <v>4320</v>
      </c>
      <c r="AI2802" s="21" t="s">
        <v>153</v>
      </c>
      <c r="AJ2802" s="21" t="s">
        <v>1148</v>
      </c>
      <c r="AK2802" s="21">
        <v>0</v>
      </c>
      <c r="AL2802" s="21" t="s">
        <v>1321</v>
      </c>
      <c r="AM2802">
        <v>0</v>
      </c>
      <c r="AN2802" s="21">
        <v>3</v>
      </c>
      <c r="AO2802" s="21">
        <v>50</v>
      </c>
      <c r="AP2802" s="21">
        <v>3</v>
      </c>
      <c r="AQ2802" s="22" t="s">
        <v>3092</v>
      </c>
      <c r="AR2802" s="21" t="s">
        <v>1155</v>
      </c>
      <c r="AS2802" t="s">
        <v>3085</v>
      </c>
    </row>
    <row r="2803" spans="1:45" x14ac:dyDescent="0.2">
      <c r="A2803" s="21" t="s">
        <v>1685</v>
      </c>
      <c r="B2803" s="21" t="s">
        <v>1146</v>
      </c>
      <c r="C2803" s="21" t="s">
        <v>1149</v>
      </c>
      <c r="D2803" s="21" t="s">
        <v>420</v>
      </c>
      <c r="E2803" s="21" t="s">
        <v>3093</v>
      </c>
      <c r="G2803" s="21" t="s">
        <v>153</v>
      </c>
      <c r="H2803" s="21" t="s">
        <v>1165</v>
      </c>
      <c r="I2803" s="21" t="s">
        <v>3087</v>
      </c>
      <c r="J2803" s="21">
        <v>55.266666666666602</v>
      </c>
      <c r="K2803">
        <v>-128.4</v>
      </c>
      <c r="L2803">
        <v>1100</v>
      </c>
      <c r="M2803" s="21" t="s">
        <v>3034</v>
      </c>
      <c r="O2803" s="21">
        <v>1992</v>
      </c>
      <c r="Q2803" s="21" t="s">
        <v>3086</v>
      </c>
      <c r="T2803" s="21">
        <v>-20</v>
      </c>
      <c r="U2803" s="21" t="s">
        <v>1147</v>
      </c>
      <c r="X2803" s="9" t="s">
        <v>3088</v>
      </c>
      <c r="Z2803" s="22">
        <v>8</v>
      </c>
      <c r="AD2803" s="22" t="s">
        <v>1165</v>
      </c>
      <c r="AF2803" s="24" t="s">
        <v>153</v>
      </c>
      <c r="AG2803" t="s">
        <v>1160</v>
      </c>
      <c r="AH2803">
        <f t="shared" si="26"/>
        <v>4320</v>
      </c>
      <c r="AI2803" s="21" t="s">
        <v>153</v>
      </c>
      <c r="AJ2803" s="21" t="s">
        <v>1148</v>
      </c>
      <c r="AK2803" s="21">
        <v>3.5030000000000001</v>
      </c>
      <c r="AL2803" s="21" t="s">
        <v>1321</v>
      </c>
      <c r="AM2803" s="21" t="s">
        <v>3003</v>
      </c>
      <c r="AN2803" s="21">
        <v>3</v>
      </c>
      <c r="AO2803" s="21">
        <v>50</v>
      </c>
      <c r="AP2803" s="21">
        <v>6</v>
      </c>
      <c r="AQ2803" s="22" t="s">
        <v>3092</v>
      </c>
      <c r="AR2803" s="21" t="s">
        <v>1155</v>
      </c>
      <c r="AS2803" t="s">
        <v>3085</v>
      </c>
    </row>
    <row r="2804" spans="1:45" x14ac:dyDescent="0.2">
      <c r="A2804" s="21" t="s">
        <v>1685</v>
      </c>
      <c r="B2804" s="21" t="s">
        <v>1146</v>
      </c>
      <c r="C2804" s="21" t="s">
        <v>1149</v>
      </c>
      <c r="D2804" s="21" t="s">
        <v>420</v>
      </c>
      <c r="E2804" s="21" t="s">
        <v>3093</v>
      </c>
      <c r="G2804" s="21" t="s">
        <v>153</v>
      </c>
      <c r="H2804" s="21" t="s">
        <v>1165</v>
      </c>
      <c r="I2804" s="21" t="s">
        <v>3087</v>
      </c>
      <c r="J2804" s="21">
        <v>55.266666666666602</v>
      </c>
      <c r="K2804">
        <v>-128.4</v>
      </c>
      <c r="L2804">
        <v>1100</v>
      </c>
      <c r="M2804" s="21" t="s">
        <v>3034</v>
      </c>
      <c r="O2804" s="21">
        <v>1992</v>
      </c>
      <c r="Q2804" s="21" t="s">
        <v>3086</v>
      </c>
      <c r="T2804" s="21">
        <v>-20</v>
      </c>
      <c r="U2804" s="21" t="s">
        <v>1147</v>
      </c>
      <c r="X2804" s="9" t="s">
        <v>3088</v>
      </c>
      <c r="Z2804" s="22">
        <v>8</v>
      </c>
      <c r="AD2804" s="22" t="s">
        <v>1165</v>
      </c>
      <c r="AF2804" s="24" t="s">
        <v>153</v>
      </c>
      <c r="AG2804" t="s">
        <v>1160</v>
      </c>
      <c r="AH2804">
        <f t="shared" si="26"/>
        <v>4320</v>
      </c>
      <c r="AI2804" s="21" t="s">
        <v>153</v>
      </c>
      <c r="AJ2804" s="21" t="s">
        <v>1148</v>
      </c>
      <c r="AK2804" s="21">
        <v>5.65</v>
      </c>
      <c r="AL2804" s="21" t="s">
        <v>1321</v>
      </c>
      <c r="AM2804" s="21">
        <v>0</v>
      </c>
      <c r="AN2804" s="21">
        <v>3</v>
      </c>
      <c r="AO2804" s="21">
        <v>50</v>
      </c>
      <c r="AP2804" s="21">
        <v>9</v>
      </c>
      <c r="AQ2804" s="22" t="s">
        <v>3092</v>
      </c>
      <c r="AR2804" s="21" t="s">
        <v>1155</v>
      </c>
      <c r="AS2804" t="s">
        <v>3085</v>
      </c>
    </row>
    <row r="2805" spans="1:45" x14ac:dyDescent="0.2">
      <c r="A2805" s="21" t="s">
        <v>1685</v>
      </c>
      <c r="B2805" s="21" t="s">
        <v>1146</v>
      </c>
      <c r="C2805" s="21" t="s">
        <v>1149</v>
      </c>
      <c r="D2805" s="21" t="s">
        <v>420</v>
      </c>
      <c r="E2805" s="21" t="s">
        <v>3093</v>
      </c>
      <c r="G2805" s="21" t="s">
        <v>153</v>
      </c>
      <c r="H2805" s="21" t="s">
        <v>1165</v>
      </c>
      <c r="I2805" s="21" t="s">
        <v>3087</v>
      </c>
      <c r="J2805" s="21">
        <v>55.266666666666602</v>
      </c>
      <c r="K2805">
        <v>-128.4</v>
      </c>
      <c r="L2805">
        <v>1100</v>
      </c>
      <c r="M2805" s="21" t="s">
        <v>3034</v>
      </c>
      <c r="O2805" s="21">
        <v>1992</v>
      </c>
      <c r="Q2805" s="21" t="s">
        <v>3086</v>
      </c>
      <c r="T2805" s="21">
        <v>-20</v>
      </c>
      <c r="U2805" s="21" t="s">
        <v>1147</v>
      </c>
      <c r="X2805" s="9" t="s">
        <v>3088</v>
      </c>
      <c r="Z2805" s="22">
        <v>8</v>
      </c>
      <c r="AD2805" s="22" t="s">
        <v>1165</v>
      </c>
      <c r="AF2805" s="24" t="s">
        <v>153</v>
      </c>
      <c r="AG2805" t="s">
        <v>1160</v>
      </c>
      <c r="AH2805">
        <f t="shared" si="26"/>
        <v>4320</v>
      </c>
      <c r="AI2805" s="21" t="s">
        <v>153</v>
      </c>
      <c r="AJ2805" s="21" t="s">
        <v>1148</v>
      </c>
      <c r="AK2805" s="21">
        <v>6.78</v>
      </c>
      <c r="AL2805" s="21" t="s">
        <v>1321</v>
      </c>
      <c r="AM2805" s="21">
        <f>8.249-5.198</f>
        <v>3.0510000000000002</v>
      </c>
      <c r="AN2805" s="21">
        <v>3</v>
      </c>
      <c r="AO2805" s="21">
        <v>50</v>
      </c>
      <c r="AP2805" s="21">
        <v>12</v>
      </c>
      <c r="AQ2805" s="22" t="s">
        <v>3092</v>
      </c>
      <c r="AR2805" s="21" t="s">
        <v>1155</v>
      </c>
      <c r="AS2805" t="s">
        <v>3085</v>
      </c>
    </row>
    <row r="2806" spans="1:45" x14ac:dyDescent="0.2">
      <c r="A2806" s="21" t="s">
        <v>1685</v>
      </c>
      <c r="B2806" s="21" t="s">
        <v>1146</v>
      </c>
      <c r="C2806" s="21" t="s">
        <v>1149</v>
      </c>
      <c r="D2806" s="21" t="s">
        <v>420</v>
      </c>
      <c r="E2806" s="21" t="s">
        <v>3093</v>
      </c>
      <c r="G2806" s="21" t="s">
        <v>153</v>
      </c>
      <c r="H2806" s="21" t="s">
        <v>1165</v>
      </c>
      <c r="I2806" s="21" t="s">
        <v>3087</v>
      </c>
      <c r="J2806" s="21">
        <v>55.266666666666602</v>
      </c>
      <c r="K2806">
        <v>-128.4</v>
      </c>
      <c r="L2806">
        <v>1100</v>
      </c>
      <c r="M2806" s="21" t="s">
        <v>3034</v>
      </c>
      <c r="O2806" s="21">
        <v>1992</v>
      </c>
      <c r="Q2806" s="21" t="s">
        <v>3086</v>
      </c>
      <c r="T2806" s="21">
        <v>-20</v>
      </c>
      <c r="U2806" s="21" t="s">
        <v>1147</v>
      </c>
      <c r="X2806" s="9" t="s">
        <v>3088</v>
      </c>
      <c r="Z2806" s="22">
        <v>8</v>
      </c>
      <c r="AD2806" s="22" t="s">
        <v>1165</v>
      </c>
      <c r="AF2806" s="24" t="s">
        <v>153</v>
      </c>
      <c r="AG2806" t="s">
        <v>1160</v>
      </c>
      <c r="AH2806">
        <f t="shared" si="26"/>
        <v>4320</v>
      </c>
      <c r="AI2806" s="21" t="s">
        <v>153</v>
      </c>
      <c r="AJ2806" s="21" t="s">
        <v>1148</v>
      </c>
      <c r="AK2806" s="21">
        <v>7.4580000000000002</v>
      </c>
      <c r="AL2806" s="21" t="s">
        <v>1321</v>
      </c>
      <c r="AM2806" s="21">
        <f>9.04-5.537</f>
        <v>3.5029999999999992</v>
      </c>
      <c r="AN2806" s="21">
        <v>3</v>
      </c>
      <c r="AO2806" s="21">
        <v>50</v>
      </c>
      <c r="AP2806" s="21">
        <v>15</v>
      </c>
      <c r="AQ2806" s="22" t="s">
        <v>3092</v>
      </c>
      <c r="AR2806" s="21" t="s">
        <v>1155</v>
      </c>
      <c r="AS2806" t="s">
        <v>3085</v>
      </c>
    </row>
    <row r="2807" spans="1:45" x14ac:dyDescent="0.2">
      <c r="A2807" s="21" t="s">
        <v>1685</v>
      </c>
      <c r="B2807" s="21" t="s">
        <v>1146</v>
      </c>
      <c r="C2807" s="21" t="s">
        <v>1149</v>
      </c>
      <c r="D2807" s="21" t="s">
        <v>420</v>
      </c>
      <c r="E2807" s="21" t="s">
        <v>3093</v>
      </c>
      <c r="G2807" s="21" t="s">
        <v>153</v>
      </c>
      <c r="H2807" s="21" t="s">
        <v>1165</v>
      </c>
      <c r="I2807" s="21" t="s">
        <v>3087</v>
      </c>
      <c r="J2807" s="21">
        <v>55.266666666666602</v>
      </c>
      <c r="K2807">
        <v>-128.4</v>
      </c>
      <c r="L2807">
        <v>1100</v>
      </c>
      <c r="M2807" s="21" t="s">
        <v>3034</v>
      </c>
      <c r="O2807" s="21">
        <v>1992</v>
      </c>
      <c r="Q2807" s="21" t="s">
        <v>3086</v>
      </c>
      <c r="T2807" s="21">
        <v>-20</v>
      </c>
      <c r="U2807" s="21" t="s">
        <v>1147</v>
      </c>
      <c r="X2807" s="9" t="s">
        <v>3088</v>
      </c>
      <c r="Z2807" s="22">
        <v>8</v>
      </c>
      <c r="AD2807" s="22" t="s">
        <v>1165</v>
      </c>
      <c r="AF2807" s="24" t="s">
        <v>153</v>
      </c>
      <c r="AG2807" t="s">
        <v>1160</v>
      </c>
      <c r="AH2807">
        <f t="shared" si="26"/>
        <v>4320</v>
      </c>
      <c r="AI2807" s="21" t="s">
        <v>153</v>
      </c>
      <c r="AJ2807" s="21" t="s">
        <v>1148</v>
      </c>
      <c r="AK2807" s="21">
        <v>7.91</v>
      </c>
      <c r="AL2807" s="21" t="s">
        <v>1321</v>
      </c>
      <c r="AM2807" s="21">
        <f>10.056-5.65</f>
        <v>4.4059999999999988</v>
      </c>
      <c r="AN2807" s="21">
        <v>3</v>
      </c>
      <c r="AO2807" s="21">
        <v>50</v>
      </c>
      <c r="AP2807" s="21">
        <v>18</v>
      </c>
      <c r="AQ2807" s="22" t="s">
        <v>3092</v>
      </c>
      <c r="AR2807" s="21" t="s">
        <v>1155</v>
      </c>
      <c r="AS2807" t="s">
        <v>3085</v>
      </c>
    </row>
    <row r="2808" spans="1:45" x14ac:dyDescent="0.2">
      <c r="A2808" s="21" t="s">
        <v>1685</v>
      </c>
      <c r="B2808" s="21" t="s">
        <v>1146</v>
      </c>
      <c r="C2808" s="21" t="s">
        <v>1149</v>
      </c>
      <c r="D2808" s="21" t="s">
        <v>420</v>
      </c>
      <c r="E2808" s="21" t="s">
        <v>3093</v>
      </c>
      <c r="G2808" s="21" t="s">
        <v>153</v>
      </c>
      <c r="H2808" s="21" t="s">
        <v>1165</v>
      </c>
      <c r="I2808" s="21" t="s">
        <v>3087</v>
      </c>
      <c r="J2808" s="21">
        <v>55.266666666666602</v>
      </c>
      <c r="K2808">
        <v>-128.4</v>
      </c>
      <c r="L2808">
        <v>1100</v>
      </c>
      <c r="M2808" s="21" t="s">
        <v>3034</v>
      </c>
      <c r="O2808" s="21">
        <v>1992</v>
      </c>
      <c r="Q2808" s="21" t="s">
        <v>3086</v>
      </c>
      <c r="T2808" s="21">
        <v>-20</v>
      </c>
      <c r="U2808" s="21" t="s">
        <v>1147</v>
      </c>
      <c r="X2808" s="9" t="s">
        <v>3088</v>
      </c>
      <c r="Z2808" s="22">
        <v>8</v>
      </c>
      <c r="AD2808" s="22" t="s">
        <v>1165</v>
      </c>
      <c r="AF2808" s="24" t="s">
        <v>153</v>
      </c>
      <c r="AG2808" t="s">
        <v>1160</v>
      </c>
      <c r="AH2808">
        <f t="shared" si="26"/>
        <v>4320</v>
      </c>
      <c r="AI2808" s="21" t="s">
        <v>153</v>
      </c>
      <c r="AJ2808" s="21" t="s">
        <v>1148</v>
      </c>
      <c r="AK2808" s="21">
        <v>8.3620000000000001</v>
      </c>
      <c r="AL2808" s="21" t="s">
        <v>1321</v>
      </c>
      <c r="AM2808" s="21">
        <f>10.847-5.876</f>
        <v>4.9709999999999992</v>
      </c>
      <c r="AN2808" s="21">
        <v>3</v>
      </c>
      <c r="AO2808" s="21">
        <v>50</v>
      </c>
      <c r="AP2808" s="21">
        <v>21</v>
      </c>
      <c r="AQ2808" s="22" t="s">
        <v>3092</v>
      </c>
      <c r="AR2808" s="21" t="s">
        <v>1155</v>
      </c>
      <c r="AS2808" t="s">
        <v>3085</v>
      </c>
    </row>
    <row r="2809" spans="1:45" x14ac:dyDescent="0.2">
      <c r="A2809" s="21" t="s">
        <v>1685</v>
      </c>
      <c r="B2809" s="21" t="s">
        <v>1146</v>
      </c>
      <c r="C2809" s="21" t="s">
        <v>1149</v>
      </c>
      <c r="D2809" s="21" t="s">
        <v>420</v>
      </c>
      <c r="E2809" s="21" t="s">
        <v>3093</v>
      </c>
      <c r="G2809" s="21" t="s">
        <v>153</v>
      </c>
      <c r="H2809" s="21" t="s">
        <v>1165</v>
      </c>
      <c r="I2809" s="21" t="s">
        <v>3087</v>
      </c>
      <c r="J2809" s="21">
        <v>55.266666666666602</v>
      </c>
      <c r="K2809">
        <v>-128.4</v>
      </c>
      <c r="L2809">
        <v>1100</v>
      </c>
      <c r="M2809" s="21" t="s">
        <v>3034</v>
      </c>
      <c r="O2809" s="21">
        <v>1992</v>
      </c>
      <c r="Q2809" s="21" t="s">
        <v>3086</v>
      </c>
      <c r="T2809" s="21">
        <v>-20</v>
      </c>
      <c r="U2809" s="21" t="s">
        <v>1147</v>
      </c>
      <c r="X2809" s="9" t="s">
        <v>3088</v>
      </c>
      <c r="Z2809" s="22">
        <v>8</v>
      </c>
      <c r="AD2809" s="22" t="s">
        <v>1165</v>
      </c>
      <c r="AF2809" s="24" t="s">
        <v>153</v>
      </c>
      <c r="AG2809" t="s">
        <v>1160</v>
      </c>
      <c r="AH2809">
        <f t="shared" si="26"/>
        <v>4320</v>
      </c>
      <c r="AI2809" s="21" t="s">
        <v>153</v>
      </c>
      <c r="AJ2809" s="21" t="s">
        <v>1148</v>
      </c>
      <c r="AK2809" s="21">
        <v>9.0399999999999991</v>
      </c>
      <c r="AL2809" s="21" t="s">
        <v>1321</v>
      </c>
      <c r="AM2809" s="21">
        <f>11.977-5.876</f>
        <v>6.101</v>
      </c>
      <c r="AN2809" s="21">
        <v>3</v>
      </c>
      <c r="AO2809" s="21">
        <v>50</v>
      </c>
      <c r="AP2809" s="21">
        <v>24</v>
      </c>
      <c r="AQ2809" s="22" t="s">
        <v>3092</v>
      </c>
      <c r="AR2809" s="21" t="s">
        <v>1155</v>
      </c>
      <c r="AS2809" t="s">
        <v>3085</v>
      </c>
    </row>
    <row r="2810" spans="1:45" x14ac:dyDescent="0.2">
      <c r="A2810" s="21" t="s">
        <v>1685</v>
      </c>
      <c r="B2810" s="21" t="s">
        <v>1146</v>
      </c>
      <c r="C2810" s="21" t="s">
        <v>1149</v>
      </c>
      <c r="D2810" s="21" t="s">
        <v>420</v>
      </c>
      <c r="E2810" s="21" t="s">
        <v>3093</v>
      </c>
      <c r="G2810" s="21" t="s">
        <v>153</v>
      </c>
      <c r="H2810" s="21" t="s">
        <v>1165</v>
      </c>
      <c r="I2810" s="21" t="s">
        <v>3087</v>
      </c>
      <c r="J2810" s="21">
        <v>55.266666666666602</v>
      </c>
      <c r="K2810">
        <v>-128.4</v>
      </c>
      <c r="L2810">
        <v>1100</v>
      </c>
      <c r="M2810" s="21" t="s">
        <v>3034</v>
      </c>
      <c r="O2810" s="21">
        <v>1992</v>
      </c>
      <c r="Q2810" s="21" t="s">
        <v>3086</v>
      </c>
      <c r="T2810" s="21">
        <v>-20</v>
      </c>
      <c r="U2810" s="21" t="s">
        <v>1147</v>
      </c>
      <c r="X2810" s="9" t="s">
        <v>3088</v>
      </c>
      <c r="Z2810" s="22">
        <v>8</v>
      </c>
      <c r="AD2810" s="22" t="s">
        <v>1165</v>
      </c>
      <c r="AF2810" s="24" t="s">
        <v>153</v>
      </c>
      <c r="AG2810" t="s">
        <v>1160</v>
      </c>
      <c r="AH2810">
        <f t="shared" si="26"/>
        <v>4320</v>
      </c>
      <c r="AI2810" s="21" t="s">
        <v>153</v>
      </c>
      <c r="AJ2810" s="21" t="s">
        <v>1148</v>
      </c>
      <c r="AK2810" s="21">
        <v>12.316000000000001</v>
      </c>
      <c r="AL2810" s="21" t="s">
        <v>1321</v>
      </c>
      <c r="AM2810" s="21">
        <f>14.011-10.621</f>
        <v>3.3899999999999988</v>
      </c>
      <c r="AN2810" s="21">
        <v>3</v>
      </c>
      <c r="AO2810" s="21">
        <v>50</v>
      </c>
      <c r="AP2810" s="21">
        <v>27</v>
      </c>
      <c r="AQ2810" s="22" t="s">
        <v>3092</v>
      </c>
      <c r="AR2810" s="21" t="s">
        <v>1155</v>
      </c>
      <c r="AS2810" t="s">
        <v>3085</v>
      </c>
    </row>
    <row r="2811" spans="1:45" x14ac:dyDescent="0.2">
      <c r="A2811" s="21" t="s">
        <v>1685</v>
      </c>
      <c r="B2811" s="21" t="s">
        <v>1146</v>
      </c>
      <c r="C2811" s="21" t="s">
        <v>1149</v>
      </c>
      <c r="D2811" s="21" t="s">
        <v>420</v>
      </c>
      <c r="E2811" s="21" t="s">
        <v>3093</v>
      </c>
      <c r="G2811" s="21" t="s">
        <v>153</v>
      </c>
      <c r="H2811" s="21" t="s">
        <v>1165</v>
      </c>
      <c r="I2811" s="21" t="s">
        <v>3087</v>
      </c>
      <c r="J2811" s="21">
        <v>55.266666666666602</v>
      </c>
      <c r="K2811">
        <v>-128.4</v>
      </c>
      <c r="L2811">
        <v>1100</v>
      </c>
      <c r="M2811" s="21" t="s">
        <v>3034</v>
      </c>
      <c r="O2811" s="21">
        <v>1992</v>
      </c>
      <c r="Q2811" s="21" t="s">
        <v>3086</v>
      </c>
      <c r="T2811" s="21">
        <v>-20</v>
      </c>
      <c r="U2811" s="21" t="s">
        <v>1147</v>
      </c>
      <c r="X2811" s="9" t="s">
        <v>3088</v>
      </c>
      <c r="Z2811" s="22">
        <v>8</v>
      </c>
      <c r="AD2811" s="22" t="s">
        <v>1165</v>
      </c>
      <c r="AF2811" s="24" t="s">
        <v>153</v>
      </c>
      <c r="AG2811" t="s">
        <v>1160</v>
      </c>
      <c r="AH2811">
        <f t="shared" si="26"/>
        <v>4320</v>
      </c>
      <c r="AI2811" s="21" t="s">
        <v>153</v>
      </c>
      <c r="AJ2811" s="21" t="s">
        <v>1148</v>
      </c>
      <c r="AK2811" s="21">
        <v>12.316000000000001</v>
      </c>
      <c r="AL2811" s="21" t="s">
        <v>1321</v>
      </c>
      <c r="AM2811" s="21">
        <f>14.011-10.621</f>
        <v>3.3899999999999988</v>
      </c>
      <c r="AN2811" s="21">
        <v>3</v>
      </c>
      <c r="AO2811" s="21">
        <v>50</v>
      </c>
      <c r="AP2811" s="21">
        <v>30</v>
      </c>
      <c r="AQ2811" s="22" t="s">
        <v>3092</v>
      </c>
      <c r="AR2811" s="21" t="s">
        <v>1155</v>
      </c>
      <c r="AS2811" t="s">
        <v>3085</v>
      </c>
    </row>
    <row r="2812" spans="1:45" x14ac:dyDescent="0.2">
      <c r="A2812" s="21" t="s">
        <v>1685</v>
      </c>
      <c r="B2812" s="21" t="s">
        <v>1146</v>
      </c>
      <c r="C2812" s="21" t="s">
        <v>1149</v>
      </c>
      <c r="D2812" s="21" t="s">
        <v>420</v>
      </c>
      <c r="E2812" s="21" t="s">
        <v>2027</v>
      </c>
      <c r="G2812" s="21" t="s">
        <v>153</v>
      </c>
      <c r="H2812" s="21" t="s">
        <v>1165</v>
      </c>
      <c r="I2812" s="21" t="s">
        <v>3095</v>
      </c>
      <c r="J2812" s="21">
        <v>49.466666666666598</v>
      </c>
      <c r="K2812">
        <v>-124.8</v>
      </c>
      <c r="L2812">
        <v>40</v>
      </c>
      <c r="M2812" s="21" t="s">
        <v>3034</v>
      </c>
      <c r="O2812" s="21">
        <v>1981</v>
      </c>
      <c r="Q2812" s="21" t="s">
        <v>3086</v>
      </c>
      <c r="T2812" s="21">
        <v>-20</v>
      </c>
      <c r="U2812" s="21" t="s">
        <v>1218</v>
      </c>
      <c r="V2812" s="9" t="s">
        <v>1247</v>
      </c>
      <c r="W2812">
        <f>56</f>
        <v>56</v>
      </c>
      <c r="X2812" s="9" t="s">
        <v>3088</v>
      </c>
      <c r="Z2812" s="22">
        <v>8</v>
      </c>
      <c r="AD2812" s="22" t="s">
        <v>1165</v>
      </c>
      <c r="AF2812" s="24" t="s">
        <v>153</v>
      </c>
      <c r="AG2812" t="s">
        <v>1160</v>
      </c>
      <c r="AH2812">
        <f t="shared" ref="AH2812:AH2813" si="27">24*60*3</f>
        <v>4320</v>
      </c>
      <c r="AI2812" s="21" t="s">
        <v>153</v>
      </c>
      <c r="AJ2812" s="21" t="s">
        <v>1148</v>
      </c>
      <c r="AK2812" s="21">
        <v>0</v>
      </c>
      <c r="AL2812" s="21" t="s">
        <v>1321</v>
      </c>
      <c r="AM2812" s="21">
        <v>0</v>
      </c>
      <c r="AN2812" s="21">
        <v>3</v>
      </c>
      <c r="AO2812" s="21">
        <v>50</v>
      </c>
      <c r="AP2812" s="21">
        <v>3</v>
      </c>
      <c r="AQ2812" s="22" t="s">
        <v>3016</v>
      </c>
      <c r="AR2812" s="21" t="s">
        <v>1155</v>
      </c>
      <c r="AS2812" t="s">
        <v>3085</v>
      </c>
    </row>
    <row r="2813" spans="1:45" x14ac:dyDescent="0.2">
      <c r="A2813" s="21" t="s">
        <v>1685</v>
      </c>
      <c r="B2813" s="21" t="s">
        <v>1146</v>
      </c>
      <c r="C2813" s="21" t="s">
        <v>1149</v>
      </c>
      <c r="D2813" s="21" t="s">
        <v>420</v>
      </c>
      <c r="E2813" s="21" t="s">
        <v>2027</v>
      </c>
      <c r="G2813" s="21" t="s">
        <v>153</v>
      </c>
      <c r="H2813" s="21" t="s">
        <v>1165</v>
      </c>
      <c r="I2813" s="21" t="s">
        <v>3095</v>
      </c>
      <c r="J2813" s="21">
        <v>49.466666666666598</v>
      </c>
      <c r="K2813">
        <v>-124.8</v>
      </c>
      <c r="L2813">
        <v>40</v>
      </c>
      <c r="M2813" s="21" t="s">
        <v>3034</v>
      </c>
      <c r="O2813" s="21">
        <v>1981</v>
      </c>
      <c r="Q2813" s="21" t="s">
        <v>3086</v>
      </c>
      <c r="T2813" s="21">
        <v>-20</v>
      </c>
      <c r="U2813" s="21" t="s">
        <v>1218</v>
      </c>
      <c r="V2813" s="9" t="s">
        <v>1247</v>
      </c>
      <c r="W2813">
        <f>56</f>
        <v>56</v>
      </c>
      <c r="X2813" s="9" t="s">
        <v>3088</v>
      </c>
      <c r="Z2813" s="22">
        <v>8</v>
      </c>
      <c r="AD2813" s="22" t="s">
        <v>1165</v>
      </c>
      <c r="AF2813" s="24" t="s">
        <v>153</v>
      </c>
      <c r="AG2813" t="s">
        <v>1160</v>
      </c>
      <c r="AH2813">
        <f t="shared" si="27"/>
        <v>4320</v>
      </c>
      <c r="AI2813" s="21" t="s">
        <v>153</v>
      </c>
      <c r="AJ2813" s="21" t="s">
        <v>1148</v>
      </c>
      <c r="AK2813" s="21">
        <v>0</v>
      </c>
      <c r="AL2813" s="21" t="s">
        <v>1321</v>
      </c>
      <c r="AM2813" s="21">
        <v>0</v>
      </c>
      <c r="AN2813" s="21">
        <v>3</v>
      </c>
      <c r="AO2813" s="21">
        <v>50</v>
      </c>
      <c r="AP2813" s="21">
        <v>6</v>
      </c>
      <c r="AQ2813" s="22" t="s">
        <v>3016</v>
      </c>
      <c r="AR2813" s="21" t="s">
        <v>1155</v>
      </c>
      <c r="AS2813" t="s">
        <v>3085</v>
      </c>
    </row>
    <row r="2814" spans="1:45" x14ac:dyDescent="0.2">
      <c r="A2814" s="21" t="s">
        <v>1685</v>
      </c>
      <c r="B2814" s="21" t="s">
        <v>1146</v>
      </c>
      <c r="C2814" s="21" t="s">
        <v>1149</v>
      </c>
      <c r="D2814" s="21" t="s">
        <v>420</v>
      </c>
      <c r="E2814" s="21" t="s">
        <v>2027</v>
      </c>
      <c r="G2814" s="21" t="s">
        <v>153</v>
      </c>
      <c r="H2814" s="21" t="s">
        <v>1165</v>
      </c>
      <c r="I2814" s="21" t="s">
        <v>3095</v>
      </c>
      <c r="J2814" s="21">
        <v>49.466666666666598</v>
      </c>
      <c r="K2814">
        <v>-124.8</v>
      </c>
      <c r="L2814">
        <v>40</v>
      </c>
      <c r="M2814" s="21" t="s">
        <v>3034</v>
      </c>
      <c r="O2814" s="21">
        <v>1981</v>
      </c>
      <c r="Q2814" s="21" t="s">
        <v>3086</v>
      </c>
      <c r="T2814" s="21">
        <v>-20</v>
      </c>
      <c r="U2814" s="21" t="s">
        <v>1218</v>
      </c>
      <c r="V2814" s="9" t="s">
        <v>1247</v>
      </c>
      <c r="W2814">
        <f>56</f>
        <v>56</v>
      </c>
      <c r="X2814" s="9" t="s">
        <v>3088</v>
      </c>
      <c r="Z2814" s="22">
        <v>8</v>
      </c>
      <c r="AD2814" s="22" t="s">
        <v>1165</v>
      </c>
      <c r="AF2814" s="24" t="s">
        <v>153</v>
      </c>
      <c r="AG2814" t="s">
        <v>1160</v>
      </c>
      <c r="AH2814">
        <f t="shared" ref="AH2814:AH2861" si="28">24*60*3</f>
        <v>4320</v>
      </c>
      <c r="AI2814" s="21" t="s">
        <v>153</v>
      </c>
      <c r="AJ2814" s="21" t="s">
        <v>1148</v>
      </c>
      <c r="AK2814" s="21">
        <v>0</v>
      </c>
      <c r="AL2814" s="21" t="s">
        <v>1321</v>
      </c>
      <c r="AM2814" s="21">
        <v>0</v>
      </c>
      <c r="AN2814" s="21">
        <v>3</v>
      </c>
      <c r="AO2814" s="21">
        <v>50</v>
      </c>
      <c r="AP2814" s="21">
        <v>9</v>
      </c>
      <c r="AQ2814" s="22" t="s">
        <v>3016</v>
      </c>
      <c r="AR2814" s="21" t="s">
        <v>1155</v>
      </c>
      <c r="AS2814" t="s">
        <v>3085</v>
      </c>
    </row>
    <row r="2815" spans="1:45" x14ac:dyDescent="0.2">
      <c r="A2815" s="21" t="s">
        <v>1685</v>
      </c>
      <c r="B2815" s="21" t="s">
        <v>1146</v>
      </c>
      <c r="C2815" s="21" t="s">
        <v>1149</v>
      </c>
      <c r="D2815" s="21" t="s">
        <v>420</v>
      </c>
      <c r="E2815" s="21" t="s">
        <v>2027</v>
      </c>
      <c r="G2815" s="21" t="s">
        <v>153</v>
      </c>
      <c r="H2815" s="21" t="s">
        <v>1165</v>
      </c>
      <c r="I2815" s="21" t="s">
        <v>3095</v>
      </c>
      <c r="J2815" s="21">
        <v>49.466666666666598</v>
      </c>
      <c r="K2815">
        <v>-124.8</v>
      </c>
      <c r="L2815">
        <v>40</v>
      </c>
      <c r="M2815" s="21" t="s">
        <v>3034</v>
      </c>
      <c r="O2815" s="21">
        <v>1981</v>
      </c>
      <c r="Q2815" s="21" t="s">
        <v>3086</v>
      </c>
      <c r="T2815" s="21">
        <v>-20</v>
      </c>
      <c r="U2815" s="21" t="s">
        <v>1218</v>
      </c>
      <c r="V2815" s="9" t="s">
        <v>1247</v>
      </c>
      <c r="W2815">
        <f>56</f>
        <v>56</v>
      </c>
      <c r="X2815" s="9" t="s">
        <v>3088</v>
      </c>
      <c r="Z2815" s="22">
        <v>8</v>
      </c>
      <c r="AD2815" s="22" t="s">
        <v>1165</v>
      </c>
      <c r="AF2815" s="24" t="s">
        <v>153</v>
      </c>
      <c r="AG2815" t="s">
        <v>1160</v>
      </c>
      <c r="AH2815">
        <f t="shared" si="28"/>
        <v>4320</v>
      </c>
      <c r="AI2815" s="21" t="s">
        <v>153</v>
      </c>
      <c r="AJ2815" s="21" t="s">
        <v>1148</v>
      </c>
      <c r="AK2815" s="21">
        <v>1.7350000000000001</v>
      </c>
      <c r="AL2815" s="21" t="s">
        <v>1321</v>
      </c>
      <c r="AM2815" s="21" t="s">
        <v>3003</v>
      </c>
      <c r="AN2815" s="21">
        <v>3</v>
      </c>
      <c r="AO2815" s="21">
        <v>50</v>
      </c>
      <c r="AP2815" s="21">
        <v>12</v>
      </c>
      <c r="AQ2815" s="22" t="s">
        <v>3016</v>
      </c>
      <c r="AR2815" s="21" t="s">
        <v>1155</v>
      </c>
      <c r="AS2815" t="s">
        <v>3085</v>
      </c>
    </row>
    <row r="2816" spans="1:45" x14ac:dyDescent="0.2">
      <c r="A2816" s="21" t="s">
        <v>1685</v>
      </c>
      <c r="B2816" s="21" t="s">
        <v>1146</v>
      </c>
      <c r="C2816" s="21" t="s">
        <v>1149</v>
      </c>
      <c r="D2816" s="21" t="s">
        <v>420</v>
      </c>
      <c r="E2816" s="21" t="s">
        <v>2027</v>
      </c>
      <c r="G2816" s="21" t="s">
        <v>153</v>
      </c>
      <c r="H2816" s="21" t="s">
        <v>1165</v>
      </c>
      <c r="I2816" s="21" t="s">
        <v>3095</v>
      </c>
      <c r="J2816" s="21">
        <v>49.466666666666598</v>
      </c>
      <c r="K2816">
        <v>-124.8</v>
      </c>
      <c r="L2816">
        <v>40</v>
      </c>
      <c r="M2816" s="21" t="s">
        <v>3034</v>
      </c>
      <c r="O2816" s="21">
        <v>1981</v>
      </c>
      <c r="Q2816" s="21" t="s">
        <v>3086</v>
      </c>
      <c r="T2816" s="21">
        <v>-20</v>
      </c>
      <c r="U2816" s="21" t="s">
        <v>1218</v>
      </c>
      <c r="V2816" s="9" t="s">
        <v>1247</v>
      </c>
      <c r="W2816">
        <f>56</f>
        <v>56</v>
      </c>
      <c r="X2816" s="9" t="s">
        <v>3088</v>
      </c>
      <c r="Z2816" s="22">
        <v>8</v>
      </c>
      <c r="AD2816" s="22" t="s">
        <v>1165</v>
      </c>
      <c r="AF2816" s="24" t="s">
        <v>153</v>
      </c>
      <c r="AG2816" t="s">
        <v>1160</v>
      </c>
      <c r="AH2816">
        <f t="shared" si="28"/>
        <v>4320</v>
      </c>
      <c r="AI2816" s="21" t="s">
        <v>153</v>
      </c>
      <c r="AJ2816" s="21" t="s">
        <v>1148</v>
      </c>
      <c r="AK2816" s="21">
        <v>11.02</v>
      </c>
      <c r="AL2816" s="21" t="s">
        <v>1321</v>
      </c>
      <c r="AM2816" s="21">
        <f>13.98-9.218</f>
        <v>4.7620000000000005</v>
      </c>
      <c r="AN2816" s="21">
        <v>3</v>
      </c>
      <c r="AO2816" s="21">
        <v>50</v>
      </c>
      <c r="AP2816" s="21">
        <v>15</v>
      </c>
      <c r="AQ2816" s="22" t="s">
        <v>3016</v>
      </c>
      <c r="AR2816" s="21" t="s">
        <v>1155</v>
      </c>
      <c r="AS2816" t="s">
        <v>3085</v>
      </c>
    </row>
    <row r="2817" spans="1:45" x14ac:dyDescent="0.2">
      <c r="A2817" s="21" t="s">
        <v>1685</v>
      </c>
      <c r="B2817" s="21" t="s">
        <v>1146</v>
      </c>
      <c r="C2817" s="21" t="s">
        <v>1149</v>
      </c>
      <c r="D2817" s="21" t="s">
        <v>420</v>
      </c>
      <c r="E2817" s="21" t="s">
        <v>2027</v>
      </c>
      <c r="G2817" s="21" t="s">
        <v>153</v>
      </c>
      <c r="H2817" s="21" t="s">
        <v>1165</v>
      </c>
      <c r="I2817" s="21" t="s">
        <v>3095</v>
      </c>
      <c r="J2817" s="21">
        <v>49.466666666666598</v>
      </c>
      <c r="K2817">
        <v>-124.8</v>
      </c>
      <c r="L2817">
        <v>40</v>
      </c>
      <c r="M2817" s="21" t="s">
        <v>3034</v>
      </c>
      <c r="O2817" s="21">
        <v>1981</v>
      </c>
      <c r="Q2817" s="21" t="s">
        <v>3086</v>
      </c>
      <c r="T2817" s="21">
        <v>-20</v>
      </c>
      <c r="U2817" s="21" t="s">
        <v>1218</v>
      </c>
      <c r="V2817" s="9" t="s">
        <v>1247</v>
      </c>
      <c r="W2817">
        <f>56</f>
        <v>56</v>
      </c>
      <c r="X2817" s="9" t="s">
        <v>3088</v>
      </c>
      <c r="Z2817" s="22">
        <v>8</v>
      </c>
      <c r="AD2817" s="22" t="s">
        <v>1165</v>
      </c>
      <c r="AF2817" s="24" t="s">
        <v>153</v>
      </c>
      <c r="AG2817" t="s">
        <v>1160</v>
      </c>
      <c r="AH2817">
        <f t="shared" si="28"/>
        <v>4320</v>
      </c>
      <c r="AI2817" s="21" t="s">
        <v>153</v>
      </c>
      <c r="AJ2817" s="21" t="s">
        <v>1148</v>
      </c>
      <c r="AK2817" s="21">
        <v>16.972999999999999</v>
      </c>
      <c r="AL2817" s="21" t="s">
        <v>1321</v>
      </c>
      <c r="AM2817" s="21">
        <f>19.558-14.796</f>
        <v>4.7620000000000005</v>
      </c>
      <c r="AN2817" s="21">
        <v>3</v>
      </c>
      <c r="AO2817" s="21">
        <v>50</v>
      </c>
      <c r="AP2817" s="21">
        <v>18</v>
      </c>
      <c r="AQ2817" s="22" t="s">
        <v>3016</v>
      </c>
      <c r="AR2817" s="21" t="s">
        <v>1155</v>
      </c>
      <c r="AS2817" t="s">
        <v>3085</v>
      </c>
    </row>
    <row r="2818" spans="1:45" x14ac:dyDescent="0.2">
      <c r="A2818" s="21" t="s">
        <v>1685</v>
      </c>
      <c r="B2818" s="21" t="s">
        <v>1146</v>
      </c>
      <c r="C2818" s="21" t="s">
        <v>1149</v>
      </c>
      <c r="D2818" s="21" t="s">
        <v>420</v>
      </c>
      <c r="E2818" s="21" t="s">
        <v>2027</v>
      </c>
      <c r="G2818" s="21" t="s">
        <v>153</v>
      </c>
      <c r="H2818" s="21" t="s">
        <v>1165</v>
      </c>
      <c r="I2818" s="21" t="s">
        <v>3095</v>
      </c>
      <c r="J2818" s="21">
        <v>49.466666666666598</v>
      </c>
      <c r="K2818">
        <v>-124.8</v>
      </c>
      <c r="L2818">
        <v>40</v>
      </c>
      <c r="M2818" s="21" t="s">
        <v>3034</v>
      </c>
      <c r="O2818" s="21">
        <v>1981</v>
      </c>
      <c r="Q2818" s="21" t="s">
        <v>3086</v>
      </c>
      <c r="T2818" s="21">
        <v>-20</v>
      </c>
      <c r="U2818" s="21" t="s">
        <v>1218</v>
      </c>
      <c r="V2818" s="9" t="s">
        <v>1247</v>
      </c>
      <c r="W2818">
        <f>56</f>
        <v>56</v>
      </c>
      <c r="X2818" s="9" t="s">
        <v>3088</v>
      </c>
      <c r="Z2818" s="22">
        <v>8</v>
      </c>
      <c r="AD2818" s="22" t="s">
        <v>1165</v>
      </c>
      <c r="AF2818" s="24" t="s">
        <v>153</v>
      </c>
      <c r="AG2818" t="s">
        <v>1160</v>
      </c>
      <c r="AH2818">
        <f t="shared" si="28"/>
        <v>4320</v>
      </c>
      <c r="AI2818" s="21" t="s">
        <v>153</v>
      </c>
      <c r="AJ2818" s="21" t="s">
        <v>1148</v>
      </c>
      <c r="AK2818" s="21">
        <v>34.898000000000003</v>
      </c>
      <c r="AL2818" s="21" t="s">
        <v>1321</v>
      </c>
      <c r="AM2818" s="21">
        <f>36.156-34.116</f>
        <v>2.0399999999999991</v>
      </c>
      <c r="AN2818" s="21">
        <v>3</v>
      </c>
      <c r="AO2818" s="21">
        <v>50</v>
      </c>
      <c r="AP2818" s="21">
        <v>21</v>
      </c>
      <c r="AQ2818" s="22" t="s">
        <v>3016</v>
      </c>
      <c r="AR2818" s="21" t="s">
        <v>1155</v>
      </c>
      <c r="AS2818" t="s">
        <v>3085</v>
      </c>
    </row>
    <row r="2819" spans="1:45" x14ac:dyDescent="0.2">
      <c r="A2819" s="21" t="s">
        <v>1685</v>
      </c>
      <c r="B2819" s="21" t="s">
        <v>1146</v>
      </c>
      <c r="C2819" s="21" t="s">
        <v>1149</v>
      </c>
      <c r="D2819" s="21" t="s">
        <v>420</v>
      </c>
      <c r="E2819" s="21" t="s">
        <v>2027</v>
      </c>
      <c r="G2819" s="21" t="s">
        <v>153</v>
      </c>
      <c r="H2819" s="21" t="s">
        <v>1165</v>
      </c>
      <c r="I2819" s="21" t="s">
        <v>3095</v>
      </c>
      <c r="J2819" s="21">
        <v>49.466666666666598</v>
      </c>
      <c r="K2819">
        <v>-124.8</v>
      </c>
      <c r="L2819">
        <v>40</v>
      </c>
      <c r="M2819" s="21" t="s">
        <v>3034</v>
      </c>
      <c r="O2819" s="21">
        <v>1981</v>
      </c>
      <c r="Q2819" s="21" t="s">
        <v>3086</v>
      </c>
      <c r="T2819" s="21">
        <v>-20</v>
      </c>
      <c r="U2819" s="21" t="s">
        <v>1218</v>
      </c>
      <c r="V2819" s="9" t="s">
        <v>1247</v>
      </c>
      <c r="W2819">
        <f>56</f>
        <v>56</v>
      </c>
      <c r="X2819" s="9" t="s">
        <v>3088</v>
      </c>
      <c r="Z2819" s="22">
        <v>8</v>
      </c>
      <c r="AD2819" s="22" t="s">
        <v>1165</v>
      </c>
      <c r="AF2819" s="24" t="s">
        <v>153</v>
      </c>
      <c r="AG2819" t="s">
        <v>1160</v>
      </c>
      <c r="AH2819">
        <f t="shared" si="28"/>
        <v>4320</v>
      </c>
      <c r="AI2819" s="21" t="s">
        <v>153</v>
      </c>
      <c r="AJ2819" s="21" t="s">
        <v>1148</v>
      </c>
      <c r="AK2819" s="21">
        <v>40.816000000000003</v>
      </c>
      <c r="AL2819" s="21" t="s">
        <v>1321</v>
      </c>
      <c r="AM2819">
        <f>44.864-37.789</f>
        <v>7.0749999999999957</v>
      </c>
      <c r="AN2819" s="21">
        <v>3</v>
      </c>
      <c r="AO2819" s="21">
        <v>50</v>
      </c>
      <c r="AP2819" s="21">
        <v>24</v>
      </c>
      <c r="AQ2819" s="22" t="s">
        <v>3016</v>
      </c>
      <c r="AR2819" s="21" t="s">
        <v>1155</v>
      </c>
      <c r="AS2819" t="s">
        <v>3085</v>
      </c>
    </row>
    <row r="2820" spans="1:45" x14ac:dyDescent="0.2">
      <c r="A2820" s="21" t="s">
        <v>1685</v>
      </c>
      <c r="B2820" s="21" t="s">
        <v>1146</v>
      </c>
      <c r="C2820" s="21" t="s">
        <v>1149</v>
      </c>
      <c r="D2820" s="21" t="s">
        <v>420</v>
      </c>
      <c r="E2820" s="21" t="s">
        <v>2027</v>
      </c>
      <c r="G2820" s="21" t="s">
        <v>153</v>
      </c>
      <c r="H2820" s="21" t="s">
        <v>1165</v>
      </c>
      <c r="I2820" s="21" t="s">
        <v>3095</v>
      </c>
      <c r="J2820" s="21">
        <v>49.466666666666598</v>
      </c>
      <c r="K2820">
        <v>-124.8</v>
      </c>
      <c r="L2820">
        <v>40</v>
      </c>
      <c r="M2820" s="21" t="s">
        <v>3034</v>
      </c>
      <c r="O2820" s="21">
        <v>1981</v>
      </c>
      <c r="Q2820" s="21" t="s">
        <v>3086</v>
      </c>
      <c r="T2820" s="21">
        <v>-20</v>
      </c>
      <c r="U2820" s="21" t="s">
        <v>1218</v>
      </c>
      <c r="V2820" s="9" t="s">
        <v>1247</v>
      </c>
      <c r="W2820">
        <f>56</f>
        <v>56</v>
      </c>
      <c r="X2820" s="9" t="s">
        <v>3088</v>
      </c>
      <c r="Z2820" s="22">
        <v>8</v>
      </c>
      <c r="AD2820" s="22" t="s">
        <v>1165</v>
      </c>
      <c r="AF2820" s="24" t="s">
        <v>153</v>
      </c>
      <c r="AG2820" t="s">
        <v>1160</v>
      </c>
      <c r="AH2820">
        <f t="shared" si="28"/>
        <v>4320</v>
      </c>
      <c r="AI2820" s="21" t="s">
        <v>153</v>
      </c>
      <c r="AJ2820" s="21" t="s">
        <v>1148</v>
      </c>
      <c r="AK2820" s="21">
        <v>48.162999999999997</v>
      </c>
      <c r="AL2820" s="21" t="s">
        <v>1321</v>
      </c>
      <c r="AM2820">
        <f>49.49-47.857</f>
        <v>1.6330000000000027</v>
      </c>
      <c r="AN2820" s="21">
        <v>3</v>
      </c>
      <c r="AO2820" s="21">
        <v>50</v>
      </c>
      <c r="AP2820" s="21">
        <v>27</v>
      </c>
      <c r="AQ2820" s="22" t="s">
        <v>3016</v>
      </c>
      <c r="AR2820" s="21" t="s">
        <v>1155</v>
      </c>
      <c r="AS2820" t="s">
        <v>3085</v>
      </c>
    </row>
    <row r="2821" spans="1:45" x14ac:dyDescent="0.2">
      <c r="A2821" s="21" t="s">
        <v>1685</v>
      </c>
      <c r="B2821" s="21" t="s">
        <v>1146</v>
      </c>
      <c r="C2821" s="21" t="s">
        <v>1149</v>
      </c>
      <c r="D2821" s="21" t="s">
        <v>420</v>
      </c>
      <c r="E2821" s="21" t="s">
        <v>2027</v>
      </c>
      <c r="G2821" s="21" t="s">
        <v>153</v>
      </c>
      <c r="H2821" s="21" t="s">
        <v>1165</v>
      </c>
      <c r="I2821" s="21" t="s">
        <v>3095</v>
      </c>
      <c r="J2821" s="21">
        <v>49.466666666666598</v>
      </c>
      <c r="K2821">
        <v>-124.8</v>
      </c>
      <c r="L2821">
        <v>40</v>
      </c>
      <c r="M2821" s="21" t="s">
        <v>3034</v>
      </c>
      <c r="O2821" s="21">
        <v>1981</v>
      </c>
      <c r="Q2821" s="21" t="s">
        <v>3086</v>
      </c>
      <c r="T2821" s="21">
        <v>-20</v>
      </c>
      <c r="U2821" s="21" t="s">
        <v>1218</v>
      </c>
      <c r="V2821" s="9" t="s">
        <v>1247</v>
      </c>
      <c r="W2821">
        <f>56</f>
        <v>56</v>
      </c>
      <c r="X2821" s="9" t="s">
        <v>3088</v>
      </c>
      <c r="Z2821" s="22">
        <v>8</v>
      </c>
      <c r="AD2821" s="22" t="s">
        <v>1165</v>
      </c>
      <c r="AF2821" s="24" t="s">
        <v>153</v>
      </c>
      <c r="AG2821" t="s">
        <v>1160</v>
      </c>
      <c r="AH2821">
        <f t="shared" si="28"/>
        <v>4320</v>
      </c>
      <c r="AI2821" s="21" t="s">
        <v>153</v>
      </c>
      <c r="AJ2821" s="21" t="s">
        <v>1148</v>
      </c>
      <c r="AK2821" s="21">
        <v>53.061</v>
      </c>
      <c r="AL2821" s="21" t="s">
        <v>1321</v>
      </c>
      <c r="AM2821">
        <f>54.388-52.483</f>
        <v>1.9050000000000011</v>
      </c>
      <c r="AN2821" s="21">
        <v>3</v>
      </c>
      <c r="AO2821" s="21">
        <v>50</v>
      </c>
      <c r="AP2821" s="21">
        <v>30</v>
      </c>
      <c r="AQ2821" s="22" t="s">
        <v>3016</v>
      </c>
      <c r="AR2821" s="21" t="s">
        <v>1155</v>
      </c>
      <c r="AS2821" t="s">
        <v>3085</v>
      </c>
    </row>
    <row r="2822" spans="1:45" x14ac:dyDescent="0.2">
      <c r="A2822" s="21" t="s">
        <v>1685</v>
      </c>
      <c r="B2822" s="21" t="s">
        <v>1146</v>
      </c>
      <c r="C2822" s="21" t="s">
        <v>1149</v>
      </c>
      <c r="D2822" s="21" t="s">
        <v>420</v>
      </c>
      <c r="E2822" s="21" t="s">
        <v>2027</v>
      </c>
      <c r="G2822" s="21" t="s">
        <v>153</v>
      </c>
      <c r="H2822" s="21" t="s">
        <v>1165</v>
      </c>
      <c r="I2822" s="21" t="s">
        <v>3095</v>
      </c>
      <c r="J2822" s="21">
        <v>49.466666666666598</v>
      </c>
      <c r="K2822">
        <v>-124.8</v>
      </c>
      <c r="L2822">
        <v>40</v>
      </c>
      <c r="M2822" s="21" t="s">
        <v>3034</v>
      </c>
      <c r="O2822" s="21">
        <v>1981</v>
      </c>
      <c r="Q2822" s="21" t="s">
        <v>3086</v>
      </c>
      <c r="T2822" s="21">
        <v>-20</v>
      </c>
      <c r="U2822" s="21" t="s">
        <v>1218</v>
      </c>
      <c r="V2822" s="9" t="s">
        <v>1247</v>
      </c>
      <c r="W2822">
        <f>56</f>
        <v>56</v>
      </c>
      <c r="X2822" s="9" t="s">
        <v>3088</v>
      </c>
      <c r="Y2822" t="s">
        <v>3089</v>
      </c>
      <c r="Z2822" s="22">
        <v>8</v>
      </c>
      <c r="AD2822" s="22" t="s">
        <v>1165</v>
      </c>
      <c r="AF2822" s="24" t="s">
        <v>153</v>
      </c>
      <c r="AG2822" t="s">
        <v>1160</v>
      </c>
      <c r="AH2822">
        <f t="shared" si="28"/>
        <v>4320</v>
      </c>
      <c r="AI2822" s="21" t="s">
        <v>153</v>
      </c>
      <c r="AJ2822" s="21" t="s">
        <v>1148</v>
      </c>
      <c r="AK2822" s="21">
        <v>0</v>
      </c>
      <c r="AL2822" s="21" t="s">
        <v>1321</v>
      </c>
      <c r="AM2822">
        <v>0</v>
      </c>
      <c r="AN2822" s="21">
        <v>3</v>
      </c>
      <c r="AO2822" s="21">
        <v>50</v>
      </c>
      <c r="AP2822" s="21">
        <v>3</v>
      </c>
      <c r="AQ2822" s="22" t="s">
        <v>3016</v>
      </c>
      <c r="AR2822" s="21" t="s">
        <v>1155</v>
      </c>
      <c r="AS2822" t="s">
        <v>3085</v>
      </c>
    </row>
    <row r="2823" spans="1:45" x14ac:dyDescent="0.2">
      <c r="A2823" s="21" t="s">
        <v>1685</v>
      </c>
      <c r="B2823" s="21" t="s">
        <v>1146</v>
      </c>
      <c r="C2823" s="21" t="s">
        <v>1149</v>
      </c>
      <c r="D2823" s="21" t="s">
        <v>420</v>
      </c>
      <c r="E2823" s="21" t="s">
        <v>2027</v>
      </c>
      <c r="G2823" s="21" t="s">
        <v>153</v>
      </c>
      <c r="H2823" s="21" t="s">
        <v>1165</v>
      </c>
      <c r="I2823" s="21" t="s">
        <v>3095</v>
      </c>
      <c r="J2823" s="21">
        <v>49.466666666666598</v>
      </c>
      <c r="K2823">
        <v>-124.8</v>
      </c>
      <c r="L2823">
        <v>40</v>
      </c>
      <c r="M2823" s="21" t="s">
        <v>3034</v>
      </c>
      <c r="O2823" s="21">
        <v>1981</v>
      </c>
      <c r="Q2823" s="21" t="s">
        <v>3086</v>
      </c>
      <c r="T2823" s="21">
        <v>-20</v>
      </c>
      <c r="U2823" s="21" t="s">
        <v>1218</v>
      </c>
      <c r="V2823" s="9" t="s">
        <v>1247</v>
      </c>
      <c r="W2823">
        <f>56</f>
        <v>56</v>
      </c>
      <c r="X2823" s="9" t="s">
        <v>3088</v>
      </c>
      <c r="Y2823" t="s">
        <v>3089</v>
      </c>
      <c r="Z2823" s="22">
        <v>8</v>
      </c>
      <c r="AD2823" s="22" t="s">
        <v>1165</v>
      </c>
      <c r="AF2823" s="24" t="s">
        <v>153</v>
      </c>
      <c r="AG2823" t="s">
        <v>1160</v>
      </c>
      <c r="AH2823">
        <f t="shared" si="28"/>
        <v>4320</v>
      </c>
      <c r="AI2823" s="21" t="s">
        <v>153</v>
      </c>
      <c r="AJ2823" s="21" t="s">
        <v>1148</v>
      </c>
      <c r="AK2823" s="21">
        <v>0</v>
      </c>
      <c r="AL2823" s="21" t="s">
        <v>1321</v>
      </c>
      <c r="AM2823">
        <v>0</v>
      </c>
      <c r="AN2823" s="21">
        <v>3</v>
      </c>
      <c r="AO2823" s="21">
        <v>50</v>
      </c>
      <c r="AP2823" s="21">
        <v>6</v>
      </c>
      <c r="AQ2823" s="22" t="s">
        <v>3016</v>
      </c>
      <c r="AR2823" s="21" t="s">
        <v>1155</v>
      </c>
      <c r="AS2823" t="s">
        <v>3085</v>
      </c>
    </row>
    <row r="2824" spans="1:45" x14ac:dyDescent="0.2">
      <c r="A2824" s="21" t="s">
        <v>1685</v>
      </c>
      <c r="B2824" s="21" t="s">
        <v>1146</v>
      </c>
      <c r="C2824" s="21" t="s">
        <v>1149</v>
      </c>
      <c r="D2824" s="21" t="s">
        <v>420</v>
      </c>
      <c r="E2824" s="21" t="s">
        <v>2027</v>
      </c>
      <c r="G2824" s="21" t="s">
        <v>153</v>
      </c>
      <c r="H2824" s="21" t="s">
        <v>1165</v>
      </c>
      <c r="I2824" s="21" t="s">
        <v>3095</v>
      </c>
      <c r="J2824" s="21">
        <v>49.466666666666598</v>
      </c>
      <c r="K2824">
        <v>-124.8</v>
      </c>
      <c r="L2824">
        <v>40</v>
      </c>
      <c r="M2824" s="21" t="s">
        <v>3034</v>
      </c>
      <c r="O2824" s="21">
        <v>1981</v>
      </c>
      <c r="Q2824" s="21" t="s">
        <v>3086</v>
      </c>
      <c r="T2824" s="21">
        <v>-20</v>
      </c>
      <c r="U2824" s="21" t="s">
        <v>1218</v>
      </c>
      <c r="V2824" s="9" t="s">
        <v>1247</v>
      </c>
      <c r="W2824">
        <f>56</f>
        <v>56</v>
      </c>
      <c r="X2824" s="9" t="s">
        <v>3088</v>
      </c>
      <c r="Y2824" t="s">
        <v>3089</v>
      </c>
      <c r="Z2824" s="22">
        <v>8</v>
      </c>
      <c r="AD2824" s="22" t="s">
        <v>1165</v>
      </c>
      <c r="AF2824" s="24" t="s">
        <v>153</v>
      </c>
      <c r="AG2824" t="s">
        <v>1160</v>
      </c>
      <c r="AH2824">
        <f t="shared" si="28"/>
        <v>4320</v>
      </c>
      <c r="AI2824" s="21" t="s">
        <v>153</v>
      </c>
      <c r="AJ2824" s="21" t="s">
        <v>1148</v>
      </c>
      <c r="AK2824" s="21">
        <v>0</v>
      </c>
      <c r="AL2824" s="21" t="s">
        <v>1321</v>
      </c>
      <c r="AM2824">
        <v>0</v>
      </c>
      <c r="AN2824" s="21">
        <v>3</v>
      </c>
      <c r="AO2824" s="21">
        <v>50</v>
      </c>
      <c r="AP2824" s="21">
        <v>9</v>
      </c>
      <c r="AQ2824" s="22" t="s">
        <v>3016</v>
      </c>
      <c r="AR2824" s="21" t="s">
        <v>1155</v>
      </c>
      <c r="AS2824" t="s">
        <v>3085</v>
      </c>
    </row>
    <row r="2825" spans="1:45" x14ac:dyDescent="0.2">
      <c r="A2825" s="21" t="s">
        <v>1685</v>
      </c>
      <c r="B2825" s="21" t="s">
        <v>1146</v>
      </c>
      <c r="C2825" s="21" t="s">
        <v>1149</v>
      </c>
      <c r="D2825" s="21" t="s">
        <v>420</v>
      </c>
      <c r="E2825" s="21" t="s">
        <v>2027</v>
      </c>
      <c r="G2825" s="21" t="s">
        <v>153</v>
      </c>
      <c r="H2825" s="21" t="s">
        <v>1165</v>
      </c>
      <c r="I2825" s="21" t="s">
        <v>3095</v>
      </c>
      <c r="J2825" s="21">
        <v>49.466666666666598</v>
      </c>
      <c r="K2825">
        <v>-124.8</v>
      </c>
      <c r="L2825">
        <v>40</v>
      </c>
      <c r="M2825" s="21" t="s">
        <v>3034</v>
      </c>
      <c r="O2825" s="21">
        <v>1981</v>
      </c>
      <c r="Q2825" s="21" t="s">
        <v>3086</v>
      </c>
      <c r="T2825" s="21">
        <v>-20</v>
      </c>
      <c r="U2825" s="21" t="s">
        <v>1218</v>
      </c>
      <c r="V2825" s="9" t="s">
        <v>1247</v>
      </c>
      <c r="W2825">
        <f>56</f>
        <v>56</v>
      </c>
      <c r="X2825" s="9" t="s">
        <v>3088</v>
      </c>
      <c r="Y2825" t="s">
        <v>3089</v>
      </c>
      <c r="Z2825" s="22">
        <v>8</v>
      </c>
      <c r="AD2825" s="22" t="s">
        <v>1165</v>
      </c>
      <c r="AF2825" s="24" t="s">
        <v>153</v>
      </c>
      <c r="AG2825" t="s">
        <v>1160</v>
      </c>
      <c r="AH2825">
        <f t="shared" si="28"/>
        <v>4320</v>
      </c>
      <c r="AI2825" s="21" t="s">
        <v>153</v>
      </c>
      <c r="AJ2825" s="21" t="s">
        <v>1148</v>
      </c>
      <c r="AK2825" s="21">
        <v>5.306</v>
      </c>
      <c r="AL2825" s="21" t="s">
        <v>1321</v>
      </c>
      <c r="AM2825" s="21" t="s">
        <v>3003</v>
      </c>
      <c r="AN2825" s="21">
        <v>3</v>
      </c>
      <c r="AO2825" s="21">
        <v>50</v>
      </c>
      <c r="AP2825" s="21">
        <v>12</v>
      </c>
      <c r="AQ2825" s="22" t="s">
        <v>3016</v>
      </c>
      <c r="AR2825" s="21" t="s">
        <v>1155</v>
      </c>
      <c r="AS2825" t="s">
        <v>3085</v>
      </c>
    </row>
    <row r="2826" spans="1:45" x14ac:dyDescent="0.2">
      <c r="A2826" s="21" t="s">
        <v>1685</v>
      </c>
      <c r="B2826" s="21" t="s">
        <v>1146</v>
      </c>
      <c r="C2826" s="21" t="s">
        <v>1149</v>
      </c>
      <c r="D2826" s="21" t="s">
        <v>420</v>
      </c>
      <c r="E2826" s="21" t="s">
        <v>2027</v>
      </c>
      <c r="G2826" s="21" t="s">
        <v>153</v>
      </c>
      <c r="H2826" s="21" t="s">
        <v>1165</v>
      </c>
      <c r="I2826" s="21" t="s">
        <v>3095</v>
      </c>
      <c r="J2826" s="21">
        <v>49.466666666666598</v>
      </c>
      <c r="K2826">
        <v>-124.8</v>
      </c>
      <c r="L2826">
        <v>40</v>
      </c>
      <c r="M2826" s="21" t="s">
        <v>3034</v>
      </c>
      <c r="O2826" s="21">
        <v>1981</v>
      </c>
      <c r="Q2826" s="21" t="s">
        <v>3086</v>
      </c>
      <c r="T2826" s="21">
        <v>-20</v>
      </c>
      <c r="U2826" s="21" t="s">
        <v>1218</v>
      </c>
      <c r="V2826" s="9" t="s">
        <v>1247</v>
      </c>
      <c r="W2826">
        <f>56</f>
        <v>56</v>
      </c>
      <c r="X2826" s="9" t="s">
        <v>3088</v>
      </c>
      <c r="Y2826" t="s">
        <v>3089</v>
      </c>
      <c r="Z2826" s="22">
        <v>8</v>
      </c>
      <c r="AD2826" s="22" t="s">
        <v>1165</v>
      </c>
      <c r="AF2826" s="24" t="s">
        <v>153</v>
      </c>
      <c r="AG2826" t="s">
        <v>1160</v>
      </c>
      <c r="AH2826">
        <f t="shared" si="28"/>
        <v>4320</v>
      </c>
      <c r="AI2826" s="21" t="s">
        <v>153</v>
      </c>
      <c r="AJ2826" s="21" t="s">
        <v>1148</v>
      </c>
      <c r="AK2826" s="21">
        <v>24.693999999999999</v>
      </c>
      <c r="AL2826" s="21" t="s">
        <v>1321</v>
      </c>
      <c r="AM2826" s="21">
        <f>25.544-23.912</f>
        <v>1.6320000000000014</v>
      </c>
      <c r="AN2826" s="21">
        <v>3</v>
      </c>
      <c r="AO2826" s="21">
        <v>50</v>
      </c>
      <c r="AP2826" s="21">
        <v>15</v>
      </c>
      <c r="AQ2826" s="22" t="s">
        <v>3016</v>
      </c>
      <c r="AR2826" s="21" t="s">
        <v>1155</v>
      </c>
      <c r="AS2826" t="s">
        <v>3085</v>
      </c>
    </row>
    <row r="2827" spans="1:45" x14ac:dyDescent="0.2">
      <c r="A2827" s="21" t="s">
        <v>1685</v>
      </c>
      <c r="B2827" s="21" t="s">
        <v>1146</v>
      </c>
      <c r="C2827" s="21" t="s">
        <v>1149</v>
      </c>
      <c r="D2827" s="21" t="s">
        <v>420</v>
      </c>
      <c r="E2827" s="21" t="s">
        <v>2027</v>
      </c>
      <c r="G2827" s="21" t="s">
        <v>153</v>
      </c>
      <c r="H2827" s="21" t="s">
        <v>1165</v>
      </c>
      <c r="I2827" s="21" t="s">
        <v>3095</v>
      </c>
      <c r="J2827" s="21">
        <v>49.466666666666598</v>
      </c>
      <c r="K2827">
        <v>-124.8</v>
      </c>
      <c r="L2827">
        <v>40</v>
      </c>
      <c r="M2827" s="21" t="s">
        <v>3034</v>
      </c>
      <c r="O2827" s="21">
        <v>1981</v>
      </c>
      <c r="Q2827" s="21" t="s">
        <v>3086</v>
      </c>
      <c r="T2827" s="21">
        <v>-20</v>
      </c>
      <c r="U2827" s="21" t="s">
        <v>1218</v>
      </c>
      <c r="V2827" s="9" t="s">
        <v>1247</v>
      </c>
      <c r="W2827">
        <f>56</f>
        <v>56</v>
      </c>
      <c r="X2827" s="9" t="s">
        <v>3088</v>
      </c>
      <c r="Y2827" t="s">
        <v>3089</v>
      </c>
      <c r="Z2827" s="22">
        <v>8</v>
      </c>
      <c r="AD2827" s="22" t="s">
        <v>1165</v>
      </c>
      <c r="AF2827" s="24" t="s">
        <v>153</v>
      </c>
      <c r="AG2827" t="s">
        <v>1160</v>
      </c>
      <c r="AH2827">
        <f t="shared" si="28"/>
        <v>4320</v>
      </c>
      <c r="AI2827" s="21" t="s">
        <v>153</v>
      </c>
      <c r="AJ2827" s="21" t="s">
        <v>1148</v>
      </c>
      <c r="AK2827" s="21">
        <v>39.387999999999998</v>
      </c>
      <c r="AL2827" s="21" t="s">
        <v>1321</v>
      </c>
      <c r="AM2827" s="21">
        <f>42.007-36.701</f>
        <v>5.3059999999999974</v>
      </c>
      <c r="AN2827" s="21">
        <v>3</v>
      </c>
      <c r="AO2827" s="21">
        <v>50</v>
      </c>
      <c r="AP2827" s="21">
        <v>18</v>
      </c>
      <c r="AQ2827" s="22" t="s">
        <v>3016</v>
      </c>
      <c r="AR2827" s="21" t="s">
        <v>1155</v>
      </c>
      <c r="AS2827" t="s">
        <v>3085</v>
      </c>
    </row>
    <row r="2828" spans="1:45" x14ac:dyDescent="0.2">
      <c r="A2828" s="21" t="s">
        <v>1685</v>
      </c>
      <c r="B2828" s="21" t="s">
        <v>1146</v>
      </c>
      <c r="C2828" s="21" t="s">
        <v>1149</v>
      </c>
      <c r="D2828" s="21" t="s">
        <v>420</v>
      </c>
      <c r="E2828" s="21" t="s">
        <v>2027</v>
      </c>
      <c r="G2828" s="21" t="s">
        <v>153</v>
      </c>
      <c r="H2828" s="21" t="s">
        <v>1165</v>
      </c>
      <c r="I2828" s="21" t="s">
        <v>3095</v>
      </c>
      <c r="J2828" s="21">
        <v>49.466666666666598</v>
      </c>
      <c r="K2828">
        <v>-124.8</v>
      </c>
      <c r="L2828">
        <v>40</v>
      </c>
      <c r="M2828" s="21" t="s">
        <v>3034</v>
      </c>
      <c r="O2828" s="21">
        <v>1981</v>
      </c>
      <c r="Q2828" s="21" t="s">
        <v>3086</v>
      </c>
      <c r="T2828" s="21">
        <v>-20</v>
      </c>
      <c r="U2828" s="21" t="s">
        <v>1218</v>
      </c>
      <c r="V2828" s="9" t="s">
        <v>1247</v>
      </c>
      <c r="W2828">
        <f>56</f>
        <v>56</v>
      </c>
      <c r="X2828" s="9" t="s">
        <v>3088</v>
      </c>
      <c r="Y2828" t="s">
        <v>3089</v>
      </c>
      <c r="Z2828" s="22">
        <v>8</v>
      </c>
      <c r="AD2828" s="22" t="s">
        <v>1165</v>
      </c>
      <c r="AF2828" s="24" t="s">
        <v>153</v>
      </c>
      <c r="AG2828" t="s">
        <v>1160</v>
      </c>
      <c r="AH2828">
        <f t="shared" si="28"/>
        <v>4320</v>
      </c>
      <c r="AI2828" s="21" t="s">
        <v>153</v>
      </c>
      <c r="AJ2828" s="21" t="s">
        <v>1148</v>
      </c>
      <c r="AK2828" s="21">
        <v>62.040999999999997</v>
      </c>
      <c r="AL2828" s="21" t="s">
        <v>1321</v>
      </c>
      <c r="AM2828" s="21" t="s">
        <v>3003</v>
      </c>
      <c r="AN2828" s="21">
        <v>3</v>
      </c>
      <c r="AO2828" s="21">
        <v>50</v>
      </c>
      <c r="AP2828" s="21">
        <v>21</v>
      </c>
      <c r="AQ2828" s="22" t="s">
        <v>3016</v>
      </c>
      <c r="AR2828" s="21" t="s">
        <v>1155</v>
      </c>
      <c r="AS2828" t="s">
        <v>3085</v>
      </c>
    </row>
    <row r="2829" spans="1:45" x14ac:dyDescent="0.2">
      <c r="A2829" s="21" t="s">
        <v>1685</v>
      </c>
      <c r="B2829" s="21" t="s">
        <v>1146</v>
      </c>
      <c r="C2829" s="21" t="s">
        <v>1149</v>
      </c>
      <c r="D2829" s="21" t="s">
        <v>420</v>
      </c>
      <c r="E2829" s="21" t="s">
        <v>2027</v>
      </c>
      <c r="G2829" s="21" t="s">
        <v>153</v>
      </c>
      <c r="H2829" s="21" t="s">
        <v>1165</v>
      </c>
      <c r="I2829" s="21" t="s">
        <v>3095</v>
      </c>
      <c r="J2829" s="21">
        <v>49.466666666666598</v>
      </c>
      <c r="K2829">
        <v>-124.8</v>
      </c>
      <c r="L2829">
        <v>40</v>
      </c>
      <c r="M2829" s="21" t="s">
        <v>3034</v>
      </c>
      <c r="O2829" s="21">
        <v>1981</v>
      </c>
      <c r="Q2829" s="21" t="s">
        <v>3086</v>
      </c>
      <c r="T2829" s="21">
        <v>-20</v>
      </c>
      <c r="U2829" s="21" t="s">
        <v>1218</v>
      </c>
      <c r="V2829" s="9" t="s">
        <v>1247</v>
      </c>
      <c r="W2829">
        <f>56</f>
        <v>56</v>
      </c>
      <c r="X2829" s="9" t="s">
        <v>3088</v>
      </c>
      <c r="Y2829" t="s">
        <v>3089</v>
      </c>
      <c r="Z2829" s="22">
        <v>8</v>
      </c>
      <c r="AD2829" s="22" t="s">
        <v>1165</v>
      </c>
      <c r="AF2829" s="24" t="s">
        <v>153</v>
      </c>
      <c r="AG2829" t="s">
        <v>1160</v>
      </c>
      <c r="AH2829">
        <f t="shared" si="28"/>
        <v>4320</v>
      </c>
      <c r="AI2829" s="21" t="s">
        <v>153</v>
      </c>
      <c r="AJ2829" s="21" t="s">
        <v>1148</v>
      </c>
      <c r="AK2829" s="21">
        <v>69.897999999999996</v>
      </c>
      <c r="AL2829" s="21" t="s">
        <v>1321</v>
      </c>
      <c r="AM2829" s="21" t="s">
        <v>3003</v>
      </c>
      <c r="AN2829" s="21">
        <v>3</v>
      </c>
      <c r="AO2829" s="21">
        <v>50</v>
      </c>
      <c r="AP2829" s="21">
        <v>24</v>
      </c>
      <c r="AQ2829" s="22" t="s">
        <v>3016</v>
      </c>
      <c r="AR2829" s="21" t="s">
        <v>1155</v>
      </c>
      <c r="AS2829" t="s">
        <v>3085</v>
      </c>
    </row>
    <row r="2830" spans="1:45" x14ac:dyDescent="0.2">
      <c r="A2830" s="21" t="s">
        <v>1685</v>
      </c>
      <c r="B2830" s="21" t="s">
        <v>1146</v>
      </c>
      <c r="C2830" s="21" t="s">
        <v>1149</v>
      </c>
      <c r="D2830" s="21" t="s">
        <v>420</v>
      </c>
      <c r="E2830" s="21" t="s">
        <v>2027</v>
      </c>
      <c r="G2830" s="21" t="s">
        <v>153</v>
      </c>
      <c r="H2830" s="21" t="s">
        <v>1165</v>
      </c>
      <c r="I2830" s="21" t="s">
        <v>3095</v>
      </c>
      <c r="J2830" s="21">
        <v>49.466666666666598</v>
      </c>
      <c r="K2830">
        <v>-124.8</v>
      </c>
      <c r="L2830">
        <v>40</v>
      </c>
      <c r="M2830" s="21" t="s">
        <v>3034</v>
      </c>
      <c r="O2830" s="21">
        <v>1981</v>
      </c>
      <c r="Q2830" s="21" t="s">
        <v>3086</v>
      </c>
      <c r="T2830" s="21">
        <v>-20</v>
      </c>
      <c r="U2830" s="21" t="s">
        <v>1218</v>
      </c>
      <c r="V2830" s="9" t="s">
        <v>1247</v>
      </c>
      <c r="W2830">
        <f>56</f>
        <v>56</v>
      </c>
      <c r="X2830" s="9" t="s">
        <v>3088</v>
      </c>
      <c r="Y2830" t="s">
        <v>3089</v>
      </c>
      <c r="Z2830" s="22">
        <v>8</v>
      </c>
      <c r="AD2830" s="22" t="s">
        <v>1165</v>
      </c>
      <c r="AF2830" s="24" t="s">
        <v>153</v>
      </c>
      <c r="AG2830" t="s">
        <v>1160</v>
      </c>
      <c r="AH2830">
        <f t="shared" si="28"/>
        <v>4320</v>
      </c>
      <c r="AI2830" s="21" t="s">
        <v>153</v>
      </c>
      <c r="AJ2830" s="21" t="s">
        <v>1148</v>
      </c>
      <c r="AK2830" s="21">
        <v>73.706999999999994</v>
      </c>
      <c r="AL2830" s="21" t="s">
        <v>1321</v>
      </c>
      <c r="AM2830" s="21" t="s">
        <v>3003</v>
      </c>
      <c r="AN2830" s="21">
        <v>3</v>
      </c>
      <c r="AO2830" s="21">
        <v>50</v>
      </c>
      <c r="AP2830" s="21">
        <v>27</v>
      </c>
      <c r="AQ2830" s="22" t="s">
        <v>3016</v>
      </c>
      <c r="AR2830" s="21" t="s">
        <v>1155</v>
      </c>
      <c r="AS2830" t="s">
        <v>3085</v>
      </c>
    </row>
    <row r="2831" spans="1:45" x14ac:dyDescent="0.2">
      <c r="A2831" s="21" t="s">
        <v>1685</v>
      </c>
      <c r="B2831" s="21" t="s">
        <v>1146</v>
      </c>
      <c r="C2831" s="21" t="s">
        <v>1149</v>
      </c>
      <c r="D2831" s="21" t="s">
        <v>420</v>
      </c>
      <c r="E2831" s="21" t="s">
        <v>2027</v>
      </c>
      <c r="G2831" s="21" t="s">
        <v>153</v>
      </c>
      <c r="H2831" s="21" t="s">
        <v>1165</v>
      </c>
      <c r="I2831" s="21" t="s">
        <v>3095</v>
      </c>
      <c r="J2831" s="21">
        <v>49.466666666666598</v>
      </c>
      <c r="K2831">
        <v>-124.8</v>
      </c>
      <c r="L2831">
        <v>40</v>
      </c>
      <c r="M2831" s="21" t="s">
        <v>3034</v>
      </c>
      <c r="O2831" s="21">
        <v>1981</v>
      </c>
      <c r="Q2831" s="21" t="s">
        <v>3086</v>
      </c>
      <c r="T2831" s="21">
        <v>-20</v>
      </c>
      <c r="U2831" s="21" t="s">
        <v>1218</v>
      </c>
      <c r="V2831" s="9" t="s">
        <v>1247</v>
      </c>
      <c r="W2831">
        <f>56</f>
        <v>56</v>
      </c>
      <c r="X2831" s="9" t="s">
        <v>3088</v>
      </c>
      <c r="Y2831" t="s">
        <v>3089</v>
      </c>
      <c r="Z2831" s="22">
        <v>8</v>
      </c>
      <c r="AD2831" s="22" t="s">
        <v>1165</v>
      </c>
      <c r="AF2831" s="24" t="s">
        <v>153</v>
      </c>
      <c r="AG2831" t="s">
        <v>1160</v>
      </c>
      <c r="AH2831">
        <f t="shared" si="28"/>
        <v>4320</v>
      </c>
      <c r="AI2831" s="21" t="s">
        <v>153</v>
      </c>
      <c r="AJ2831" s="21" t="s">
        <v>1148</v>
      </c>
      <c r="AK2831" s="21">
        <v>77.754999999999995</v>
      </c>
      <c r="AL2831" s="21" t="s">
        <v>1321</v>
      </c>
      <c r="AM2831" s="21" t="s">
        <v>3003</v>
      </c>
      <c r="AN2831" s="21">
        <v>3</v>
      </c>
      <c r="AO2831" s="21">
        <v>50</v>
      </c>
      <c r="AP2831" s="21">
        <v>30</v>
      </c>
      <c r="AQ2831" s="22" t="s">
        <v>3016</v>
      </c>
      <c r="AR2831" s="21" t="s">
        <v>1155</v>
      </c>
      <c r="AS2831" t="s">
        <v>3085</v>
      </c>
    </row>
    <row r="2832" spans="1:45" x14ac:dyDescent="0.2">
      <c r="A2832" s="21" t="s">
        <v>1685</v>
      </c>
      <c r="B2832" s="21" t="s">
        <v>1146</v>
      </c>
      <c r="C2832" s="21" t="s">
        <v>1149</v>
      </c>
      <c r="D2832" s="21" t="s">
        <v>420</v>
      </c>
      <c r="E2832" s="21" t="s">
        <v>2027</v>
      </c>
      <c r="G2832" s="21" t="s">
        <v>153</v>
      </c>
      <c r="H2832" s="21" t="s">
        <v>1165</v>
      </c>
      <c r="I2832" s="21" t="s">
        <v>3095</v>
      </c>
      <c r="J2832" s="21">
        <v>49.466666666666598</v>
      </c>
      <c r="K2832">
        <v>-124.8</v>
      </c>
      <c r="L2832">
        <v>40</v>
      </c>
      <c r="M2832" s="21" t="s">
        <v>3034</v>
      </c>
      <c r="O2832" s="21">
        <v>1981</v>
      </c>
      <c r="Q2832" s="21" t="s">
        <v>3086</v>
      </c>
      <c r="T2832" s="21">
        <v>-20</v>
      </c>
      <c r="U2832" s="21" t="s">
        <v>1218</v>
      </c>
      <c r="V2832" s="9" t="s">
        <v>1247</v>
      </c>
      <c r="W2832">
        <f>56</f>
        <v>56</v>
      </c>
      <c r="X2832" s="9" t="s">
        <v>3088</v>
      </c>
      <c r="Y2832" t="s">
        <v>3090</v>
      </c>
      <c r="Z2832" s="22">
        <v>8</v>
      </c>
      <c r="AD2832" s="22" t="s">
        <v>1165</v>
      </c>
      <c r="AF2832" s="24" t="s">
        <v>153</v>
      </c>
      <c r="AG2832" t="s">
        <v>1160</v>
      </c>
      <c r="AH2832">
        <f t="shared" si="28"/>
        <v>4320</v>
      </c>
      <c r="AI2832" s="21" t="s">
        <v>153</v>
      </c>
      <c r="AJ2832" s="21" t="s">
        <v>1148</v>
      </c>
      <c r="AK2832" s="21">
        <v>0</v>
      </c>
      <c r="AL2832" s="21" t="s">
        <v>1321</v>
      </c>
      <c r="AM2832" s="21">
        <v>0</v>
      </c>
      <c r="AN2832" s="21">
        <v>3</v>
      </c>
      <c r="AO2832" s="21">
        <v>50</v>
      </c>
      <c r="AP2832" s="21">
        <v>3</v>
      </c>
      <c r="AQ2832" s="22" t="s">
        <v>3016</v>
      </c>
      <c r="AR2832" s="21" t="s">
        <v>1155</v>
      </c>
      <c r="AS2832" t="s">
        <v>3085</v>
      </c>
    </row>
    <row r="2833" spans="1:45" x14ac:dyDescent="0.2">
      <c r="A2833" s="21" t="s">
        <v>1685</v>
      </c>
      <c r="B2833" s="21" t="s">
        <v>1146</v>
      </c>
      <c r="C2833" s="21" t="s">
        <v>1149</v>
      </c>
      <c r="D2833" s="21" t="s">
        <v>420</v>
      </c>
      <c r="E2833" s="21" t="s">
        <v>2027</v>
      </c>
      <c r="G2833" s="21" t="s">
        <v>153</v>
      </c>
      <c r="H2833" s="21" t="s">
        <v>1165</v>
      </c>
      <c r="I2833" s="21" t="s">
        <v>3095</v>
      </c>
      <c r="J2833" s="21">
        <v>49.466666666666598</v>
      </c>
      <c r="K2833">
        <v>-124.8</v>
      </c>
      <c r="L2833">
        <v>40</v>
      </c>
      <c r="M2833" s="21" t="s">
        <v>3034</v>
      </c>
      <c r="O2833" s="21">
        <v>1981</v>
      </c>
      <c r="Q2833" s="21" t="s">
        <v>3086</v>
      </c>
      <c r="T2833" s="21">
        <v>-20</v>
      </c>
      <c r="U2833" s="21" t="s">
        <v>1218</v>
      </c>
      <c r="V2833" s="9" t="s">
        <v>1247</v>
      </c>
      <c r="W2833">
        <f>56</f>
        <v>56</v>
      </c>
      <c r="X2833" s="9" t="s">
        <v>3088</v>
      </c>
      <c r="Y2833" t="s">
        <v>3090</v>
      </c>
      <c r="Z2833" s="22">
        <v>8</v>
      </c>
      <c r="AD2833" s="22" t="s">
        <v>1165</v>
      </c>
      <c r="AF2833" s="24" t="s">
        <v>153</v>
      </c>
      <c r="AG2833" t="s">
        <v>1160</v>
      </c>
      <c r="AH2833">
        <f t="shared" si="28"/>
        <v>4320</v>
      </c>
      <c r="AI2833" s="21" t="s">
        <v>153</v>
      </c>
      <c r="AJ2833" s="21" t="s">
        <v>1148</v>
      </c>
      <c r="AK2833" s="21">
        <v>0</v>
      </c>
      <c r="AL2833" s="21" t="s">
        <v>1321</v>
      </c>
      <c r="AM2833" s="21">
        <v>0</v>
      </c>
      <c r="AN2833" s="21">
        <v>3</v>
      </c>
      <c r="AO2833" s="21">
        <v>50</v>
      </c>
      <c r="AP2833" s="21">
        <v>6</v>
      </c>
      <c r="AQ2833" s="22" t="s">
        <v>3016</v>
      </c>
      <c r="AR2833" s="21" t="s">
        <v>1155</v>
      </c>
      <c r="AS2833" t="s">
        <v>3085</v>
      </c>
    </row>
    <row r="2834" spans="1:45" x14ac:dyDescent="0.2">
      <c r="A2834" s="21" t="s">
        <v>1685</v>
      </c>
      <c r="B2834" s="21" t="s">
        <v>1146</v>
      </c>
      <c r="C2834" s="21" t="s">
        <v>1149</v>
      </c>
      <c r="D2834" s="21" t="s">
        <v>420</v>
      </c>
      <c r="E2834" s="21" t="s">
        <v>2027</v>
      </c>
      <c r="G2834" s="21" t="s">
        <v>153</v>
      </c>
      <c r="H2834" s="21" t="s">
        <v>1165</v>
      </c>
      <c r="I2834" s="21" t="s">
        <v>3095</v>
      </c>
      <c r="J2834" s="21">
        <v>49.466666666666598</v>
      </c>
      <c r="K2834">
        <v>-124.8</v>
      </c>
      <c r="L2834">
        <v>40</v>
      </c>
      <c r="M2834" s="21" t="s">
        <v>3034</v>
      </c>
      <c r="O2834" s="21">
        <v>1981</v>
      </c>
      <c r="Q2834" s="21" t="s">
        <v>3086</v>
      </c>
      <c r="T2834" s="21">
        <v>-20</v>
      </c>
      <c r="U2834" s="21" t="s">
        <v>1218</v>
      </c>
      <c r="V2834" s="9" t="s">
        <v>1247</v>
      </c>
      <c r="W2834">
        <f>56</f>
        <v>56</v>
      </c>
      <c r="X2834" s="9" t="s">
        <v>3088</v>
      </c>
      <c r="Y2834" t="s">
        <v>3090</v>
      </c>
      <c r="Z2834" s="22">
        <v>8</v>
      </c>
      <c r="AD2834" s="22" t="s">
        <v>1165</v>
      </c>
      <c r="AF2834" s="24" t="s">
        <v>153</v>
      </c>
      <c r="AG2834" t="s">
        <v>1160</v>
      </c>
      <c r="AH2834">
        <f t="shared" si="28"/>
        <v>4320</v>
      </c>
      <c r="AI2834" s="21" t="s">
        <v>153</v>
      </c>
      <c r="AJ2834" s="21" t="s">
        <v>1148</v>
      </c>
      <c r="AK2834" s="21">
        <v>0</v>
      </c>
      <c r="AL2834" s="21" t="s">
        <v>1321</v>
      </c>
      <c r="AM2834" s="21">
        <v>0</v>
      </c>
      <c r="AN2834" s="21">
        <v>3</v>
      </c>
      <c r="AO2834" s="21">
        <v>50</v>
      </c>
      <c r="AP2834" s="21">
        <v>9</v>
      </c>
      <c r="AQ2834" s="22" t="s">
        <v>3016</v>
      </c>
      <c r="AR2834" s="21" t="s">
        <v>1155</v>
      </c>
      <c r="AS2834" t="s">
        <v>3085</v>
      </c>
    </row>
    <row r="2835" spans="1:45" x14ac:dyDescent="0.2">
      <c r="A2835" s="21" t="s">
        <v>1685</v>
      </c>
      <c r="B2835" s="21" t="s">
        <v>1146</v>
      </c>
      <c r="C2835" s="21" t="s">
        <v>1149</v>
      </c>
      <c r="D2835" s="21" t="s">
        <v>420</v>
      </c>
      <c r="E2835" s="21" t="s">
        <v>2027</v>
      </c>
      <c r="G2835" s="21" t="s">
        <v>153</v>
      </c>
      <c r="H2835" s="21" t="s">
        <v>1165</v>
      </c>
      <c r="I2835" s="21" t="s">
        <v>3095</v>
      </c>
      <c r="J2835" s="21">
        <v>49.466666666666598</v>
      </c>
      <c r="K2835">
        <v>-124.8</v>
      </c>
      <c r="L2835">
        <v>40</v>
      </c>
      <c r="M2835" s="21" t="s">
        <v>3034</v>
      </c>
      <c r="O2835" s="21">
        <v>1981</v>
      </c>
      <c r="Q2835" s="21" t="s">
        <v>3086</v>
      </c>
      <c r="T2835" s="21">
        <v>-20</v>
      </c>
      <c r="U2835" s="21" t="s">
        <v>1218</v>
      </c>
      <c r="V2835" s="9" t="s">
        <v>1247</v>
      </c>
      <c r="W2835">
        <f>56</f>
        <v>56</v>
      </c>
      <c r="X2835" s="9" t="s">
        <v>3088</v>
      </c>
      <c r="Y2835" t="s">
        <v>3090</v>
      </c>
      <c r="Z2835" s="22">
        <v>8</v>
      </c>
      <c r="AD2835" s="22" t="s">
        <v>1165</v>
      </c>
      <c r="AF2835" s="24" t="s">
        <v>153</v>
      </c>
      <c r="AG2835" t="s">
        <v>1160</v>
      </c>
      <c r="AH2835">
        <f t="shared" si="28"/>
        <v>4320</v>
      </c>
      <c r="AI2835" s="21" t="s">
        <v>153</v>
      </c>
      <c r="AJ2835" s="21" t="s">
        <v>1148</v>
      </c>
      <c r="AK2835" s="21">
        <v>0</v>
      </c>
      <c r="AL2835" s="21" t="s">
        <v>1321</v>
      </c>
      <c r="AM2835" s="21">
        <v>0</v>
      </c>
      <c r="AN2835" s="21">
        <v>3</v>
      </c>
      <c r="AO2835" s="21">
        <v>50</v>
      </c>
      <c r="AP2835" s="21">
        <v>12</v>
      </c>
      <c r="AQ2835" s="22" t="s">
        <v>3016</v>
      </c>
      <c r="AR2835" s="21" t="s">
        <v>1155</v>
      </c>
      <c r="AS2835" t="s">
        <v>3085</v>
      </c>
    </row>
    <row r="2836" spans="1:45" x14ac:dyDescent="0.2">
      <c r="A2836" s="21" t="s">
        <v>1685</v>
      </c>
      <c r="B2836" s="21" t="s">
        <v>1146</v>
      </c>
      <c r="C2836" s="21" t="s">
        <v>1149</v>
      </c>
      <c r="D2836" s="21" t="s">
        <v>420</v>
      </c>
      <c r="E2836" s="21" t="s">
        <v>2027</v>
      </c>
      <c r="G2836" s="21" t="s">
        <v>153</v>
      </c>
      <c r="H2836" s="21" t="s">
        <v>1165</v>
      </c>
      <c r="I2836" s="21" t="s">
        <v>3095</v>
      </c>
      <c r="J2836" s="21">
        <v>49.466666666666598</v>
      </c>
      <c r="K2836">
        <v>-124.8</v>
      </c>
      <c r="L2836">
        <v>40</v>
      </c>
      <c r="M2836" s="21" t="s">
        <v>3034</v>
      </c>
      <c r="O2836" s="21">
        <v>1981</v>
      </c>
      <c r="Q2836" s="21" t="s">
        <v>3086</v>
      </c>
      <c r="T2836" s="21">
        <v>-20</v>
      </c>
      <c r="U2836" s="21" t="s">
        <v>1218</v>
      </c>
      <c r="V2836" s="9" t="s">
        <v>1247</v>
      </c>
      <c r="W2836">
        <f>56</f>
        <v>56</v>
      </c>
      <c r="X2836" s="9" t="s">
        <v>3088</v>
      </c>
      <c r="Y2836" t="s">
        <v>3090</v>
      </c>
      <c r="Z2836" s="22">
        <v>8</v>
      </c>
      <c r="AD2836" s="22" t="s">
        <v>1165</v>
      </c>
      <c r="AF2836" s="24" t="s">
        <v>153</v>
      </c>
      <c r="AG2836" t="s">
        <v>1160</v>
      </c>
      <c r="AH2836">
        <f t="shared" si="28"/>
        <v>4320</v>
      </c>
      <c r="AI2836" s="21" t="s">
        <v>153</v>
      </c>
      <c r="AJ2836" s="21" t="s">
        <v>1148</v>
      </c>
      <c r="AK2836" s="21">
        <v>16.530999999999999</v>
      </c>
      <c r="AL2836" s="21" t="s">
        <v>1321</v>
      </c>
      <c r="AM2836" s="21" t="s">
        <v>3003</v>
      </c>
      <c r="AN2836" s="21">
        <v>3</v>
      </c>
      <c r="AO2836" s="21">
        <v>50</v>
      </c>
      <c r="AP2836" s="21">
        <v>15</v>
      </c>
      <c r="AQ2836" s="22" t="s">
        <v>3016</v>
      </c>
      <c r="AR2836" s="21" t="s">
        <v>1155</v>
      </c>
      <c r="AS2836" t="s">
        <v>3085</v>
      </c>
    </row>
    <row r="2837" spans="1:45" x14ac:dyDescent="0.2">
      <c r="A2837" s="21" t="s">
        <v>1685</v>
      </c>
      <c r="B2837" s="21" t="s">
        <v>1146</v>
      </c>
      <c r="C2837" s="21" t="s">
        <v>1149</v>
      </c>
      <c r="D2837" s="21" t="s">
        <v>420</v>
      </c>
      <c r="E2837" s="21" t="s">
        <v>2027</v>
      </c>
      <c r="G2837" s="21" t="s">
        <v>153</v>
      </c>
      <c r="H2837" s="21" t="s">
        <v>1165</v>
      </c>
      <c r="I2837" s="21" t="s">
        <v>3095</v>
      </c>
      <c r="J2837" s="21">
        <v>49.466666666666598</v>
      </c>
      <c r="K2837">
        <v>-124.8</v>
      </c>
      <c r="L2837">
        <v>40</v>
      </c>
      <c r="M2837" s="21" t="s">
        <v>3034</v>
      </c>
      <c r="O2837" s="21">
        <v>1981</v>
      </c>
      <c r="Q2837" s="21" t="s">
        <v>3086</v>
      </c>
      <c r="T2837" s="21">
        <v>-20</v>
      </c>
      <c r="U2837" s="21" t="s">
        <v>1218</v>
      </c>
      <c r="V2837" s="9" t="s">
        <v>1247</v>
      </c>
      <c r="W2837">
        <f>56</f>
        <v>56</v>
      </c>
      <c r="X2837" s="9" t="s">
        <v>3088</v>
      </c>
      <c r="Y2837" t="s">
        <v>3090</v>
      </c>
      <c r="Z2837" s="22">
        <v>8</v>
      </c>
      <c r="AD2837" s="22" t="s">
        <v>1165</v>
      </c>
      <c r="AF2837" s="24" t="s">
        <v>153</v>
      </c>
      <c r="AG2837" t="s">
        <v>1160</v>
      </c>
      <c r="AH2837">
        <f t="shared" si="28"/>
        <v>4320</v>
      </c>
      <c r="AI2837" s="21" t="s">
        <v>153</v>
      </c>
      <c r="AJ2837" s="21" t="s">
        <v>1148</v>
      </c>
      <c r="AK2837" s="21">
        <v>26.734999999999999</v>
      </c>
      <c r="AL2837" s="21" t="s">
        <v>1321</v>
      </c>
      <c r="AM2837" s="21" t="s">
        <v>3003</v>
      </c>
      <c r="AN2837" s="21">
        <v>3</v>
      </c>
      <c r="AO2837" s="21">
        <v>50</v>
      </c>
      <c r="AP2837" s="21">
        <v>18</v>
      </c>
      <c r="AQ2837" s="22" t="s">
        <v>3016</v>
      </c>
      <c r="AR2837" s="21" t="s">
        <v>1155</v>
      </c>
      <c r="AS2837" t="s">
        <v>3085</v>
      </c>
    </row>
    <row r="2838" spans="1:45" x14ac:dyDescent="0.2">
      <c r="A2838" s="21" t="s">
        <v>1685</v>
      </c>
      <c r="B2838" s="21" t="s">
        <v>1146</v>
      </c>
      <c r="C2838" s="21" t="s">
        <v>1149</v>
      </c>
      <c r="D2838" s="21" t="s">
        <v>420</v>
      </c>
      <c r="E2838" s="21" t="s">
        <v>2027</v>
      </c>
      <c r="G2838" s="21" t="s">
        <v>153</v>
      </c>
      <c r="H2838" s="21" t="s">
        <v>1165</v>
      </c>
      <c r="I2838" s="21" t="s">
        <v>3095</v>
      </c>
      <c r="J2838" s="21">
        <v>49.466666666666598</v>
      </c>
      <c r="K2838">
        <v>-124.8</v>
      </c>
      <c r="L2838">
        <v>40</v>
      </c>
      <c r="M2838" s="21" t="s">
        <v>3034</v>
      </c>
      <c r="O2838" s="21">
        <v>1981</v>
      </c>
      <c r="Q2838" s="21" t="s">
        <v>3086</v>
      </c>
      <c r="T2838" s="21">
        <v>-20</v>
      </c>
      <c r="U2838" s="21" t="s">
        <v>1218</v>
      </c>
      <c r="V2838" s="9" t="s">
        <v>1247</v>
      </c>
      <c r="W2838">
        <f>56</f>
        <v>56</v>
      </c>
      <c r="X2838" s="9" t="s">
        <v>3088</v>
      </c>
      <c r="Y2838" t="s">
        <v>3090</v>
      </c>
      <c r="Z2838" s="22">
        <v>8</v>
      </c>
      <c r="AD2838" s="22" t="s">
        <v>1165</v>
      </c>
      <c r="AF2838" s="24" t="s">
        <v>153</v>
      </c>
      <c r="AG2838" t="s">
        <v>1160</v>
      </c>
      <c r="AH2838">
        <f t="shared" si="28"/>
        <v>4320</v>
      </c>
      <c r="AI2838" s="21" t="s">
        <v>153</v>
      </c>
      <c r="AJ2838" s="21" t="s">
        <v>1148</v>
      </c>
      <c r="AK2838" s="21">
        <v>53.469000000000001</v>
      </c>
      <c r="AL2838" s="21" t="s">
        <v>1321</v>
      </c>
      <c r="AM2838" s="21" t="s">
        <v>3003</v>
      </c>
      <c r="AN2838" s="21">
        <v>3</v>
      </c>
      <c r="AO2838" s="21">
        <v>50</v>
      </c>
      <c r="AP2838" s="21">
        <v>21</v>
      </c>
      <c r="AQ2838" s="22" t="s">
        <v>3016</v>
      </c>
      <c r="AR2838" s="21" t="s">
        <v>1155</v>
      </c>
      <c r="AS2838" t="s">
        <v>3085</v>
      </c>
    </row>
    <row r="2839" spans="1:45" x14ac:dyDescent="0.2">
      <c r="A2839" s="21" t="s">
        <v>1685</v>
      </c>
      <c r="B2839" s="21" t="s">
        <v>1146</v>
      </c>
      <c r="C2839" s="21" t="s">
        <v>1149</v>
      </c>
      <c r="D2839" s="21" t="s">
        <v>420</v>
      </c>
      <c r="E2839" s="21" t="s">
        <v>2027</v>
      </c>
      <c r="G2839" s="21" t="s">
        <v>153</v>
      </c>
      <c r="H2839" s="21" t="s">
        <v>1165</v>
      </c>
      <c r="I2839" s="21" t="s">
        <v>3095</v>
      </c>
      <c r="J2839" s="21">
        <v>49.466666666666598</v>
      </c>
      <c r="K2839">
        <v>-124.8</v>
      </c>
      <c r="L2839">
        <v>40</v>
      </c>
      <c r="M2839" s="21" t="s">
        <v>3034</v>
      </c>
      <c r="O2839" s="21">
        <v>1981</v>
      </c>
      <c r="Q2839" s="21" t="s">
        <v>3086</v>
      </c>
      <c r="T2839" s="21">
        <v>-20</v>
      </c>
      <c r="U2839" s="21" t="s">
        <v>1218</v>
      </c>
      <c r="V2839" s="9" t="s">
        <v>1247</v>
      </c>
      <c r="W2839">
        <f>56</f>
        <v>56</v>
      </c>
      <c r="X2839" s="9" t="s">
        <v>3088</v>
      </c>
      <c r="Y2839" t="s">
        <v>3090</v>
      </c>
      <c r="Z2839" s="22">
        <v>8</v>
      </c>
      <c r="AD2839" s="22" t="s">
        <v>1165</v>
      </c>
      <c r="AF2839" s="24" t="s">
        <v>153</v>
      </c>
      <c r="AG2839" t="s">
        <v>1160</v>
      </c>
      <c r="AH2839">
        <f t="shared" si="28"/>
        <v>4320</v>
      </c>
      <c r="AI2839" s="21" t="s">
        <v>153</v>
      </c>
      <c r="AJ2839" s="21" t="s">
        <v>1148</v>
      </c>
      <c r="AK2839" s="21">
        <v>67.653000000000006</v>
      </c>
      <c r="AL2839" s="21" t="s">
        <v>1321</v>
      </c>
      <c r="AM2839" s="21" t="s">
        <v>3003</v>
      </c>
      <c r="AN2839" s="21">
        <v>3</v>
      </c>
      <c r="AO2839" s="21">
        <v>50</v>
      </c>
      <c r="AP2839" s="21">
        <v>24</v>
      </c>
      <c r="AQ2839" s="22" t="s">
        <v>3016</v>
      </c>
      <c r="AR2839" s="21" t="s">
        <v>1155</v>
      </c>
      <c r="AS2839" t="s">
        <v>3085</v>
      </c>
    </row>
    <row r="2840" spans="1:45" x14ac:dyDescent="0.2">
      <c r="A2840" s="21" t="s">
        <v>1685</v>
      </c>
      <c r="B2840" s="21" t="s">
        <v>1146</v>
      </c>
      <c r="C2840" s="21" t="s">
        <v>1149</v>
      </c>
      <c r="D2840" s="21" t="s">
        <v>420</v>
      </c>
      <c r="E2840" s="21" t="s">
        <v>2027</v>
      </c>
      <c r="G2840" s="21" t="s">
        <v>153</v>
      </c>
      <c r="H2840" s="21" t="s">
        <v>1165</v>
      </c>
      <c r="I2840" s="21" t="s">
        <v>3095</v>
      </c>
      <c r="J2840" s="21">
        <v>49.466666666666598</v>
      </c>
      <c r="K2840">
        <v>-124.8</v>
      </c>
      <c r="L2840">
        <v>40</v>
      </c>
      <c r="M2840" s="21" t="s">
        <v>3034</v>
      </c>
      <c r="O2840" s="21">
        <v>1981</v>
      </c>
      <c r="Q2840" s="21" t="s">
        <v>3086</v>
      </c>
      <c r="T2840" s="21">
        <v>-20</v>
      </c>
      <c r="U2840" s="21" t="s">
        <v>1218</v>
      </c>
      <c r="V2840" s="9" t="s">
        <v>1247</v>
      </c>
      <c r="W2840">
        <f>56</f>
        <v>56</v>
      </c>
      <c r="X2840" s="9" t="s">
        <v>3088</v>
      </c>
      <c r="Y2840" t="s">
        <v>3090</v>
      </c>
      <c r="Z2840" s="22">
        <v>8</v>
      </c>
      <c r="AD2840" s="22" t="s">
        <v>1165</v>
      </c>
      <c r="AF2840" s="24" t="s">
        <v>153</v>
      </c>
      <c r="AG2840" t="s">
        <v>1160</v>
      </c>
      <c r="AH2840">
        <f t="shared" si="28"/>
        <v>4320</v>
      </c>
      <c r="AI2840" s="21" t="s">
        <v>153</v>
      </c>
      <c r="AJ2840" s="21" t="s">
        <v>1148</v>
      </c>
      <c r="AK2840" s="21">
        <v>75.135999999999996</v>
      </c>
      <c r="AL2840" s="21" t="s">
        <v>1321</v>
      </c>
      <c r="AM2840" s="21" t="s">
        <v>3003</v>
      </c>
      <c r="AN2840" s="21">
        <v>3</v>
      </c>
      <c r="AO2840" s="21">
        <v>50</v>
      </c>
      <c r="AP2840" s="21">
        <v>27</v>
      </c>
      <c r="AQ2840" s="22" t="s">
        <v>3016</v>
      </c>
      <c r="AR2840" s="21" t="s">
        <v>1155</v>
      </c>
      <c r="AS2840" t="s">
        <v>3085</v>
      </c>
    </row>
    <row r="2841" spans="1:45" x14ac:dyDescent="0.2">
      <c r="A2841" s="21" t="s">
        <v>1685</v>
      </c>
      <c r="B2841" s="21" t="s">
        <v>1146</v>
      </c>
      <c r="C2841" s="21" t="s">
        <v>1149</v>
      </c>
      <c r="D2841" s="21" t="s">
        <v>420</v>
      </c>
      <c r="E2841" s="21" t="s">
        <v>2027</v>
      </c>
      <c r="G2841" s="21" t="s">
        <v>153</v>
      </c>
      <c r="H2841" s="21" t="s">
        <v>1165</v>
      </c>
      <c r="I2841" s="21" t="s">
        <v>3095</v>
      </c>
      <c r="J2841" s="21">
        <v>49.466666666666598</v>
      </c>
      <c r="K2841">
        <v>-124.8</v>
      </c>
      <c r="L2841">
        <v>40</v>
      </c>
      <c r="M2841" s="21" t="s">
        <v>3034</v>
      </c>
      <c r="O2841" s="21">
        <v>1981</v>
      </c>
      <c r="Q2841" s="21" t="s">
        <v>3086</v>
      </c>
      <c r="T2841" s="21">
        <v>-20</v>
      </c>
      <c r="U2841" s="21" t="s">
        <v>1218</v>
      </c>
      <c r="V2841" s="9" t="s">
        <v>1247</v>
      </c>
      <c r="W2841">
        <f>56</f>
        <v>56</v>
      </c>
      <c r="X2841" s="9" t="s">
        <v>3088</v>
      </c>
      <c r="Y2841" t="s">
        <v>3090</v>
      </c>
      <c r="Z2841" s="22">
        <v>8</v>
      </c>
      <c r="AD2841" s="22" t="s">
        <v>1165</v>
      </c>
      <c r="AF2841" s="24" t="s">
        <v>153</v>
      </c>
      <c r="AG2841" t="s">
        <v>1160</v>
      </c>
      <c r="AH2841">
        <f t="shared" si="28"/>
        <v>4320</v>
      </c>
      <c r="AI2841" s="21" t="s">
        <v>153</v>
      </c>
      <c r="AJ2841" s="21" t="s">
        <v>1148</v>
      </c>
      <c r="AK2841" s="21">
        <v>80.17</v>
      </c>
      <c r="AL2841" s="21" t="s">
        <v>1321</v>
      </c>
      <c r="AM2841" s="21" t="s">
        <v>3003</v>
      </c>
      <c r="AN2841" s="21">
        <v>3</v>
      </c>
      <c r="AO2841" s="21">
        <v>50</v>
      </c>
      <c r="AP2841" s="21">
        <v>30</v>
      </c>
      <c r="AQ2841" s="22" t="s">
        <v>3016</v>
      </c>
      <c r="AR2841" s="21" t="s">
        <v>1155</v>
      </c>
      <c r="AS2841" t="s">
        <v>3085</v>
      </c>
    </row>
    <row r="2842" spans="1:45" x14ac:dyDescent="0.2">
      <c r="A2842" s="21" t="s">
        <v>1685</v>
      </c>
      <c r="B2842" s="21" t="s">
        <v>1146</v>
      </c>
      <c r="C2842" s="21" t="s">
        <v>1149</v>
      </c>
      <c r="D2842" s="21" t="s">
        <v>420</v>
      </c>
      <c r="E2842" s="21" t="s">
        <v>2027</v>
      </c>
      <c r="G2842" s="21" t="s">
        <v>153</v>
      </c>
      <c r="H2842" s="21" t="s">
        <v>1165</v>
      </c>
      <c r="I2842" s="21" t="s">
        <v>3095</v>
      </c>
      <c r="J2842" s="21">
        <v>49.466666666666598</v>
      </c>
      <c r="K2842">
        <v>-124.8</v>
      </c>
      <c r="L2842">
        <v>40</v>
      </c>
      <c r="M2842" s="21" t="s">
        <v>3034</v>
      </c>
      <c r="O2842" s="21">
        <v>1981</v>
      </c>
      <c r="Q2842" s="21" t="s">
        <v>3086</v>
      </c>
      <c r="T2842" s="21">
        <v>-20</v>
      </c>
      <c r="U2842" s="21" t="s">
        <v>1218</v>
      </c>
      <c r="V2842" s="9" t="s">
        <v>1247</v>
      </c>
      <c r="W2842">
        <f>56</f>
        <v>56</v>
      </c>
      <c r="X2842" s="9" t="s">
        <v>3088</v>
      </c>
      <c r="Y2842" t="s">
        <v>3091</v>
      </c>
      <c r="Z2842" s="22">
        <v>8</v>
      </c>
      <c r="AD2842" s="22" t="s">
        <v>1165</v>
      </c>
      <c r="AF2842" s="24" t="s">
        <v>153</v>
      </c>
      <c r="AG2842" t="s">
        <v>1160</v>
      </c>
      <c r="AH2842">
        <f t="shared" si="28"/>
        <v>4320</v>
      </c>
      <c r="AI2842" s="21" t="s">
        <v>153</v>
      </c>
      <c r="AJ2842" s="21" t="s">
        <v>1148</v>
      </c>
      <c r="AK2842" s="21">
        <v>0</v>
      </c>
      <c r="AL2842" s="21" t="s">
        <v>1321</v>
      </c>
      <c r="AM2842" s="21">
        <v>0</v>
      </c>
      <c r="AN2842" s="21">
        <v>3</v>
      </c>
      <c r="AO2842" s="21">
        <v>50</v>
      </c>
      <c r="AP2842" s="21">
        <v>3</v>
      </c>
      <c r="AQ2842" s="22" t="s">
        <v>3016</v>
      </c>
      <c r="AR2842" s="21" t="s">
        <v>1155</v>
      </c>
      <c r="AS2842" t="s">
        <v>3085</v>
      </c>
    </row>
    <row r="2843" spans="1:45" x14ac:dyDescent="0.2">
      <c r="A2843" s="21" t="s">
        <v>1685</v>
      </c>
      <c r="B2843" s="21" t="s">
        <v>1146</v>
      </c>
      <c r="C2843" s="21" t="s">
        <v>1149</v>
      </c>
      <c r="D2843" s="21" t="s">
        <v>420</v>
      </c>
      <c r="E2843" s="21" t="s">
        <v>2027</v>
      </c>
      <c r="G2843" s="21" t="s">
        <v>153</v>
      </c>
      <c r="H2843" s="21" t="s">
        <v>1165</v>
      </c>
      <c r="I2843" s="21" t="s">
        <v>3095</v>
      </c>
      <c r="J2843" s="21">
        <v>49.466666666666598</v>
      </c>
      <c r="K2843">
        <v>-124.8</v>
      </c>
      <c r="L2843">
        <v>40</v>
      </c>
      <c r="M2843" s="21" t="s">
        <v>3034</v>
      </c>
      <c r="O2843" s="21">
        <v>1981</v>
      </c>
      <c r="Q2843" s="21" t="s">
        <v>3086</v>
      </c>
      <c r="T2843" s="21">
        <v>-20</v>
      </c>
      <c r="U2843" s="21" t="s">
        <v>1218</v>
      </c>
      <c r="V2843" s="9" t="s">
        <v>1247</v>
      </c>
      <c r="W2843">
        <f>56</f>
        <v>56</v>
      </c>
      <c r="X2843" s="9" t="s">
        <v>3088</v>
      </c>
      <c r="Y2843" t="s">
        <v>3091</v>
      </c>
      <c r="Z2843" s="22">
        <v>8</v>
      </c>
      <c r="AD2843" s="22" t="s">
        <v>1165</v>
      </c>
      <c r="AF2843" s="24" t="s">
        <v>153</v>
      </c>
      <c r="AG2843" t="s">
        <v>1160</v>
      </c>
      <c r="AH2843">
        <f t="shared" si="28"/>
        <v>4320</v>
      </c>
      <c r="AI2843" s="21" t="s">
        <v>153</v>
      </c>
      <c r="AJ2843" s="21" t="s">
        <v>1148</v>
      </c>
      <c r="AK2843" s="21">
        <v>0</v>
      </c>
      <c r="AL2843" s="21" t="s">
        <v>1321</v>
      </c>
      <c r="AM2843" s="21">
        <v>0</v>
      </c>
      <c r="AN2843" s="21">
        <v>3</v>
      </c>
      <c r="AO2843" s="21">
        <v>50</v>
      </c>
      <c r="AP2843" s="21">
        <v>6</v>
      </c>
      <c r="AQ2843" s="22" t="s">
        <v>3016</v>
      </c>
      <c r="AR2843" s="21" t="s">
        <v>1155</v>
      </c>
      <c r="AS2843" t="s">
        <v>3085</v>
      </c>
    </row>
    <row r="2844" spans="1:45" x14ac:dyDescent="0.2">
      <c r="A2844" s="21" t="s">
        <v>1685</v>
      </c>
      <c r="B2844" s="21" t="s">
        <v>1146</v>
      </c>
      <c r="C2844" s="21" t="s">
        <v>1149</v>
      </c>
      <c r="D2844" s="21" t="s">
        <v>420</v>
      </c>
      <c r="E2844" s="21" t="s">
        <v>2027</v>
      </c>
      <c r="G2844" s="21" t="s">
        <v>153</v>
      </c>
      <c r="H2844" s="21" t="s">
        <v>1165</v>
      </c>
      <c r="I2844" s="21" t="s">
        <v>3095</v>
      </c>
      <c r="J2844" s="21">
        <v>49.466666666666598</v>
      </c>
      <c r="K2844">
        <v>-124.8</v>
      </c>
      <c r="L2844">
        <v>40</v>
      </c>
      <c r="M2844" s="21" t="s">
        <v>3034</v>
      </c>
      <c r="O2844" s="21">
        <v>1981</v>
      </c>
      <c r="Q2844" s="21" t="s">
        <v>3086</v>
      </c>
      <c r="T2844" s="21">
        <v>-20</v>
      </c>
      <c r="U2844" s="21" t="s">
        <v>1218</v>
      </c>
      <c r="V2844" s="9" t="s">
        <v>1247</v>
      </c>
      <c r="W2844">
        <f>56</f>
        <v>56</v>
      </c>
      <c r="X2844" s="9" t="s">
        <v>3088</v>
      </c>
      <c r="Y2844" t="s">
        <v>3091</v>
      </c>
      <c r="Z2844" s="22">
        <v>8</v>
      </c>
      <c r="AD2844" s="22" t="s">
        <v>1165</v>
      </c>
      <c r="AF2844" s="24" t="s">
        <v>153</v>
      </c>
      <c r="AG2844" t="s">
        <v>1160</v>
      </c>
      <c r="AH2844">
        <f t="shared" si="28"/>
        <v>4320</v>
      </c>
      <c r="AI2844" s="21" t="s">
        <v>153</v>
      </c>
      <c r="AJ2844" s="21" t="s">
        <v>1148</v>
      </c>
      <c r="AK2844" s="21">
        <v>0</v>
      </c>
      <c r="AL2844" s="21" t="s">
        <v>1321</v>
      </c>
      <c r="AM2844" s="21">
        <v>0</v>
      </c>
      <c r="AN2844" s="21">
        <v>3</v>
      </c>
      <c r="AO2844" s="21">
        <v>50</v>
      </c>
      <c r="AP2844" s="21">
        <v>9</v>
      </c>
      <c r="AQ2844" s="22" t="s">
        <v>3016</v>
      </c>
      <c r="AR2844" s="21" t="s">
        <v>1155</v>
      </c>
      <c r="AS2844" t="s">
        <v>3085</v>
      </c>
    </row>
    <row r="2845" spans="1:45" x14ac:dyDescent="0.2">
      <c r="A2845" s="21" t="s">
        <v>1685</v>
      </c>
      <c r="B2845" s="21" t="s">
        <v>1146</v>
      </c>
      <c r="C2845" s="21" t="s">
        <v>1149</v>
      </c>
      <c r="D2845" s="21" t="s">
        <v>420</v>
      </c>
      <c r="E2845" s="21" t="s">
        <v>2027</v>
      </c>
      <c r="G2845" s="21" t="s">
        <v>153</v>
      </c>
      <c r="H2845" s="21" t="s">
        <v>1165</v>
      </c>
      <c r="I2845" s="21" t="s">
        <v>3095</v>
      </c>
      <c r="J2845" s="21">
        <v>49.466666666666598</v>
      </c>
      <c r="K2845">
        <v>-124.8</v>
      </c>
      <c r="L2845">
        <v>40</v>
      </c>
      <c r="M2845" s="21" t="s">
        <v>3034</v>
      </c>
      <c r="O2845" s="21">
        <v>1981</v>
      </c>
      <c r="Q2845" s="21" t="s">
        <v>3086</v>
      </c>
      <c r="T2845" s="21">
        <v>-20</v>
      </c>
      <c r="U2845" s="21" t="s">
        <v>1218</v>
      </c>
      <c r="V2845" s="9" t="s">
        <v>1247</v>
      </c>
      <c r="W2845">
        <f>56</f>
        <v>56</v>
      </c>
      <c r="X2845" s="9" t="s">
        <v>3088</v>
      </c>
      <c r="Y2845" t="s">
        <v>3091</v>
      </c>
      <c r="Z2845" s="22">
        <v>8</v>
      </c>
      <c r="AD2845" s="22" t="s">
        <v>1165</v>
      </c>
      <c r="AF2845" s="24" t="s">
        <v>153</v>
      </c>
      <c r="AG2845" t="s">
        <v>1160</v>
      </c>
      <c r="AH2845">
        <f t="shared" si="28"/>
        <v>4320</v>
      </c>
      <c r="AI2845" s="21" t="s">
        <v>153</v>
      </c>
      <c r="AJ2845" s="21" t="s">
        <v>1148</v>
      </c>
      <c r="AK2845" s="21">
        <v>4.7960000000000003</v>
      </c>
      <c r="AL2845" s="21" t="s">
        <v>1321</v>
      </c>
      <c r="AM2845" s="21" t="s">
        <v>3003</v>
      </c>
      <c r="AN2845" s="21">
        <v>3</v>
      </c>
      <c r="AO2845" s="21">
        <v>50</v>
      </c>
      <c r="AP2845" s="21">
        <v>12</v>
      </c>
      <c r="AQ2845" s="22" t="s">
        <v>3016</v>
      </c>
      <c r="AR2845" s="21" t="s">
        <v>1155</v>
      </c>
      <c r="AS2845" t="s">
        <v>3085</v>
      </c>
    </row>
    <row r="2846" spans="1:45" x14ac:dyDescent="0.2">
      <c r="A2846" s="21" t="s">
        <v>1685</v>
      </c>
      <c r="B2846" s="21" t="s">
        <v>1146</v>
      </c>
      <c r="C2846" s="21" t="s">
        <v>1149</v>
      </c>
      <c r="D2846" s="21" t="s">
        <v>420</v>
      </c>
      <c r="E2846" s="21" t="s">
        <v>2027</v>
      </c>
      <c r="G2846" s="21" t="s">
        <v>153</v>
      </c>
      <c r="H2846" s="21" t="s">
        <v>1165</v>
      </c>
      <c r="I2846" s="21" t="s">
        <v>3095</v>
      </c>
      <c r="J2846" s="21">
        <v>49.466666666666598</v>
      </c>
      <c r="K2846">
        <v>-124.8</v>
      </c>
      <c r="L2846">
        <v>40</v>
      </c>
      <c r="M2846" s="21" t="s">
        <v>3034</v>
      </c>
      <c r="O2846" s="21">
        <v>1981</v>
      </c>
      <c r="Q2846" s="21" t="s">
        <v>3086</v>
      </c>
      <c r="T2846" s="21">
        <v>-20</v>
      </c>
      <c r="U2846" s="21" t="s">
        <v>1218</v>
      </c>
      <c r="V2846" s="9" t="s">
        <v>1247</v>
      </c>
      <c r="W2846">
        <f>56</f>
        <v>56</v>
      </c>
      <c r="X2846" s="9" t="s">
        <v>3088</v>
      </c>
      <c r="Y2846" t="s">
        <v>3091</v>
      </c>
      <c r="Z2846" s="22">
        <v>8</v>
      </c>
      <c r="AD2846" s="22" t="s">
        <v>1165</v>
      </c>
      <c r="AF2846" s="24" t="s">
        <v>153</v>
      </c>
      <c r="AG2846" t="s">
        <v>1160</v>
      </c>
      <c r="AH2846">
        <f t="shared" si="28"/>
        <v>4320</v>
      </c>
      <c r="AI2846" s="21" t="s">
        <v>153</v>
      </c>
      <c r="AJ2846" s="21" t="s">
        <v>1148</v>
      </c>
      <c r="AK2846" s="21">
        <v>17.550999999999998</v>
      </c>
      <c r="AL2846" s="21" t="s">
        <v>1321</v>
      </c>
      <c r="AM2846" s="21" t="s">
        <v>3003</v>
      </c>
      <c r="AN2846" s="21">
        <v>3</v>
      </c>
      <c r="AO2846" s="21">
        <v>50</v>
      </c>
      <c r="AP2846" s="21">
        <v>15</v>
      </c>
      <c r="AQ2846" s="22" t="s">
        <v>3016</v>
      </c>
      <c r="AR2846" s="21" t="s">
        <v>1155</v>
      </c>
      <c r="AS2846" t="s">
        <v>3085</v>
      </c>
    </row>
    <row r="2847" spans="1:45" x14ac:dyDescent="0.2">
      <c r="A2847" s="21" t="s">
        <v>1685</v>
      </c>
      <c r="B2847" s="21" t="s">
        <v>1146</v>
      </c>
      <c r="C2847" s="21" t="s">
        <v>1149</v>
      </c>
      <c r="D2847" s="21" t="s">
        <v>420</v>
      </c>
      <c r="E2847" s="21" t="s">
        <v>2027</v>
      </c>
      <c r="G2847" s="21" t="s">
        <v>153</v>
      </c>
      <c r="H2847" s="21" t="s">
        <v>1165</v>
      </c>
      <c r="I2847" s="21" t="s">
        <v>3095</v>
      </c>
      <c r="J2847" s="21">
        <v>49.466666666666598</v>
      </c>
      <c r="K2847">
        <v>-124.8</v>
      </c>
      <c r="L2847">
        <v>40</v>
      </c>
      <c r="M2847" s="21" t="s">
        <v>3034</v>
      </c>
      <c r="O2847" s="21">
        <v>1981</v>
      </c>
      <c r="Q2847" s="21" t="s">
        <v>3086</v>
      </c>
      <c r="T2847" s="21">
        <v>-20</v>
      </c>
      <c r="U2847" s="21" t="s">
        <v>1218</v>
      </c>
      <c r="V2847" s="9" t="s">
        <v>1247</v>
      </c>
      <c r="W2847">
        <f>56</f>
        <v>56</v>
      </c>
      <c r="X2847" s="9" t="s">
        <v>3088</v>
      </c>
      <c r="Y2847" t="s">
        <v>3091</v>
      </c>
      <c r="Z2847" s="22">
        <v>8</v>
      </c>
      <c r="AD2847" s="22" t="s">
        <v>1165</v>
      </c>
      <c r="AF2847" s="24" t="s">
        <v>153</v>
      </c>
      <c r="AG2847" t="s">
        <v>1160</v>
      </c>
      <c r="AH2847">
        <f t="shared" si="28"/>
        <v>4320</v>
      </c>
      <c r="AI2847" s="21" t="s">
        <v>153</v>
      </c>
      <c r="AJ2847" s="21" t="s">
        <v>1148</v>
      </c>
      <c r="AK2847" s="21">
        <v>28.196999999999999</v>
      </c>
      <c r="AL2847" s="21" t="s">
        <v>1321</v>
      </c>
      <c r="AM2847" s="21" t="s">
        <v>3003</v>
      </c>
      <c r="AN2847" s="21">
        <v>3</v>
      </c>
      <c r="AO2847" s="21">
        <v>50</v>
      </c>
      <c r="AP2847" s="21">
        <v>18</v>
      </c>
      <c r="AQ2847" s="22" t="s">
        <v>3016</v>
      </c>
      <c r="AR2847" s="21" t="s">
        <v>1155</v>
      </c>
      <c r="AS2847" t="s">
        <v>3085</v>
      </c>
    </row>
    <row r="2848" spans="1:45" x14ac:dyDescent="0.2">
      <c r="A2848" s="21" t="s">
        <v>1685</v>
      </c>
      <c r="B2848" s="21" t="s">
        <v>1146</v>
      </c>
      <c r="C2848" s="21" t="s">
        <v>1149</v>
      </c>
      <c r="D2848" s="21" t="s">
        <v>420</v>
      </c>
      <c r="E2848" s="21" t="s">
        <v>2027</v>
      </c>
      <c r="G2848" s="21" t="s">
        <v>153</v>
      </c>
      <c r="H2848" s="21" t="s">
        <v>1165</v>
      </c>
      <c r="I2848" s="21" t="s">
        <v>3095</v>
      </c>
      <c r="J2848" s="21">
        <v>49.466666666666598</v>
      </c>
      <c r="K2848">
        <v>-124.8</v>
      </c>
      <c r="L2848">
        <v>40</v>
      </c>
      <c r="M2848" s="21" t="s">
        <v>3034</v>
      </c>
      <c r="O2848" s="21">
        <v>1981</v>
      </c>
      <c r="Q2848" s="21" t="s">
        <v>3086</v>
      </c>
      <c r="T2848" s="21">
        <v>-20</v>
      </c>
      <c r="U2848" s="21" t="s">
        <v>1218</v>
      </c>
      <c r="V2848" s="9" t="s">
        <v>1247</v>
      </c>
      <c r="W2848">
        <f>56</f>
        <v>56</v>
      </c>
      <c r="X2848" s="9" t="s">
        <v>3088</v>
      </c>
      <c r="Y2848" t="s">
        <v>3091</v>
      </c>
      <c r="Z2848" s="22">
        <v>8</v>
      </c>
      <c r="AD2848" s="22" t="s">
        <v>1165</v>
      </c>
      <c r="AF2848" s="24" t="s">
        <v>153</v>
      </c>
      <c r="AG2848" t="s">
        <v>1160</v>
      </c>
      <c r="AH2848">
        <f t="shared" si="28"/>
        <v>4320</v>
      </c>
      <c r="AI2848" s="21" t="s">
        <v>153</v>
      </c>
      <c r="AJ2848" s="21" t="s">
        <v>1148</v>
      </c>
      <c r="AK2848" s="21">
        <v>57.347000000000001</v>
      </c>
      <c r="AL2848" s="21" t="s">
        <v>1321</v>
      </c>
      <c r="AM2848" s="21" t="s">
        <v>3003</v>
      </c>
      <c r="AN2848" s="21">
        <v>3</v>
      </c>
      <c r="AO2848" s="21">
        <v>50</v>
      </c>
      <c r="AP2848" s="21">
        <v>21</v>
      </c>
      <c r="AQ2848" s="22" t="s">
        <v>3016</v>
      </c>
      <c r="AR2848" s="21" t="s">
        <v>1155</v>
      </c>
      <c r="AS2848" t="s">
        <v>3085</v>
      </c>
    </row>
    <row r="2849" spans="1:45" x14ac:dyDescent="0.2">
      <c r="A2849" s="21" t="s">
        <v>1685</v>
      </c>
      <c r="B2849" s="21" t="s">
        <v>1146</v>
      </c>
      <c r="C2849" s="21" t="s">
        <v>1149</v>
      </c>
      <c r="D2849" s="21" t="s">
        <v>420</v>
      </c>
      <c r="E2849" s="21" t="s">
        <v>2027</v>
      </c>
      <c r="G2849" s="21" t="s">
        <v>153</v>
      </c>
      <c r="H2849" s="21" t="s">
        <v>1165</v>
      </c>
      <c r="I2849" s="21" t="s">
        <v>3095</v>
      </c>
      <c r="J2849" s="21">
        <v>49.466666666666598</v>
      </c>
      <c r="K2849">
        <v>-124.8</v>
      </c>
      <c r="L2849">
        <v>40</v>
      </c>
      <c r="M2849" s="21" t="s">
        <v>3034</v>
      </c>
      <c r="O2849" s="21">
        <v>1981</v>
      </c>
      <c r="Q2849" s="21" t="s">
        <v>3086</v>
      </c>
      <c r="T2849" s="21">
        <v>-20</v>
      </c>
      <c r="U2849" s="21" t="s">
        <v>1218</v>
      </c>
      <c r="V2849" s="9" t="s">
        <v>1247</v>
      </c>
      <c r="W2849">
        <f>56</f>
        <v>56</v>
      </c>
      <c r="X2849" s="9" t="s">
        <v>3088</v>
      </c>
      <c r="Y2849" t="s">
        <v>3091</v>
      </c>
      <c r="Z2849" s="22">
        <v>8</v>
      </c>
      <c r="AD2849" s="22" t="s">
        <v>1165</v>
      </c>
      <c r="AF2849" s="24" t="s">
        <v>153</v>
      </c>
      <c r="AG2849" t="s">
        <v>1160</v>
      </c>
      <c r="AH2849">
        <f t="shared" si="28"/>
        <v>4320</v>
      </c>
      <c r="AI2849" s="21" t="s">
        <v>153</v>
      </c>
      <c r="AJ2849" s="21" t="s">
        <v>1148</v>
      </c>
      <c r="AK2849" s="21">
        <v>68.878</v>
      </c>
      <c r="AL2849" s="21" t="s">
        <v>1321</v>
      </c>
      <c r="AM2849" s="21" t="s">
        <v>3003</v>
      </c>
      <c r="AN2849" s="21">
        <v>3</v>
      </c>
      <c r="AO2849" s="21">
        <v>50</v>
      </c>
      <c r="AP2849" s="21">
        <v>24</v>
      </c>
      <c r="AQ2849" s="22" t="s">
        <v>3016</v>
      </c>
      <c r="AR2849" s="21" t="s">
        <v>1155</v>
      </c>
      <c r="AS2849" t="s">
        <v>3085</v>
      </c>
    </row>
    <row r="2850" spans="1:45" x14ac:dyDescent="0.2">
      <c r="A2850" s="21" t="s">
        <v>1685</v>
      </c>
      <c r="B2850" s="21" t="s">
        <v>1146</v>
      </c>
      <c r="C2850" s="21" t="s">
        <v>1149</v>
      </c>
      <c r="D2850" s="21" t="s">
        <v>420</v>
      </c>
      <c r="E2850" s="21" t="s">
        <v>2027</v>
      </c>
      <c r="G2850" s="21" t="s">
        <v>153</v>
      </c>
      <c r="H2850" s="21" t="s">
        <v>1165</v>
      </c>
      <c r="I2850" s="21" t="s">
        <v>3095</v>
      </c>
      <c r="J2850" s="21">
        <v>49.466666666666598</v>
      </c>
      <c r="K2850">
        <v>-124.8</v>
      </c>
      <c r="L2850">
        <v>40</v>
      </c>
      <c r="M2850" s="21" t="s">
        <v>3034</v>
      </c>
      <c r="O2850" s="21">
        <v>1981</v>
      </c>
      <c r="Q2850" s="21" t="s">
        <v>3086</v>
      </c>
      <c r="T2850" s="21">
        <v>-20</v>
      </c>
      <c r="U2850" s="21" t="s">
        <v>1218</v>
      </c>
      <c r="V2850" s="9" t="s">
        <v>1247</v>
      </c>
      <c r="W2850">
        <f>56</f>
        <v>56</v>
      </c>
      <c r="X2850" s="9" t="s">
        <v>3088</v>
      </c>
      <c r="Y2850" t="s">
        <v>3091</v>
      </c>
      <c r="Z2850" s="22">
        <v>8</v>
      </c>
      <c r="AD2850" s="22" t="s">
        <v>1165</v>
      </c>
      <c r="AF2850" s="24" t="s">
        <v>153</v>
      </c>
      <c r="AG2850" t="s">
        <v>1160</v>
      </c>
      <c r="AH2850">
        <f t="shared" si="28"/>
        <v>4320</v>
      </c>
      <c r="AI2850" s="21" t="s">
        <v>153</v>
      </c>
      <c r="AJ2850" s="21" t="s">
        <v>1148</v>
      </c>
      <c r="AK2850" s="21">
        <v>76.769000000000005</v>
      </c>
      <c r="AL2850" s="21" t="s">
        <v>1321</v>
      </c>
      <c r="AM2850" s="21" t="s">
        <v>3003</v>
      </c>
      <c r="AN2850" s="21">
        <v>3</v>
      </c>
      <c r="AO2850" s="21">
        <v>50</v>
      </c>
      <c r="AP2850" s="21">
        <v>27</v>
      </c>
      <c r="AQ2850" s="22" t="s">
        <v>3016</v>
      </c>
      <c r="AR2850" s="21" t="s">
        <v>1155</v>
      </c>
      <c r="AS2850" t="s">
        <v>3085</v>
      </c>
    </row>
    <row r="2851" spans="1:45" x14ac:dyDescent="0.2">
      <c r="A2851" s="21" t="s">
        <v>1685</v>
      </c>
      <c r="B2851" s="21" t="s">
        <v>1146</v>
      </c>
      <c r="C2851" s="21" t="s">
        <v>1149</v>
      </c>
      <c r="D2851" s="21" t="s">
        <v>420</v>
      </c>
      <c r="E2851" s="21" t="s">
        <v>2027</v>
      </c>
      <c r="G2851" s="21" t="s">
        <v>153</v>
      </c>
      <c r="H2851" s="21" t="s">
        <v>1165</v>
      </c>
      <c r="I2851" s="21" t="s">
        <v>3095</v>
      </c>
      <c r="J2851" s="21">
        <v>49.466666666666598</v>
      </c>
      <c r="K2851">
        <v>-124.8</v>
      </c>
      <c r="L2851">
        <v>40</v>
      </c>
      <c r="M2851" s="21" t="s">
        <v>3034</v>
      </c>
      <c r="O2851" s="21">
        <v>1981</v>
      </c>
      <c r="Q2851" s="21" t="s">
        <v>3086</v>
      </c>
      <c r="T2851" s="21">
        <v>-20</v>
      </c>
      <c r="U2851" s="21" t="s">
        <v>1218</v>
      </c>
      <c r="V2851" s="9" t="s">
        <v>1247</v>
      </c>
      <c r="W2851">
        <f>56</f>
        <v>56</v>
      </c>
      <c r="X2851" s="9" t="s">
        <v>3088</v>
      </c>
      <c r="Y2851" t="s">
        <v>3091</v>
      </c>
      <c r="Z2851" s="22">
        <v>8</v>
      </c>
      <c r="AD2851" s="22" t="s">
        <v>1165</v>
      </c>
      <c r="AF2851" s="24" t="s">
        <v>153</v>
      </c>
      <c r="AG2851" t="s">
        <v>1160</v>
      </c>
      <c r="AH2851">
        <f t="shared" si="28"/>
        <v>4320</v>
      </c>
      <c r="AI2851" s="21" t="s">
        <v>153</v>
      </c>
      <c r="AJ2851" s="21" t="s">
        <v>1148</v>
      </c>
      <c r="AK2851" s="21">
        <v>77.448999999999998</v>
      </c>
      <c r="AL2851" s="21" t="s">
        <v>1321</v>
      </c>
      <c r="AM2851" s="21" t="s">
        <v>3003</v>
      </c>
      <c r="AN2851" s="21">
        <v>3</v>
      </c>
      <c r="AO2851" s="21">
        <v>50</v>
      </c>
      <c r="AP2851" s="21">
        <v>30</v>
      </c>
      <c r="AQ2851" s="22" t="s">
        <v>3016</v>
      </c>
      <c r="AR2851" s="21" t="s">
        <v>1155</v>
      </c>
      <c r="AS2851" t="s">
        <v>3085</v>
      </c>
    </row>
    <row r="2852" spans="1:45" x14ac:dyDescent="0.2">
      <c r="A2852" s="21" t="s">
        <v>1685</v>
      </c>
      <c r="B2852" s="21" t="s">
        <v>1146</v>
      </c>
      <c r="C2852" s="21" t="s">
        <v>1149</v>
      </c>
      <c r="D2852" s="21" t="s">
        <v>420</v>
      </c>
      <c r="E2852" s="21" t="s">
        <v>2027</v>
      </c>
      <c r="G2852" s="21" t="s">
        <v>153</v>
      </c>
      <c r="H2852" s="21" t="s">
        <v>1165</v>
      </c>
      <c r="I2852" s="21" t="s">
        <v>3095</v>
      </c>
      <c r="J2852" s="21">
        <v>49.466666666666598</v>
      </c>
      <c r="K2852">
        <v>-124.8</v>
      </c>
      <c r="L2852">
        <v>40</v>
      </c>
      <c r="M2852" s="21" t="s">
        <v>3034</v>
      </c>
      <c r="O2852" s="21">
        <v>1981</v>
      </c>
      <c r="Q2852" s="21" t="s">
        <v>3086</v>
      </c>
      <c r="T2852" s="21">
        <v>-20</v>
      </c>
      <c r="U2852" s="21" t="s">
        <v>1147</v>
      </c>
      <c r="X2852" s="9" t="s">
        <v>3088</v>
      </c>
      <c r="Z2852" s="22">
        <v>8</v>
      </c>
      <c r="AD2852" s="22" t="s">
        <v>1165</v>
      </c>
      <c r="AF2852" s="24" t="s">
        <v>153</v>
      </c>
      <c r="AG2852" t="s">
        <v>1160</v>
      </c>
      <c r="AH2852">
        <f t="shared" si="28"/>
        <v>4320</v>
      </c>
      <c r="AI2852" s="21" t="s">
        <v>153</v>
      </c>
      <c r="AJ2852" s="21" t="s">
        <v>1148</v>
      </c>
      <c r="AK2852" s="21">
        <v>0</v>
      </c>
      <c r="AL2852" s="21" t="s">
        <v>1321</v>
      </c>
      <c r="AM2852">
        <v>0</v>
      </c>
      <c r="AN2852" s="21">
        <v>3</v>
      </c>
      <c r="AO2852" s="21">
        <v>50</v>
      </c>
      <c r="AP2852" s="21">
        <v>3</v>
      </c>
      <c r="AQ2852" s="22" t="s">
        <v>3092</v>
      </c>
      <c r="AR2852" s="21" t="s">
        <v>1155</v>
      </c>
      <c r="AS2852" t="s">
        <v>3085</v>
      </c>
    </row>
    <row r="2853" spans="1:45" x14ac:dyDescent="0.2">
      <c r="A2853" s="21" t="s">
        <v>1685</v>
      </c>
      <c r="B2853" s="21" t="s">
        <v>1146</v>
      </c>
      <c r="C2853" s="21" t="s">
        <v>1149</v>
      </c>
      <c r="D2853" s="21" t="s">
        <v>420</v>
      </c>
      <c r="E2853" s="21" t="s">
        <v>2027</v>
      </c>
      <c r="G2853" s="21" t="s">
        <v>153</v>
      </c>
      <c r="H2853" s="21" t="s">
        <v>1165</v>
      </c>
      <c r="I2853" s="21" t="s">
        <v>3095</v>
      </c>
      <c r="J2853" s="21">
        <v>49.466666666666598</v>
      </c>
      <c r="K2853">
        <v>-124.8</v>
      </c>
      <c r="L2853">
        <v>40</v>
      </c>
      <c r="M2853" s="21" t="s">
        <v>3034</v>
      </c>
      <c r="O2853" s="21">
        <v>1981</v>
      </c>
      <c r="Q2853" s="21" t="s">
        <v>3086</v>
      </c>
      <c r="T2853" s="21">
        <v>-20</v>
      </c>
      <c r="U2853" s="21" t="s">
        <v>1147</v>
      </c>
      <c r="X2853" s="9" t="s">
        <v>3088</v>
      </c>
      <c r="Z2853" s="22">
        <v>8</v>
      </c>
      <c r="AD2853" s="22" t="s">
        <v>1165</v>
      </c>
      <c r="AF2853" s="24" t="s">
        <v>153</v>
      </c>
      <c r="AG2853" t="s">
        <v>1160</v>
      </c>
      <c r="AH2853">
        <f t="shared" si="28"/>
        <v>4320</v>
      </c>
      <c r="AI2853" s="21" t="s">
        <v>153</v>
      </c>
      <c r="AJ2853" s="21" t="s">
        <v>1148</v>
      </c>
      <c r="AK2853" s="21">
        <v>0</v>
      </c>
      <c r="AL2853" s="21" t="s">
        <v>1321</v>
      </c>
      <c r="AM2853" s="21">
        <v>0</v>
      </c>
      <c r="AN2853" s="21">
        <v>3</v>
      </c>
      <c r="AO2853" s="21">
        <v>50</v>
      </c>
      <c r="AP2853" s="21">
        <v>6</v>
      </c>
      <c r="AQ2853" s="22" t="s">
        <v>3092</v>
      </c>
      <c r="AR2853" s="21" t="s">
        <v>1155</v>
      </c>
      <c r="AS2853" t="s">
        <v>3085</v>
      </c>
    </row>
    <row r="2854" spans="1:45" x14ac:dyDescent="0.2">
      <c r="A2854" s="21" t="s">
        <v>1685</v>
      </c>
      <c r="B2854" s="21" t="s">
        <v>1146</v>
      </c>
      <c r="C2854" s="21" t="s">
        <v>1149</v>
      </c>
      <c r="D2854" s="21" t="s">
        <v>420</v>
      </c>
      <c r="E2854" s="21" t="s">
        <v>2027</v>
      </c>
      <c r="G2854" s="21" t="s">
        <v>153</v>
      </c>
      <c r="H2854" s="21" t="s">
        <v>1165</v>
      </c>
      <c r="I2854" s="21" t="s">
        <v>3095</v>
      </c>
      <c r="J2854" s="21">
        <v>49.466666666666598</v>
      </c>
      <c r="K2854">
        <v>-124.8</v>
      </c>
      <c r="L2854">
        <v>40</v>
      </c>
      <c r="M2854" s="21" t="s">
        <v>3034</v>
      </c>
      <c r="O2854" s="21">
        <v>1981</v>
      </c>
      <c r="Q2854" s="21" t="s">
        <v>3086</v>
      </c>
      <c r="T2854" s="21">
        <v>-20</v>
      </c>
      <c r="U2854" s="21" t="s">
        <v>1147</v>
      </c>
      <c r="X2854" s="9" t="s">
        <v>3088</v>
      </c>
      <c r="Z2854" s="22">
        <v>8</v>
      </c>
      <c r="AD2854" s="22" t="s">
        <v>1165</v>
      </c>
      <c r="AF2854" s="24" t="s">
        <v>153</v>
      </c>
      <c r="AG2854" t="s">
        <v>1160</v>
      </c>
      <c r="AH2854">
        <f t="shared" si="28"/>
        <v>4320</v>
      </c>
      <c r="AI2854" s="21" t="s">
        <v>153</v>
      </c>
      <c r="AJ2854" s="21" t="s">
        <v>1148</v>
      </c>
      <c r="AK2854" s="21">
        <v>0</v>
      </c>
      <c r="AL2854" s="21" t="s">
        <v>1321</v>
      </c>
      <c r="AM2854" s="21">
        <v>0</v>
      </c>
      <c r="AN2854" s="21">
        <v>3</v>
      </c>
      <c r="AO2854" s="21">
        <v>50</v>
      </c>
      <c r="AP2854" s="21">
        <v>9</v>
      </c>
      <c r="AQ2854" s="22" t="s">
        <v>3092</v>
      </c>
      <c r="AR2854" s="21" t="s">
        <v>1155</v>
      </c>
      <c r="AS2854" t="s">
        <v>3085</v>
      </c>
    </row>
    <row r="2855" spans="1:45" x14ac:dyDescent="0.2">
      <c r="A2855" s="21" t="s">
        <v>1685</v>
      </c>
      <c r="B2855" s="21" t="s">
        <v>1146</v>
      </c>
      <c r="C2855" s="21" t="s">
        <v>1149</v>
      </c>
      <c r="D2855" s="21" t="s">
        <v>420</v>
      </c>
      <c r="E2855" s="21" t="s">
        <v>2027</v>
      </c>
      <c r="G2855" s="21" t="s">
        <v>153</v>
      </c>
      <c r="H2855" s="21" t="s">
        <v>1165</v>
      </c>
      <c r="I2855" s="21" t="s">
        <v>3095</v>
      </c>
      <c r="J2855" s="21">
        <v>49.466666666666598</v>
      </c>
      <c r="K2855">
        <v>-124.8</v>
      </c>
      <c r="L2855">
        <v>40</v>
      </c>
      <c r="M2855" s="21" t="s">
        <v>3034</v>
      </c>
      <c r="O2855" s="21">
        <v>1981</v>
      </c>
      <c r="Q2855" s="21" t="s">
        <v>3086</v>
      </c>
      <c r="T2855" s="21">
        <v>-20</v>
      </c>
      <c r="U2855" s="21" t="s">
        <v>1147</v>
      </c>
      <c r="X2855" s="9" t="s">
        <v>3088</v>
      </c>
      <c r="Z2855" s="22">
        <v>8</v>
      </c>
      <c r="AD2855" s="22" t="s">
        <v>1165</v>
      </c>
      <c r="AF2855" s="24" t="s">
        <v>153</v>
      </c>
      <c r="AG2855" t="s">
        <v>1160</v>
      </c>
      <c r="AH2855">
        <f t="shared" si="28"/>
        <v>4320</v>
      </c>
      <c r="AI2855" s="21" t="s">
        <v>153</v>
      </c>
      <c r="AJ2855" s="21" t="s">
        <v>1148</v>
      </c>
      <c r="AK2855" s="21">
        <v>0</v>
      </c>
      <c r="AL2855" s="21" t="s">
        <v>1321</v>
      </c>
      <c r="AM2855" s="21">
        <v>0</v>
      </c>
      <c r="AN2855" s="21">
        <v>3</v>
      </c>
      <c r="AO2855" s="21">
        <v>50</v>
      </c>
      <c r="AP2855" s="21">
        <v>12</v>
      </c>
      <c r="AQ2855" s="22" t="s">
        <v>3092</v>
      </c>
      <c r="AR2855" s="21" t="s">
        <v>1155</v>
      </c>
      <c r="AS2855" t="s">
        <v>3085</v>
      </c>
    </row>
    <row r="2856" spans="1:45" x14ac:dyDescent="0.2">
      <c r="A2856" s="21" t="s">
        <v>1685</v>
      </c>
      <c r="B2856" s="21" t="s">
        <v>1146</v>
      </c>
      <c r="C2856" s="21" t="s">
        <v>1149</v>
      </c>
      <c r="D2856" s="21" t="s">
        <v>420</v>
      </c>
      <c r="E2856" s="21" t="s">
        <v>2027</v>
      </c>
      <c r="G2856" s="21" t="s">
        <v>153</v>
      </c>
      <c r="H2856" s="21" t="s">
        <v>1165</v>
      </c>
      <c r="I2856" s="21" t="s">
        <v>3095</v>
      </c>
      <c r="J2856" s="21">
        <v>49.466666666666598</v>
      </c>
      <c r="K2856">
        <v>-124.8</v>
      </c>
      <c r="L2856">
        <v>40</v>
      </c>
      <c r="M2856" s="21" t="s">
        <v>3034</v>
      </c>
      <c r="O2856" s="21">
        <v>1981</v>
      </c>
      <c r="Q2856" s="21" t="s">
        <v>3086</v>
      </c>
      <c r="T2856" s="21">
        <v>-20</v>
      </c>
      <c r="U2856" s="21" t="s">
        <v>1147</v>
      </c>
      <c r="X2856" s="9" t="s">
        <v>3088</v>
      </c>
      <c r="Z2856" s="22">
        <v>8</v>
      </c>
      <c r="AD2856" s="22" t="s">
        <v>1165</v>
      </c>
      <c r="AF2856" s="24" t="s">
        <v>153</v>
      </c>
      <c r="AG2856" t="s">
        <v>1160</v>
      </c>
      <c r="AH2856">
        <f t="shared" si="28"/>
        <v>4320</v>
      </c>
      <c r="AI2856" s="21" t="s">
        <v>153</v>
      </c>
      <c r="AJ2856" s="21" t="s">
        <v>1148</v>
      </c>
      <c r="AK2856" s="21">
        <v>0</v>
      </c>
      <c r="AL2856" s="21" t="s">
        <v>1321</v>
      </c>
      <c r="AM2856" s="21">
        <v>0</v>
      </c>
      <c r="AN2856" s="21">
        <v>3</v>
      </c>
      <c r="AO2856" s="21">
        <v>50</v>
      </c>
      <c r="AP2856" s="21">
        <v>15</v>
      </c>
      <c r="AQ2856" s="22" t="s">
        <v>3092</v>
      </c>
      <c r="AR2856" s="21" t="s">
        <v>1155</v>
      </c>
      <c r="AS2856" t="s">
        <v>3085</v>
      </c>
    </row>
    <row r="2857" spans="1:45" x14ac:dyDescent="0.2">
      <c r="A2857" s="21" t="s">
        <v>1685</v>
      </c>
      <c r="B2857" s="21" t="s">
        <v>1146</v>
      </c>
      <c r="C2857" s="21" t="s">
        <v>1149</v>
      </c>
      <c r="D2857" s="21" t="s">
        <v>420</v>
      </c>
      <c r="E2857" s="21" t="s">
        <v>2027</v>
      </c>
      <c r="G2857" s="21" t="s">
        <v>153</v>
      </c>
      <c r="H2857" s="21" t="s">
        <v>1165</v>
      </c>
      <c r="I2857" s="21" t="s">
        <v>3095</v>
      </c>
      <c r="J2857" s="21">
        <v>49.466666666666598</v>
      </c>
      <c r="K2857">
        <v>-124.8</v>
      </c>
      <c r="L2857">
        <v>40</v>
      </c>
      <c r="M2857" s="21" t="s">
        <v>3034</v>
      </c>
      <c r="O2857" s="21">
        <v>1981</v>
      </c>
      <c r="Q2857" s="21" t="s">
        <v>3086</v>
      </c>
      <c r="T2857" s="21">
        <v>-20</v>
      </c>
      <c r="U2857" s="21" t="s">
        <v>1147</v>
      </c>
      <c r="X2857" s="9" t="s">
        <v>3088</v>
      </c>
      <c r="Z2857" s="22">
        <v>8</v>
      </c>
      <c r="AD2857" s="22" t="s">
        <v>1165</v>
      </c>
      <c r="AF2857" s="24" t="s">
        <v>153</v>
      </c>
      <c r="AG2857" t="s">
        <v>1160</v>
      </c>
      <c r="AH2857">
        <f t="shared" si="28"/>
        <v>4320</v>
      </c>
      <c r="AI2857" s="21" t="s">
        <v>153</v>
      </c>
      <c r="AJ2857" s="21" t="s">
        <v>1148</v>
      </c>
      <c r="AK2857" s="21">
        <v>1.837</v>
      </c>
      <c r="AL2857" s="21" t="s">
        <v>1321</v>
      </c>
      <c r="AM2857" s="21">
        <f>3.367-0.51</f>
        <v>2.8570000000000002</v>
      </c>
      <c r="AN2857" s="21">
        <v>3</v>
      </c>
      <c r="AO2857" s="21">
        <v>50</v>
      </c>
      <c r="AP2857" s="21">
        <v>18</v>
      </c>
      <c r="AQ2857" s="22" t="s">
        <v>3092</v>
      </c>
      <c r="AR2857" s="21" t="s">
        <v>1155</v>
      </c>
      <c r="AS2857" t="s">
        <v>3085</v>
      </c>
    </row>
    <row r="2858" spans="1:45" x14ac:dyDescent="0.2">
      <c r="A2858" s="21" t="s">
        <v>1685</v>
      </c>
      <c r="B2858" s="21" t="s">
        <v>1146</v>
      </c>
      <c r="C2858" s="21" t="s">
        <v>1149</v>
      </c>
      <c r="D2858" s="21" t="s">
        <v>420</v>
      </c>
      <c r="E2858" s="21" t="s">
        <v>2027</v>
      </c>
      <c r="G2858" s="21" t="s">
        <v>153</v>
      </c>
      <c r="H2858" s="21" t="s">
        <v>1165</v>
      </c>
      <c r="I2858" s="21" t="s">
        <v>3095</v>
      </c>
      <c r="J2858" s="21">
        <v>49.466666666666598</v>
      </c>
      <c r="K2858">
        <v>-124.8</v>
      </c>
      <c r="L2858">
        <v>40</v>
      </c>
      <c r="M2858" s="21" t="s">
        <v>3034</v>
      </c>
      <c r="O2858" s="21">
        <v>1981</v>
      </c>
      <c r="Q2858" s="21" t="s">
        <v>3086</v>
      </c>
      <c r="T2858" s="21">
        <v>-20</v>
      </c>
      <c r="U2858" s="21" t="s">
        <v>1147</v>
      </c>
      <c r="X2858" s="9" t="s">
        <v>3088</v>
      </c>
      <c r="Z2858" s="22">
        <v>8</v>
      </c>
      <c r="AD2858" s="22" t="s">
        <v>1165</v>
      </c>
      <c r="AF2858" s="24" t="s">
        <v>153</v>
      </c>
      <c r="AG2858" t="s">
        <v>1160</v>
      </c>
      <c r="AH2858">
        <f t="shared" si="28"/>
        <v>4320</v>
      </c>
      <c r="AI2858" s="21" t="s">
        <v>153</v>
      </c>
      <c r="AJ2858" s="21" t="s">
        <v>1148</v>
      </c>
      <c r="AK2858" s="21">
        <v>5.5439999999999996</v>
      </c>
      <c r="AL2858" s="21" t="s">
        <v>1321</v>
      </c>
      <c r="AM2858" s="21" t="s">
        <v>3003</v>
      </c>
      <c r="AN2858" s="21">
        <v>3</v>
      </c>
      <c r="AO2858" s="21">
        <v>50</v>
      </c>
      <c r="AP2858" s="21">
        <v>21</v>
      </c>
      <c r="AQ2858" s="22" t="s">
        <v>3092</v>
      </c>
      <c r="AR2858" s="21" t="s">
        <v>1155</v>
      </c>
      <c r="AS2858" t="s">
        <v>3085</v>
      </c>
    </row>
    <row r="2859" spans="1:45" x14ac:dyDescent="0.2">
      <c r="A2859" s="21" t="s">
        <v>1685</v>
      </c>
      <c r="B2859" s="21" t="s">
        <v>1146</v>
      </c>
      <c r="C2859" s="21" t="s">
        <v>1149</v>
      </c>
      <c r="D2859" s="21" t="s">
        <v>420</v>
      </c>
      <c r="E2859" s="21" t="s">
        <v>2027</v>
      </c>
      <c r="G2859" s="21" t="s">
        <v>153</v>
      </c>
      <c r="H2859" s="21" t="s">
        <v>1165</v>
      </c>
      <c r="I2859" s="21" t="s">
        <v>3095</v>
      </c>
      <c r="J2859" s="21">
        <v>49.466666666666598</v>
      </c>
      <c r="K2859">
        <v>-124.8</v>
      </c>
      <c r="L2859">
        <v>40</v>
      </c>
      <c r="M2859" s="21" t="s">
        <v>3034</v>
      </c>
      <c r="O2859" s="21">
        <v>1981</v>
      </c>
      <c r="Q2859" s="21" t="s">
        <v>3086</v>
      </c>
      <c r="T2859" s="21">
        <v>-20</v>
      </c>
      <c r="U2859" s="21" t="s">
        <v>1147</v>
      </c>
      <c r="X2859" s="9" t="s">
        <v>3088</v>
      </c>
      <c r="Z2859" s="22">
        <v>8</v>
      </c>
      <c r="AD2859" s="22" t="s">
        <v>1165</v>
      </c>
      <c r="AF2859" s="24" t="s">
        <v>153</v>
      </c>
      <c r="AG2859" t="s">
        <v>1160</v>
      </c>
      <c r="AH2859">
        <f t="shared" si="28"/>
        <v>4320</v>
      </c>
      <c r="AI2859" s="21" t="s">
        <v>153</v>
      </c>
      <c r="AJ2859" s="21" t="s">
        <v>1148</v>
      </c>
      <c r="AK2859" s="21">
        <v>10.407999999999999</v>
      </c>
      <c r="AL2859" s="21" t="s">
        <v>1321</v>
      </c>
      <c r="AM2859" s="21">
        <f>14.32-7.109</f>
        <v>7.2110000000000003</v>
      </c>
      <c r="AN2859" s="21">
        <v>3</v>
      </c>
      <c r="AO2859" s="21">
        <v>50</v>
      </c>
      <c r="AP2859" s="21">
        <v>24</v>
      </c>
      <c r="AQ2859" s="22" t="s">
        <v>3092</v>
      </c>
      <c r="AR2859" s="21" t="s">
        <v>1155</v>
      </c>
      <c r="AS2859" t="s">
        <v>3085</v>
      </c>
    </row>
    <row r="2860" spans="1:45" x14ac:dyDescent="0.2">
      <c r="A2860" s="21" t="s">
        <v>1685</v>
      </c>
      <c r="B2860" s="21" t="s">
        <v>1146</v>
      </c>
      <c r="C2860" s="21" t="s">
        <v>1149</v>
      </c>
      <c r="D2860" s="21" t="s">
        <v>420</v>
      </c>
      <c r="E2860" s="21" t="s">
        <v>2027</v>
      </c>
      <c r="G2860" s="21" t="s">
        <v>153</v>
      </c>
      <c r="H2860" s="21" t="s">
        <v>1165</v>
      </c>
      <c r="I2860" s="21" t="s">
        <v>3095</v>
      </c>
      <c r="J2860" s="21">
        <v>49.466666666666598</v>
      </c>
      <c r="K2860">
        <v>-124.8</v>
      </c>
      <c r="L2860">
        <v>40</v>
      </c>
      <c r="M2860" s="21" t="s">
        <v>3034</v>
      </c>
      <c r="O2860" s="21">
        <v>1981</v>
      </c>
      <c r="Q2860" s="21" t="s">
        <v>3086</v>
      </c>
      <c r="T2860" s="21">
        <v>-20</v>
      </c>
      <c r="U2860" s="21" t="s">
        <v>1147</v>
      </c>
      <c r="X2860" s="9" t="s">
        <v>3088</v>
      </c>
      <c r="Z2860" s="22">
        <v>8</v>
      </c>
      <c r="AD2860" s="22" t="s">
        <v>1165</v>
      </c>
      <c r="AF2860" s="24" t="s">
        <v>153</v>
      </c>
      <c r="AG2860" t="s">
        <v>1160</v>
      </c>
      <c r="AH2860">
        <f t="shared" si="28"/>
        <v>4320</v>
      </c>
      <c r="AI2860" s="21" t="s">
        <v>153</v>
      </c>
      <c r="AJ2860" s="21" t="s">
        <v>1148</v>
      </c>
      <c r="AK2860" s="21">
        <v>22.245000000000001</v>
      </c>
      <c r="AL2860" s="21" t="s">
        <v>1321</v>
      </c>
      <c r="AM2860" s="21">
        <f>25.204-19.354</f>
        <v>5.8500000000000014</v>
      </c>
      <c r="AN2860" s="21">
        <v>3</v>
      </c>
      <c r="AO2860" s="21">
        <v>50</v>
      </c>
      <c r="AP2860" s="21">
        <v>27</v>
      </c>
      <c r="AQ2860" s="22" t="s">
        <v>3092</v>
      </c>
      <c r="AR2860" s="21" t="s">
        <v>1155</v>
      </c>
      <c r="AS2860" t="s">
        <v>3085</v>
      </c>
    </row>
    <row r="2861" spans="1:45" x14ac:dyDescent="0.2">
      <c r="A2861" s="21" t="s">
        <v>1685</v>
      </c>
      <c r="B2861" s="21" t="s">
        <v>1146</v>
      </c>
      <c r="C2861" s="21" t="s">
        <v>1149</v>
      </c>
      <c r="D2861" s="21" t="s">
        <v>420</v>
      </c>
      <c r="E2861" s="21" t="s">
        <v>2027</v>
      </c>
      <c r="G2861" s="21" t="s">
        <v>153</v>
      </c>
      <c r="H2861" s="21" t="s">
        <v>1165</v>
      </c>
      <c r="I2861" s="21" t="s">
        <v>3095</v>
      </c>
      <c r="J2861" s="21">
        <v>49.466666666666598</v>
      </c>
      <c r="K2861">
        <v>-124.8</v>
      </c>
      <c r="L2861">
        <v>40</v>
      </c>
      <c r="M2861" s="21" t="s">
        <v>3034</v>
      </c>
      <c r="O2861" s="21">
        <v>1981</v>
      </c>
      <c r="Q2861" s="21" t="s">
        <v>3086</v>
      </c>
      <c r="T2861" s="21">
        <v>-20</v>
      </c>
      <c r="U2861" s="21" t="s">
        <v>1147</v>
      </c>
      <c r="X2861" s="9" t="s">
        <v>3088</v>
      </c>
      <c r="Z2861" s="22">
        <v>8</v>
      </c>
      <c r="AD2861" s="22" t="s">
        <v>1165</v>
      </c>
      <c r="AF2861" s="24" t="s">
        <v>153</v>
      </c>
      <c r="AG2861" t="s">
        <v>1160</v>
      </c>
      <c r="AH2861">
        <f t="shared" si="28"/>
        <v>4320</v>
      </c>
      <c r="AI2861" s="21" t="s">
        <v>153</v>
      </c>
      <c r="AJ2861" s="21" t="s">
        <v>1148</v>
      </c>
      <c r="AK2861" s="21">
        <v>28.98</v>
      </c>
      <c r="AL2861" s="21" t="s">
        <v>1321</v>
      </c>
      <c r="AM2861" s="21">
        <f>32.551-25.476</f>
        <v>7.0750000000000028</v>
      </c>
      <c r="AN2861" s="21">
        <v>3</v>
      </c>
      <c r="AO2861" s="21">
        <v>50</v>
      </c>
      <c r="AP2861" s="21">
        <v>30</v>
      </c>
      <c r="AQ2861" s="22" t="s">
        <v>3092</v>
      </c>
      <c r="AR2861" s="21" t="s">
        <v>1155</v>
      </c>
      <c r="AS2861" t="s">
        <v>3085</v>
      </c>
    </row>
    <row r="2862" spans="1:45" x14ac:dyDescent="0.2">
      <c r="A2862" s="21" t="s">
        <v>1685</v>
      </c>
      <c r="B2862" s="21" t="s">
        <v>1146</v>
      </c>
      <c r="C2862" s="21" t="s">
        <v>1149</v>
      </c>
      <c r="D2862" s="21" t="s">
        <v>420</v>
      </c>
      <c r="E2862" s="21" t="s">
        <v>3094</v>
      </c>
      <c r="G2862" s="21" t="s">
        <v>153</v>
      </c>
      <c r="H2862" s="21" t="s">
        <v>1165</v>
      </c>
      <c r="I2862" s="21" t="s">
        <v>3096</v>
      </c>
      <c r="J2862" s="21">
        <v>49</v>
      </c>
      <c r="K2862">
        <v>-121.5</v>
      </c>
      <c r="L2862">
        <v>1220</v>
      </c>
      <c r="M2862" s="21" t="s">
        <v>3034</v>
      </c>
      <c r="O2862" s="21">
        <v>1982</v>
      </c>
      <c r="Q2862" s="21" t="s">
        <v>3086</v>
      </c>
      <c r="T2862" s="21">
        <v>-20</v>
      </c>
      <c r="U2862" s="21" t="s">
        <v>1218</v>
      </c>
      <c r="V2862" s="9" t="s">
        <v>1247</v>
      </c>
      <c r="W2862">
        <f>56</f>
        <v>56</v>
      </c>
      <c r="X2862" s="9" t="s">
        <v>3088</v>
      </c>
      <c r="Z2862" s="22">
        <v>8</v>
      </c>
      <c r="AD2862" s="22" t="s">
        <v>1165</v>
      </c>
      <c r="AF2862" s="24" t="s">
        <v>153</v>
      </c>
      <c r="AG2862" t="s">
        <v>1160</v>
      </c>
      <c r="AH2862">
        <f t="shared" ref="AH2862:AH2863" si="29">24*60*3</f>
        <v>4320</v>
      </c>
      <c r="AI2862" s="21" t="s">
        <v>153</v>
      </c>
      <c r="AJ2862" s="21" t="s">
        <v>1148</v>
      </c>
      <c r="AK2862" s="21">
        <v>0</v>
      </c>
      <c r="AL2862" s="21" t="s">
        <v>1321</v>
      </c>
      <c r="AM2862" s="21">
        <v>0</v>
      </c>
      <c r="AN2862" s="21">
        <v>3</v>
      </c>
      <c r="AO2862" s="21">
        <v>50</v>
      </c>
      <c r="AP2862" s="21">
        <v>3</v>
      </c>
      <c r="AQ2862" s="22" t="s">
        <v>3016</v>
      </c>
      <c r="AR2862" s="21" t="s">
        <v>1155</v>
      </c>
      <c r="AS2862" t="s">
        <v>3085</v>
      </c>
    </row>
    <row r="2863" spans="1:45" x14ac:dyDescent="0.2">
      <c r="A2863" s="21" t="s">
        <v>1685</v>
      </c>
      <c r="B2863" s="21" t="s">
        <v>1146</v>
      </c>
      <c r="C2863" s="21" t="s">
        <v>1149</v>
      </c>
      <c r="D2863" s="21" t="s">
        <v>420</v>
      </c>
      <c r="E2863" s="21" t="s">
        <v>3094</v>
      </c>
      <c r="G2863" s="21" t="s">
        <v>153</v>
      </c>
      <c r="H2863" s="21" t="s">
        <v>1165</v>
      </c>
      <c r="I2863" s="21" t="s">
        <v>3096</v>
      </c>
      <c r="J2863" s="21">
        <v>49</v>
      </c>
      <c r="K2863">
        <v>-121.5</v>
      </c>
      <c r="L2863">
        <v>1220</v>
      </c>
      <c r="M2863" s="21" t="s">
        <v>3034</v>
      </c>
      <c r="O2863" s="21">
        <v>1982</v>
      </c>
      <c r="Q2863" s="21" t="s">
        <v>3086</v>
      </c>
      <c r="T2863" s="21">
        <v>-20</v>
      </c>
      <c r="U2863" s="21" t="s">
        <v>1218</v>
      </c>
      <c r="V2863" s="9" t="s">
        <v>1247</v>
      </c>
      <c r="W2863">
        <f>56</f>
        <v>56</v>
      </c>
      <c r="X2863" s="9" t="s">
        <v>3088</v>
      </c>
      <c r="Z2863" s="22">
        <v>8</v>
      </c>
      <c r="AD2863" s="22" t="s">
        <v>1165</v>
      </c>
      <c r="AF2863" s="24" t="s">
        <v>153</v>
      </c>
      <c r="AG2863" t="s">
        <v>1160</v>
      </c>
      <c r="AH2863">
        <f t="shared" si="29"/>
        <v>4320</v>
      </c>
      <c r="AI2863" s="21" t="s">
        <v>153</v>
      </c>
      <c r="AJ2863" s="21" t="s">
        <v>1148</v>
      </c>
      <c r="AK2863" s="21">
        <v>0</v>
      </c>
      <c r="AL2863" s="21" t="s">
        <v>1321</v>
      </c>
      <c r="AM2863" s="21">
        <v>0</v>
      </c>
      <c r="AN2863" s="21">
        <v>3</v>
      </c>
      <c r="AO2863" s="21">
        <v>50</v>
      </c>
      <c r="AP2863" s="21">
        <v>6</v>
      </c>
      <c r="AQ2863" s="22" t="s">
        <v>3016</v>
      </c>
      <c r="AR2863" s="21" t="s">
        <v>1155</v>
      </c>
      <c r="AS2863" t="s">
        <v>3085</v>
      </c>
    </row>
    <row r="2864" spans="1:45" x14ac:dyDescent="0.2">
      <c r="A2864" s="21" t="s">
        <v>1685</v>
      </c>
      <c r="B2864" s="21" t="s">
        <v>1146</v>
      </c>
      <c r="C2864" s="21" t="s">
        <v>1149</v>
      </c>
      <c r="D2864" s="21" t="s">
        <v>420</v>
      </c>
      <c r="E2864" s="21" t="s">
        <v>3094</v>
      </c>
      <c r="G2864" s="21" t="s">
        <v>153</v>
      </c>
      <c r="H2864" s="21" t="s">
        <v>1165</v>
      </c>
      <c r="I2864" s="21" t="s">
        <v>3096</v>
      </c>
      <c r="J2864" s="21">
        <v>49</v>
      </c>
      <c r="K2864">
        <v>-121.5</v>
      </c>
      <c r="L2864">
        <v>1220</v>
      </c>
      <c r="M2864" s="21" t="s">
        <v>3034</v>
      </c>
      <c r="O2864" s="21">
        <v>1982</v>
      </c>
      <c r="Q2864" s="21" t="s">
        <v>3086</v>
      </c>
      <c r="T2864" s="21">
        <v>-20</v>
      </c>
      <c r="U2864" s="21" t="s">
        <v>1218</v>
      </c>
      <c r="V2864" s="9" t="s">
        <v>1247</v>
      </c>
      <c r="W2864">
        <f>56</f>
        <v>56</v>
      </c>
      <c r="X2864" s="9" t="s">
        <v>3088</v>
      </c>
      <c r="Z2864" s="22">
        <v>8</v>
      </c>
      <c r="AD2864" s="22" t="s">
        <v>1165</v>
      </c>
      <c r="AF2864" s="24" t="s">
        <v>153</v>
      </c>
      <c r="AG2864" t="s">
        <v>1160</v>
      </c>
      <c r="AH2864">
        <f t="shared" ref="AH2864:AH2927" si="30">24*60*3</f>
        <v>4320</v>
      </c>
      <c r="AI2864" s="21" t="s">
        <v>153</v>
      </c>
      <c r="AJ2864" s="21" t="s">
        <v>1148</v>
      </c>
      <c r="AK2864" s="21">
        <v>7.5620000000000003</v>
      </c>
      <c r="AL2864" s="21" t="s">
        <v>1321</v>
      </c>
      <c r="AM2864" s="21" t="s">
        <v>3003</v>
      </c>
      <c r="AN2864" s="21">
        <v>3</v>
      </c>
      <c r="AO2864" s="21">
        <v>50</v>
      </c>
      <c r="AP2864" s="21">
        <v>12</v>
      </c>
      <c r="AQ2864" s="22" t="s">
        <v>3016</v>
      </c>
      <c r="AR2864" s="21" t="s">
        <v>1155</v>
      </c>
      <c r="AS2864" t="s">
        <v>3085</v>
      </c>
    </row>
    <row r="2865" spans="1:45" x14ac:dyDescent="0.2">
      <c r="A2865" s="21" t="s">
        <v>1685</v>
      </c>
      <c r="B2865" s="21" t="s">
        <v>1146</v>
      </c>
      <c r="C2865" s="21" t="s">
        <v>1149</v>
      </c>
      <c r="D2865" s="21" t="s">
        <v>420</v>
      </c>
      <c r="E2865" s="21" t="s">
        <v>3094</v>
      </c>
      <c r="G2865" s="21" t="s">
        <v>153</v>
      </c>
      <c r="H2865" s="21" t="s">
        <v>1165</v>
      </c>
      <c r="I2865" s="21" t="s">
        <v>3096</v>
      </c>
      <c r="J2865" s="21">
        <v>49</v>
      </c>
      <c r="K2865">
        <v>-121.5</v>
      </c>
      <c r="L2865">
        <v>1220</v>
      </c>
      <c r="M2865" s="21" t="s">
        <v>3034</v>
      </c>
      <c r="O2865" s="21">
        <v>1982</v>
      </c>
      <c r="Q2865" s="21" t="s">
        <v>3086</v>
      </c>
      <c r="T2865" s="21">
        <v>-20</v>
      </c>
      <c r="U2865" s="21" t="s">
        <v>1218</v>
      </c>
      <c r="V2865" s="9" t="s">
        <v>1247</v>
      </c>
      <c r="W2865">
        <f>56</f>
        <v>56</v>
      </c>
      <c r="X2865" s="9" t="s">
        <v>3088</v>
      </c>
      <c r="Z2865" s="22">
        <v>8</v>
      </c>
      <c r="AD2865" s="22" t="s">
        <v>1165</v>
      </c>
      <c r="AF2865" s="24" t="s">
        <v>153</v>
      </c>
      <c r="AG2865" t="s">
        <v>1160</v>
      </c>
      <c r="AH2865">
        <f t="shared" si="30"/>
        <v>4320</v>
      </c>
      <c r="AI2865" s="21" t="s">
        <v>153</v>
      </c>
      <c r="AJ2865" s="21" t="s">
        <v>1148</v>
      </c>
      <c r="AK2865" s="21">
        <v>19.469000000000001</v>
      </c>
      <c r="AL2865" s="21" t="s">
        <v>1321</v>
      </c>
      <c r="AM2865" s="21" t="s">
        <v>3003</v>
      </c>
      <c r="AN2865" s="21">
        <v>3</v>
      </c>
      <c r="AO2865" s="21">
        <v>50</v>
      </c>
      <c r="AP2865" s="21">
        <v>18</v>
      </c>
      <c r="AQ2865" s="22" t="s">
        <v>3016</v>
      </c>
      <c r="AR2865" s="21" t="s">
        <v>1155</v>
      </c>
      <c r="AS2865" t="s">
        <v>3085</v>
      </c>
    </row>
    <row r="2866" spans="1:45" x14ac:dyDescent="0.2">
      <c r="A2866" s="21" t="s">
        <v>1685</v>
      </c>
      <c r="B2866" s="21" t="s">
        <v>1146</v>
      </c>
      <c r="C2866" s="21" t="s">
        <v>1149</v>
      </c>
      <c r="D2866" s="21" t="s">
        <v>420</v>
      </c>
      <c r="E2866" s="21" t="s">
        <v>3094</v>
      </c>
      <c r="G2866" s="21" t="s">
        <v>153</v>
      </c>
      <c r="H2866" s="21" t="s">
        <v>1165</v>
      </c>
      <c r="I2866" s="21" t="s">
        <v>3096</v>
      </c>
      <c r="J2866" s="21">
        <v>49</v>
      </c>
      <c r="K2866">
        <v>-121.5</v>
      </c>
      <c r="L2866">
        <v>1220</v>
      </c>
      <c r="M2866" s="21" t="s">
        <v>3034</v>
      </c>
      <c r="O2866" s="21">
        <v>1982</v>
      </c>
      <c r="Q2866" s="21" t="s">
        <v>3086</v>
      </c>
      <c r="T2866" s="21">
        <v>-20</v>
      </c>
      <c r="U2866" s="21" t="s">
        <v>1218</v>
      </c>
      <c r="V2866" s="9" t="s">
        <v>1247</v>
      </c>
      <c r="W2866">
        <f>56</f>
        <v>56</v>
      </c>
      <c r="X2866" s="9" t="s">
        <v>3088</v>
      </c>
      <c r="Z2866" s="22">
        <v>8</v>
      </c>
      <c r="AD2866" s="22" t="s">
        <v>1165</v>
      </c>
      <c r="AF2866" s="24" t="s">
        <v>153</v>
      </c>
      <c r="AG2866" t="s">
        <v>1160</v>
      </c>
      <c r="AH2866">
        <f t="shared" si="30"/>
        <v>4320</v>
      </c>
      <c r="AI2866" s="21" t="s">
        <v>153</v>
      </c>
      <c r="AJ2866" s="21" t="s">
        <v>1148</v>
      </c>
      <c r="AK2866" s="21">
        <v>24.776</v>
      </c>
      <c r="AL2866" s="21" t="s">
        <v>1321</v>
      </c>
      <c r="AM2866" s="21" t="s">
        <v>3003</v>
      </c>
      <c r="AN2866" s="21">
        <v>3</v>
      </c>
      <c r="AO2866" s="21">
        <v>50</v>
      </c>
      <c r="AP2866" s="21">
        <v>21</v>
      </c>
      <c r="AQ2866" s="22" t="s">
        <v>3016</v>
      </c>
      <c r="AR2866" s="21" t="s">
        <v>1155</v>
      </c>
      <c r="AS2866" t="s">
        <v>3085</v>
      </c>
    </row>
    <row r="2867" spans="1:45" x14ac:dyDescent="0.2">
      <c r="A2867" s="21" t="s">
        <v>1685</v>
      </c>
      <c r="B2867" s="21" t="s">
        <v>1146</v>
      </c>
      <c r="C2867" s="21" t="s">
        <v>1149</v>
      </c>
      <c r="D2867" s="21" t="s">
        <v>420</v>
      </c>
      <c r="E2867" s="21" t="s">
        <v>3094</v>
      </c>
      <c r="G2867" s="21" t="s">
        <v>153</v>
      </c>
      <c r="H2867" s="21" t="s">
        <v>1165</v>
      </c>
      <c r="I2867" s="21" t="s">
        <v>3096</v>
      </c>
      <c r="J2867" s="21">
        <v>49</v>
      </c>
      <c r="K2867">
        <v>-121.5</v>
      </c>
      <c r="L2867">
        <v>1220</v>
      </c>
      <c r="M2867" s="21" t="s">
        <v>3034</v>
      </c>
      <c r="O2867" s="21">
        <v>1982</v>
      </c>
      <c r="Q2867" s="21" t="s">
        <v>3086</v>
      </c>
      <c r="T2867" s="21">
        <v>-20</v>
      </c>
      <c r="U2867" s="21" t="s">
        <v>1218</v>
      </c>
      <c r="V2867" s="9" t="s">
        <v>1247</v>
      </c>
      <c r="W2867">
        <f>56</f>
        <v>56</v>
      </c>
      <c r="X2867" s="9" t="s">
        <v>3088</v>
      </c>
      <c r="Z2867" s="22">
        <v>8</v>
      </c>
      <c r="AD2867" s="22" t="s">
        <v>1165</v>
      </c>
      <c r="AF2867" s="24" t="s">
        <v>153</v>
      </c>
      <c r="AG2867" t="s">
        <v>1160</v>
      </c>
      <c r="AH2867">
        <f t="shared" si="30"/>
        <v>4320</v>
      </c>
      <c r="AI2867" s="21" t="s">
        <v>153</v>
      </c>
      <c r="AJ2867" s="21" t="s">
        <v>1148</v>
      </c>
      <c r="AK2867" s="21">
        <v>34.395000000000003</v>
      </c>
      <c r="AL2867" s="21" t="s">
        <v>1321</v>
      </c>
      <c r="AM2867" s="21" t="s">
        <v>3003</v>
      </c>
      <c r="AN2867" s="21">
        <v>3</v>
      </c>
      <c r="AO2867" s="21">
        <v>50</v>
      </c>
      <c r="AP2867" s="21">
        <v>30</v>
      </c>
      <c r="AQ2867" s="22" t="s">
        <v>3016</v>
      </c>
      <c r="AR2867" s="21" t="s">
        <v>1155</v>
      </c>
      <c r="AS2867" t="s">
        <v>3085</v>
      </c>
    </row>
    <row r="2868" spans="1:45" x14ac:dyDescent="0.2">
      <c r="A2868" s="21" t="s">
        <v>1685</v>
      </c>
      <c r="B2868" s="21" t="s">
        <v>1146</v>
      </c>
      <c r="C2868" s="21" t="s">
        <v>1149</v>
      </c>
      <c r="D2868" s="21" t="s">
        <v>420</v>
      </c>
      <c r="E2868" s="21" t="s">
        <v>3094</v>
      </c>
      <c r="G2868" s="21" t="s">
        <v>153</v>
      </c>
      <c r="H2868" s="21" t="s">
        <v>1165</v>
      </c>
      <c r="I2868" s="21" t="s">
        <v>3096</v>
      </c>
      <c r="J2868" s="21">
        <v>49</v>
      </c>
      <c r="K2868">
        <v>-121.5</v>
      </c>
      <c r="L2868">
        <v>1220</v>
      </c>
      <c r="M2868" s="21" t="s">
        <v>3034</v>
      </c>
      <c r="O2868" s="21">
        <v>1982</v>
      </c>
      <c r="Q2868" s="21" t="s">
        <v>3086</v>
      </c>
      <c r="T2868" s="21">
        <v>-20</v>
      </c>
      <c r="U2868" s="21" t="s">
        <v>1218</v>
      </c>
      <c r="V2868" s="9" t="s">
        <v>1247</v>
      </c>
      <c r="W2868">
        <f>56</f>
        <v>56</v>
      </c>
      <c r="X2868" s="9" t="s">
        <v>3088</v>
      </c>
      <c r="Y2868" t="s">
        <v>3089</v>
      </c>
      <c r="Z2868" s="22">
        <v>8</v>
      </c>
      <c r="AD2868" s="22" t="s">
        <v>1165</v>
      </c>
      <c r="AF2868" s="24" t="s">
        <v>153</v>
      </c>
      <c r="AG2868" t="s">
        <v>1160</v>
      </c>
      <c r="AH2868">
        <f t="shared" si="30"/>
        <v>4320</v>
      </c>
      <c r="AI2868" s="21" t="s">
        <v>153</v>
      </c>
      <c r="AJ2868" s="21" t="s">
        <v>1148</v>
      </c>
      <c r="AK2868" s="21">
        <v>0</v>
      </c>
      <c r="AL2868" s="21" t="s">
        <v>1321</v>
      </c>
      <c r="AM2868">
        <v>0</v>
      </c>
      <c r="AN2868" s="21">
        <v>3</v>
      </c>
      <c r="AO2868" s="21">
        <v>50</v>
      </c>
      <c r="AP2868" s="21">
        <v>3</v>
      </c>
      <c r="AQ2868" s="22" t="s">
        <v>3016</v>
      </c>
      <c r="AR2868" s="21" t="s">
        <v>1155</v>
      </c>
      <c r="AS2868" t="s">
        <v>3085</v>
      </c>
    </row>
    <row r="2869" spans="1:45" x14ac:dyDescent="0.2">
      <c r="A2869" s="21" t="s">
        <v>1685</v>
      </c>
      <c r="B2869" s="21" t="s">
        <v>1146</v>
      </c>
      <c r="C2869" s="21" t="s">
        <v>1149</v>
      </c>
      <c r="D2869" s="21" t="s">
        <v>420</v>
      </c>
      <c r="E2869" s="21" t="s">
        <v>3094</v>
      </c>
      <c r="G2869" s="21" t="s">
        <v>153</v>
      </c>
      <c r="H2869" s="21" t="s">
        <v>1165</v>
      </c>
      <c r="I2869" s="21" t="s">
        <v>3096</v>
      </c>
      <c r="J2869" s="21">
        <v>49</v>
      </c>
      <c r="K2869">
        <v>-121.5</v>
      </c>
      <c r="L2869">
        <v>1220</v>
      </c>
      <c r="M2869" s="21" t="s">
        <v>3034</v>
      </c>
      <c r="O2869" s="21">
        <v>1982</v>
      </c>
      <c r="Q2869" s="21" t="s">
        <v>3086</v>
      </c>
      <c r="T2869" s="21">
        <v>-20</v>
      </c>
      <c r="U2869" s="21" t="s">
        <v>1218</v>
      </c>
      <c r="V2869" s="9" t="s">
        <v>1247</v>
      </c>
      <c r="W2869">
        <f>56</f>
        <v>56</v>
      </c>
      <c r="X2869" s="9" t="s">
        <v>3088</v>
      </c>
      <c r="Y2869" t="s">
        <v>3089</v>
      </c>
      <c r="Z2869" s="22">
        <v>8</v>
      </c>
      <c r="AD2869" s="22" t="s">
        <v>1165</v>
      </c>
      <c r="AF2869" s="24" t="s">
        <v>153</v>
      </c>
      <c r="AG2869" t="s">
        <v>1160</v>
      </c>
      <c r="AH2869">
        <f t="shared" si="30"/>
        <v>4320</v>
      </c>
      <c r="AI2869" s="21" t="s">
        <v>153</v>
      </c>
      <c r="AJ2869" s="21" t="s">
        <v>1148</v>
      </c>
      <c r="AK2869" s="21">
        <v>0</v>
      </c>
      <c r="AL2869" s="21" t="s">
        <v>1321</v>
      </c>
      <c r="AM2869">
        <v>0</v>
      </c>
      <c r="AN2869" s="21">
        <v>3</v>
      </c>
      <c r="AO2869" s="21">
        <v>50</v>
      </c>
      <c r="AP2869" s="21">
        <v>6</v>
      </c>
      <c r="AQ2869" s="22" t="s">
        <v>3016</v>
      </c>
      <c r="AR2869" s="21" t="s">
        <v>1155</v>
      </c>
      <c r="AS2869" t="s">
        <v>3085</v>
      </c>
    </row>
    <row r="2870" spans="1:45" x14ac:dyDescent="0.2">
      <c r="A2870" s="21" t="s">
        <v>1685</v>
      </c>
      <c r="B2870" s="21" t="s">
        <v>1146</v>
      </c>
      <c r="C2870" s="21" t="s">
        <v>1149</v>
      </c>
      <c r="D2870" s="21" t="s">
        <v>420</v>
      </c>
      <c r="E2870" s="21" t="s">
        <v>3094</v>
      </c>
      <c r="G2870" s="21" t="s">
        <v>153</v>
      </c>
      <c r="H2870" s="21" t="s">
        <v>1165</v>
      </c>
      <c r="I2870" s="21" t="s">
        <v>3096</v>
      </c>
      <c r="J2870" s="21">
        <v>49</v>
      </c>
      <c r="K2870">
        <v>-121.5</v>
      </c>
      <c r="L2870">
        <v>1220</v>
      </c>
      <c r="M2870" s="21" t="s">
        <v>3034</v>
      </c>
      <c r="O2870" s="21">
        <v>1982</v>
      </c>
      <c r="Q2870" s="21" t="s">
        <v>3086</v>
      </c>
      <c r="T2870" s="21">
        <v>-20</v>
      </c>
      <c r="U2870" s="21" t="s">
        <v>1218</v>
      </c>
      <c r="V2870" s="9" t="s">
        <v>1247</v>
      </c>
      <c r="W2870">
        <f>56</f>
        <v>56</v>
      </c>
      <c r="X2870" s="9" t="s">
        <v>3088</v>
      </c>
      <c r="Y2870" t="s">
        <v>3089</v>
      </c>
      <c r="Z2870" s="22">
        <v>8</v>
      </c>
      <c r="AD2870" s="22" t="s">
        <v>1165</v>
      </c>
      <c r="AF2870" s="24" t="s">
        <v>153</v>
      </c>
      <c r="AG2870" t="s">
        <v>1160</v>
      </c>
      <c r="AH2870">
        <f t="shared" si="30"/>
        <v>4320</v>
      </c>
      <c r="AI2870" s="21" t="s">
        <v>153</v>
      </c>
      <c r="AJ2870" s="21" t="s">
        <v>1148</v>
      </c>
      <c r="AK2870" s="21">
        <v>4.8090000000000002</v>
      </c>
      <c r="AL2870" s="21" t="s">
        <v>1321</v>
      </c>
      <c r="AM2870" s="21" t="s">
        <v>3003</v>
      </c>
      <c r="AN2870" s="21">
        <v>3</v>
      </c>
      <c r="AO2870" s="21">
        <v>50</v>
      </c>
      <c r="AP2870" s="21">
        <v>9</v>
      </c>
      <c r="AQ2870" s="22" t="s">
        <v>3016</v>
      </c>
      <c r="AR2870" s="21" t="s">
        <v>1155</v>
      </c>
      <c r="AS2870" t="s">
        <v>3085</v>
      </c>
    </row>
    <row r="2871" spans="1:45" x14ac:dyDescent="0.2">
      <c r="A2871" s="21" t="s">
        <v>1685</v>
      </c>
      <c r="B2871" s="21" t="s">
        <v>1146</v>
      </c>
      <c r="C2871" s="21" t="s">
        <v>1149</v>
      </c>
      <c r="D2871" s="21" t="s">
        <v>420</v>
      </c>
      <c r="E2871" s="21" t="s">
        <v>3094</v>
      </c>
      <c r="G2871" s="21" t="s">
        <v>153</v>
      </c>
      <c r="H2871" s="21" t="s">
        <v>1165</v>
      </c>
      <c r="I2871" s="21" t="s">
        <v>3096</v>
      </c>
      <c r="J2871" s="21">
        <v>49</v>
      </c>
      <c r="K2871">
        <v>-121.5</v>
      </c>
      <c r="L2871">
        <v>1220</v>
      </c>
      <c r="M2871" s="21" t="s">
        <v>3034</v>
      </c>
      <c r="O2871" s="21">
        <v>1982</v>
      </c>
      <c r="Q2871" s="21" t="s">
        <v>3086</v>
      </c>
      <c r="T2871" s="21">
        <v>-20</v>
      </c>
      <c r="U2871" s="21" t="s">
        <v>1218</v>
      </c>
      <c r="V2871" s="9" t="s">
        <v>1247</v>
      </c>
      <c r="W2871">
        <f>56</f>
        <v>56</v>
      </c>
      <c r="X2871" s="9" t="s">
        <v>3088</v>
      </c>
      <c r="Y2871" t="s">
        <v>3089</v>
      </c>
      <c r="Z2871" s="22">
        <v>8</v>
      </c>
      <c r="AD2871" s="22" t="s">
        <v>1165</v>
      </c>
      <c r="AF2871" s="24" t="s">
        <v>153</v>
      </c>
      <c r="AG2871" t="s">
        <v>1160</v>
      </c>
      <c r="AH2871">
        <f t="shared" si="30"/>
        <v>4320</v>
      </c>
      <c r="AI2871" s="21" t="s">
        <v>153</v>
      </c>
      <c r="AJ2871" s="21" t="s">
        <v>1148</v>
      </c>
      <c r="AK2871" s="21">
        <v>7.5620000000000003</v>
      </c>
      <c r="AL2871" s="21" t="s">
        <v>1321</v>
      </c>
      <c r="AM2871" s="21" t="s">
        <v>3003</v>
      </c>
      <c r="AN2871" s="21">
        <v>3</v>
      </c>
      <c r="AO2871" s="21">
        <v>50</v>
      </c>
      <c r="AP2871" s="21">
        <v>12</v>
      </c>
      <c r="AQ2871" s="22" t="s">
        <v>3016</v>
      </c>
      <c r="AR2871" s="21" t="s">
        <v>1155</v>
      </c>
      <c r="AS2871" t="s">
        <v>3085</v>
      </c>
    </row>
    <row r="2872" spans="1:45" x14ac:dyDescent="0.2">
      <c r="A2872" s="21" t="s">
        <v>1685</v>
      </c>
      <c r="B2872" s="21" t="s">
        <v>1146</v>
      </c>
      <c r="C2872" s="21" t="s">
        <v>1149</v>
      </c>
      <c r="D2872" s="21" t="s">
        <v>420</v>
      </c>
      <c r="E2872" s="21" t="s">
        <v>3094</v>
      </c>
      <c r="G2872" s="21" t="s">
        <v>153</v>
      </c>
      <c r="H2872" s="21" t="s">
        <v>1165</v>
      </c>
      <c r="I2872" s="21" t="s">
        <v>3096</v>
      </c>
      <c r="J2872" s="21">
        <v>49</v>
      </c>
      <c r="K2872">
        <v>-121.5</v>
      </c>
      <c r="L2872">
        <v>1220</v>
      </c>
      <c r="M2872" s="21" t="s">
        <v>3034</v>
      </c>
      <c r="O2872" s="21">
        <v>1982</v>
      </c>
      <c r="Q2872" s="21" t="s">
        <v>3086</v>
      </c>
      <c r="T2872" s="21">
        <v>-20</v>
      </c>
      <c r="U2872" s="21" t="s">
        <v>1218</v>
      </c>
      <c r="V2872" s="9" t="s">
        <v>1247</v>
      </c>
      <c r="W2872">
        <f>56</f>
        <v>56</v>
      </c>
      <c r="X2872" s="9" t="s">
        <v>3088</v>
      </c>
      <c r="Y2872" t="s">
        <v>3089</v>
      </c>
      <c r="Z2872" s="22">
        <v>8</v>
      </c>
      <c r="AD2872" s="22" t="s">
        <v>1165</v>
      </c>
      <c r="AF2872" s="24" t="s">
        <v>153</v>
      </c>
      <c r="AG2872" t="s">
        <v>1160</v>
      </c>
      <c r="AH2872">
        <f t="shared" si="30"/>
        <v>4320</v>
      </c>
      <c r="AI2872" s="21" t="s">
        <v>153</v>
      </c>
      <c r="AJ2872" s="21" t="s">
        <v>1148</v>
      </c>
      <c r="AK2872" s="21">
        <v>16.516999999999999</v>
      </c>
      <c r="AL2872" s="21" t="s">
        <v>1321</v>
      </c>
      <c r="AM2872" s="21" t="s">
        <v>3003</v>
      </c>
      <c r="AN2872" s="21">
        <v>3</v>
      </c>
      <c r="AO2872" s="21">
        <v>50</v>
      </c>
      <c r="AP2872" s="21">
        <v>15</v>
      </c>
      <c r="AQ2872" s="22" t="s">
        <v>3016</v>
      </c>
      <c r="AR2872" s="21" t="s">
        <v>1155</v>
      </c>
      <c r="AS2872" t="s">
        <v>3085</v>
      </c>
    </row>
    <row r="2873" spans="1:45" x14ac:dyDescent="0.2">
      <c r="A2873" s="21" t="s">
        <v>1685</v>
      </c>
      <c r="B2873" s="21" t="s">
        <v>1146</v>
      </c>
      <c r="C2873" s="21" t="s">
        <v>1149</v>
      </c>
      <c r="D2873" s="21" t="s">
        <v>420</v>
      </c>
      <c r="E2873" s="21" t="s">
        <v>3094</v>
      </c>
      <c r="G2873" s="21" t="s">
        <v>153</v>
      </c>
      <c r="H2873" s="21" t="s">
        <v>1165</v>
      </c>
      <c r="I2873" s="21" t="s">
        <v>3096</v>
      </c>
      <c r="J2873" s="21">
        <v>49</v>
      </c>
      <c r="K2873">
        <v>-121.5</v>
      </c>
      <c r="L2873">
        <v>1220</v>
      </c>
      <c r="M2873" s="21" t="s">
        <v>3034</v>
      </c>
      <c r="O2873" s="21">
        <v>1982</v>
      </c>
      <c r="Q2873" s="21" t="s">
        <v>3086</v>
      </c>
      <c r="T2873" s="21">
        <v>-20</v>
      </c>
      <c r="U2873" s="21" t="s">
        <v>1218</v>
      </c>
      <c r="V2873" s="9" t="s">
        <v>1247</v>
      </c>
      <c r="W2873">
        <f>56</f>
        <v>56</v>
      </c>
      <c r="X2873" s="9" t="s">
        <v>3088</v>
      </c>
      <c r="Y2873" t="s">
        <v>3089</v>
      </c>
      <c r="Z2873" s="22">
        <v>8</v>
      </c>
      <c r="AD2873" s="22" t="s">
        <v>1165</v>
      </c>
      <c r="AF2873" s="24" t="s">
        <v>153</v>
      </c>
      <c r="AG2873" t="s">
        <v>1160</v>
      </c>
      <c r="AH2873">
        <f t="shared" si="30"/>
        <v>4320</v>
      </c>
      <c r="AI2873" s="21" t="s">
        <v>153</v>
      </c>
      <c r="AJ2873" s="21" t="s">
        <v>1148</v>
      </c>
      <c r="AK2873" s="21">
        <v>19.303000000000001</v>
      </c>
      <c r="AL2873" s="21" t="s">
        <v>1321</v>
      </c>
      <c r="AM2873" s="21" t="s">
        <v>3003</v>
      </c>
      <c r="AN2873" s="21">
        <v>3</v>
      </c>
      <c r="AO2873" s="21">
        <v>50</v>
      </c>
      <c r="AP2873" s="21">
        <v>18</v>
      </c>
      <c r="AQ2873" s="22" t="s">
        <v>3016</v>
      </c>
      <c r="AR2873" s="21" t="s">
        <v>1155</v>
      </c>
      <c r="AS2873" t="s">
        <v>3085</v>
      </c>
    </row>
    <row r="2874" spans="1:45" x14ac:dyDescent="0.2">
      <c r="A2874" s="21" t="s">
        <v>1685</v>
      </c>
      <c r="B2874" s="21" t="s">
        <v>1146</v>
      </c>
      <c r="C2874" s="21" t="s">
        <v>1149</v>
      </c>
      <c r="D2874" s="21" t="s">
        <v>420</v>
      </c>
      <c r="E2874" s="21" t="s">
        <v>3094</v>
      </c>
      <c r="G2874" s="21" t="s">
        <v>153</v>
      </c>
      <c r="H2874" s="21" t="s">
        <v>1165</v>
      </c>
      <c r="I2874" s="21" t="s">
        <v>3096</v>
      </c>
      <c r="J2874" s="21">
        <v>49</v>
      </c>
      <c r="K2874">
        <v>-121.5</v>
      </c>
      <c r="L2874">
        <v>1220</v>
      </c>
      <c r="M2874" s="21" t="s">
        <v>3034</v>
      </c>
      <c r="O2874" s="21">
        <v>1982</v>
      </c>
      <c r="Q2874" s="21" t="s">
        <v>3086</v>
      </c>
      <c r="T2874" s="21">
        <v>-20</v>
      </c>
      <c r="U2874" s="21" t="s">
        <v>1218</v>
      </c>
      <c r="V2874" s="9" t="s">
        <v>1247</v>
      </c>
      <c r="W2874">
        <f>56</f>
        <v>56</v>
      </c>
      <c r="X2874" s="9" t="s">
        <v>3088</v>
      </c>
      <c r="Y2874" t="s">
        <v>3089</v>
      </c>
      <c r="Z2874" s="22">
        <v>8</v>
      </c>
      <c r="AD2874" s="22" t="s">
        <v>1165</v>
      </c>
      <c r="AF2874" s="24" t="s">
        <v>153</v>
      </c>
      <c r="AG2874" t="s">
        <v>1160</v>
      </c>
      <c r="AH2874">
        <f t="shared" si="30"/>
        <v>4320</v>
      </c>
      <c r="AI2874" s="21" t="s">
        <v>153</v>
      </c>
      <c r="AJ2874" s="21" t="s">
        <v>1148</v>
      </c>
      <c r="AK2874" s="21">
        <v>23.881</v>
      </c>
      <c r="AL2874" s="21" t="s">
        <v>1321</v>
      </c>
      <c r="AM2874" s="21" t="s">
        <v>3003</v>
      </c>
      <c r="AN2874" s="21">
        <v>3</v>
      </c>
      <c r="AO2874" s="21">
        <v>50</v>
      </c>
      <c r="AP2874" s="21">
        <v>21</v>
      </c>
      <c r="AQ2874" s="22" t="s">
        <v>3016</v>
      </c>
      <c r="AR2874" s="21" t="s">
        <v>1155</v>
      </c>
      <c r="AS2874" t="s">
        <v>3085</v>
      </c>
    </row>
    <row r="2875" spans="1:45" x14ac:dyDescent="0.2">
      <c r="A2875" s="21" t="s">
        <v>1685</v>
      </c>
      <c r="B2875" s="21" t="s">
        <v>1146</v>
      </c>
      <c r="C2875" s="21" t="s">
        <v>1149</v>
      </c>
      <c r="D2875" s="21" t="s">
        <v>420</v>
      </c>
      <c r="E2875" s="21" t="s">
        <v>3094</v>
      </c>
      <c r="G2875" s="21" t="s">
        <v>153</v>
      </c>
      <c r="H2875" s="21" t="s">
        <v>1165</v>
      </c>
      <c r="I2875" s="21" t="s">
        <v>3096</v>
      </c>
      <c r="J2875" s="21">
        <v>49</v>
      </c>
      <c r="K2875">
        <v>-121.5</v>
      </c>
      <c r="L2875">
        <v>1220</v>
      </c>
      <c r="M2875" s="21" t="s">
        <v>3034</v>
      </c>
      <c r="O2875" s="21">
        <v>1982</v>
      </c>
      <c r="Q2875" s="21" t="s">
        <v>3086</v>
      </c>
      <c r="T2875" s="21">
        <v>-20</v>
      </c>
      <c r="U2875" s="21" t="s">
        <v>1218</v>
      </c>
      <c r="V2875" s="9" t="s">
        <v>1247</v>
      </c>
      <c r="W2875">
        <f>56</f>
        <v>56</v>
      </c>
      <c r="X2875" s="9" t="s">
        <v>3088</v>
      </c>
      <c r="Y2875" t="s">
        <v>3089</v>
      </c>
      <c r="Z2875" s="22">
        <v>8</v>
      </c>
      <c r="AD2875" s="22" t="s">
        <v>1165</v>
      </c>
      <c r="AF2875" s="24" t="s">
        <v>153</v>
      </c>
      <c r="AG2875" t="s">
        <v>1160</v>
      </c>
      <c r="AH2875">
        <f t="shared" si="30"/>
        <v>4320</v>
      </c>
      <c r="AI2875" s="21" t="s">
        <v>153</v>
      </c>
      <c r="AJ2875" s="21" t="s">
        <v>1148</v>
      </c>
      <c r="AK2875" s="21">
        <v>26.07</v>
      </c>
      <c r="AL2875" s="21" t="s">
        <v>1321</v>
      </c>
      <c r="AM2875" s="21" t="s">
        <v>3003</v>
      </c>
      <c r="AN2875" s="21">
        <v>3</v>
      </c>
      <c r="AO2875" s="21">
        <v>50</v>
      </c>
      <c r="AP2875" s="21">
        <v>24</v>
      </c>
      <c r="AQ2875" s="22" t="s">
        <v>3016</v>
      </c>
      <c r="AR2875" s="21" t="s">
        <v>1155</v>
      </c>
      <c r="AS2875" t="s">
        <v>3085</v>
      </c>
    </row>
    <row r="2876" spans="1:45" x14ac:dyDescent="0.2">
      <c r="A2876" s="21" t="s">
        <v>1685</v>
      </c>
      <c r="B2876" s="21" t="s">
        <v>1146</v>
      </c>
      <c r="C2876" s="21" t="s">
        <v>1149</v>
      </c>
      <c r="D2876" s="21" t="s">
        <v>420</v>
      </c>
      <c r="E2876" s="21" t="s">
        <v>3094</v>
      </c>
      <c r="G2876" s="21" t="s">
        <v>153</v>
      </c>
      <c r="H2876" s="21" t="s">
        <v>1165</v>
      </c>
      <c r="I2876" s="21" t="s">
        <v>3096</v>
      </c>
      <c r="J2876" s="21">
        <v>49</v>
      </c>
      <c r="K2876">
        <v>-121.5</v>
      </c>
      <c r="L2876">
        <v>1220</v>
      </c>
      <c r="M2876" s="21" t="s">
        <v>3034</v>
      </c>
      <c r="O2876" s="21">
        <v>1982</v>
      </c>
      <c r="Q2876" s="21" t="s">
        <v>3086</v>
      </c>
      <c r="T2876" s="21">
        <v>-20</v>
      </c>
      <c r="U2876" s="21" t="s">
        <v>1218</v>
      </c>
      <c r="V2876" s="9" t="s">
        <v>1247</v>
      </c>
      <c r="W2876">
        <f>56</f>
        <v>56</v>
      </c>
      <c r="X2876" s="9" t="s">
        <v>3088</v>
      </c>
      <c r="Y2876" t="s">
        <v>3089</v>
      </c>
      <c r="Z2876" s="22">
        <v>8</v>
      </c>
      <c r="AD2876" s="22" t="s">
        <v>1165</v>
      </c>
      <c r="AF2876" s="24" t="s">
        <v>153</v>
      </c>
      <c r="AG2876" t="s">
        <v>1160</v>
      </c>
      <c r="AH2876">
        <f t="shared" si="30"/>
        <v>4320</v>
      </c>
      <c r="AI2876" s="21" t="s">
        <v>153</v>
      </c>
      <c r="AJ2876" s="21" t="s">
        <v>1148</v>
      </c>
      <c r="AK2876" s="21">
        <v>30.448</v>
      </c>
      <c r="AL2876" s="21" t="s">
        <v>1321</v>
      </c>
      <c r="AM2876" s="21" t="s">
        <v>3003</v>
      </c>
      <c r="AN2876" s="21">
        <v>3</v>
      </c>
      <c r="AO2876" s="21">
        <v>50</v>
      </c>
      <c r="AP2876" s="21">
        <v>27</v>
      </c>
      <c r="AQ2876" s="22" t="s">
        <v>3016</v>
      </c>
      <c r="AR2876" s="21" t="s">
        <v>1155</v>
      </c>
      <c r="AS2876" t="s">
        <v>3085</v>
      </c>
    </row>
    <row r="2877" spans="1:45" x14ac:dyDescent="0.2">
      <c r="A2877" s="21" t="s">
        <v>1685</v>
      </c>
      <c r="B2877" s="21" t="s">
        <v>1146</v>
      </c>
      <c r="C2877" s="21" t="s">
        <v>1149</v>
      </c>
      <c r="D2877" s="21" t="s">
        <v>420</v>
      </c>
      <c r="E2877" s="21" t="s">
        <v>3094</v>
      </c>
      <c r="G2877" s="21" t="s">
        <v>153</v>
      </c>
      <c r="H2877" s="21" t="s">
        <v>1165</v>
      </c>
      <c r="I2877" s="21" t="s">
        <v>3096</v>
      </c>
      <c r="J2877" s="21">
        <v>49</v>
      </c>
      <c r="K2877">
        <v>-121.5</v>
      </c>
      <c r="L2877">
        <v>1220</v>
      </c>
      <c r="M2877" s="21" t="s">
        <v>3034</v>
      </c>
      <c r="O2877" s="21">
        <v>1982</v>
      </c>
      <c r="Q2877" s="21" t="s">
        <v>3086</v>
      </c>
      <c r="T2877" s="21">
        <v>-20</v>
      </c>
      <c r="U2877" s="21" t="s">
        <v>1218</v>
      </c>
      <c r="V2877" s="9" t="s">
        <v>1247</v>
      </c>
      <c r="W2877">
        <f>56</f>
        <v>56</v>
      </c>
      <c r="X2877" s="9" t="s">
        <v>3088</v>
      </c>
      <c r="Y2877" t="s">
        <v>3089</v>
      </c>
      <c r="Z2877" s="22">
        <v>8</v>
      </c>
      <c r="AD2877" s="22" t="s">
        <v>1165</v>
      </c>
      <c r="AF2877" s="24" t="s">
        <v>153</v>
      </c>
      <c r="AG2877" t="s">
        <v>1160</v>
      </c>
      <c r="AH2877">
        <f t="shared" si="30"/>
        <v>4320</v>
      </c>
      <c r="AI2877" s="21" t="s">
        <v>153</v>
      </c>
      <c r="AJ2877" s="21" t="s">
        <v>1148</v>
      </c>
      <c r="AK2877" s="21">
        <v>36.417999999999999</v>
      </c>
      <c r="AL2877" s="21" t="s">
        <v>1321</v>
      </c>
      <c r="AM2877" s="21" t="s">
        <v>3003</v>
      </c>
      <c r="AN2877" s="21">
        <v>3</v>
      </c>
      <c r="AO2877" s="21">
        <v>50</v>
      </c>
      <c r="AP2877" s="21">
        <v>30</v>
      </c>
      <c r="AQ2877" s="22" t="s">
        <v>3016</v>
      </c>
      <c r="AR2877" s="21" t="s">
        <v>1155</v>
      </c>
      <c r="AS2877" t="s">
        <v>3085</v>
      </c>
    </row>
    <row r="2878" spans="1:45" x14ac:dyDescent="0.2">
      <c r="A2878" s="21" t="s">
        <v>1685</v>
      </c>
      <c r="B2878" s="21" t="s">
        <v>1146</v>
      </c>
      <c r="C2878" s="21" t="s">
        <v>1149</v>
      </c>
      <c r="D2878" s="21" t="s">
        <v>420</v>
      </c>
      <c r="E2878" s="21" t="s">
        <v>3094</v>
      </c>
      <c r="G2878" s="21" t="s">
        <v>153</v>
      </c>
      <c r="H2878" s="21" t="s">
        <v>1165</v>
      </c>
      <c r="I2878" s="21" t="s">
        <v>3096</v>
      </c>
      <c r="J2878" s="21">
        <v>49</v>
      </c>
      <c r="K2878">
        <v>-121.5</v>
      </c>
      <c r="L2878">
        <v>1220</v>
      </c>
      <c r="M2878" s="21" t="s">
        <v>3034</v>
      </c>
      <c r="O2878" s="21">
        <v>1982</v>
      </c>
      <c r="Q2878" s="21" t="s">
        <v>3086</v>
      </c>
      <c r="T2878" s="21">
        <v>-20</v>
      </c>
      <c r="U2878" s="21" t="s">
        <v>1218</v>
      </c>
      <c r="V2878" s="9" t="s">
        <v>1247</v>
      </c>
      <c r="W2878">
        <f>56</f>
        <v>56</v>
      </c>
      <c r="X2878" s="9" t="s">
        <v>3088</v>
      </c>
      <c r="Y2878" t="s">
        <v>3090</v>
      </c>
      <c r="Z2878" s="22">
        <v>8</v>
      </c>
      <c r="AD2878" s="22" t="s">
        <v>1165</v>
      </c>
      <c r="AF2878" s="24" t="s">
        <v>153</v>
      </c>
      <c r="AG2878" t="s">
        <v>1160</v>
      </c>
      <c r="AH2878">
        <f t="shared" si="30"/>
        <v>4320</v>
      </c>
      <c r="AI2878" s="21" t="s">
        <v>153</v>
      </c>
      <c r="AJ2878" s="21" t="s">
        <v>1148</v>
      </c>
      <c r="AK2878" s="21">
        <v>0</v>
      </c>
      <c r="AL2878" s="21" t="s">
        <v>1321</v>
      </c>
      <c r="AM2878" s="21">
        <v>0</v>
      </c>
      <c r="AN2878" s="21">
        <v>3</v>
      </c>
      <c r="AO2878" s="21">
        <v>50</v>
      </c>
      <c r="AP2878" s="21">
        <v>3</v>
      </c>
      <c r="AQ2878" s="22" t="s">
        <v>3016</v>
      </c>
      <c r="AR2878" s="21" t="s">
        <v>1155</v>
      </c>
      <c r="AS2878" t="s">
        <v>3085</v>
      </c>
    </row>
    <row r="2879" spans="1:45" x14ac:dyDescent="0.2">
      <c r="A2879" s="21" t="s">
        <v>1685</v>
      </c>
      <c r="B2879" s="21" t="s">
        <v>1146</v>
      </c>
      <c r="C2879" s="21" t="s">
        <v>1149</v>
      </c>
      <c r="D2879" s="21" t="s">
        <v>420</v>
      </c>
      <c r="E2879" s="21" t="s">
        <v>3094</v>
      </c>
      <c r="G2879" s="21" t="s">
        <v>153</v>
      </c>
      <c r="H2879" s="21" t="s">
        <v>1165</v>
      </c>
      <c r="I2879" s="21" t="s">
        <v>3096</v>
      </c>
      <c r="J2879" s="21">
        <v>49</v>
      </c>
      <c r="K2879">
        <v>-121.5</v>
      </c>
      <c r="L2879">
        <v>1220</v>
      </c>
      <c r="M2879" s="21" t="s">
        <v>3034</v>
      </c>
      <c r="O2879" s="21">
        <v>1982</v>
      </c>
      <c r="Q2879" s="21" t="s">
        <v>3086</v>
      </c>
      <c r="T2879" s="21">
        <v>-20</v>
      </c>
      <c r="U2879" s="21" t="s">
        <v>1218</v>
      </c>
      <c r="V2879" s="9" t="s">
        <v>1247</v>
      </c>
      <c r="W2879">
        <f>56</f>
        <v>56</v>
      </c>
      <c r="X2879" s="9" t="s">
        <v>3088</v>
      </c>
      <c r="Y2879" t="s">
        <v>3090</v>
      </c>
      <c r="Z2879" s="22">
        <v>8</v>
      </c>
      <c r="AD2879" s="22" t="s">
        <v>1165</v>
      </c>
      <c r="AF2879" s="24" t="s">
        <v>153</v>
      </c>
      <c r="AG2879" t="s">
        <v>1160</v>
      </c>
      <c r="AH2879">
        <f t="shared" si="30"/>
        <v>4320</v>
      </c>
      <c r="AI2879" s="21" t="s">
        <v>153</v>
      </c>
      <c r="AJ2879" s="21" t="s">
        <v>1148</v>
      </c>
      <c r="AK2879" s="21">
        <v>0</v>
      </c>
      <c r="AL2879" s="21" t="s">
        <v>1321</v>
      </c>
      <c r="AM2879" s="21">
        <v>0</v>
      </c>
      <c r="AN2879" s="21">
        <v>3</v>
      </c>
      <c r="AO2879" s="21">
        <v>50</v>
      </c>
      <c r="AP2879" s="21">
        <v>6</v>
      </c>
      <c r="AQ2879" s="22" t="s">
        <v>3016</v>
      </c>
      <c r="AR2879" s="21" t="s">
        <v>1155</v>
      </c>
      <c r="AS2879" t="s">
        <v>3085</v>
      </c>
    </row>
    <row r="2880" spans="1:45" x14ac:dyDescent="0.2">
      <c r="A2880" s="21" t="s">
        <v>1685</v>
      </c>
      <c r="B2880" s="21" t="s">
        <v>1146</v>
      </c>
      <c r="C2880" s="21" t="s">
        <v>1149</v>
      </c>
      <c r="D2880" s="21" t="s">
        <v>420</v>
      </c>
      <c r="E2880" s="21" t="s">
        <v>3094</v>
      </c>
      <c r="G2880" s="21" t="s">
        <v>153</v>
      </c>
      <c r="H2880" s="21" t="s">
        <v>1165</v>
      </c>
      <c r="I2880" s="21" t="s">
        <v>3096</v>
      </c>
      <c r="J2880" s="21">
        <v>49</v>
      </c>
      <c r="K2880">
        <v>-121.5</v>
      </c>
      <c r="L2880">
        <v>1220</v>
      </c>
      <c r="M2880" s="21" t="s">
        <v>3034</v>
      </c>
      <c r="O2880" s="21">
        <v>1982</v>
      </c>
      <c r="Q2880" s="21" t="s">
        <v>3086</v>
      </c>
      <c r="T2880" s="21">
        <v>-20</v>
      </c>
      <c r="U2880" s="21" t="s">
        <v>1218</v>
      </c>
      <c r="V2880" s="9" t="s">
        <v>1247</v>
      </c>
      <c r="W2880">
        <f>56</f>
        <v>56</v>
      </c>
      <c r="X2880" s="9" t="s">
        <v>3088</v>
      </c>
      <c r="Y2880" t="s">
        <v>3090</v>
      </c>
      <c r="Z2880" s="22">
        <v>8</v>
      </c>
      <c r="AD2880" s="22" t="s">
        <v>1165</v>
      </c>
      <c r="AF2880" s="24" t="s">
        <v>153</v>
      </c>
      <c r="AG2880" t="s">
        <v>1160</v>
      </c>
      <c r="AH2880">
        <f t="shared" si="30"/>
        <v>4320</v>
      </c>
      <c r="AI2880" s="21" t="s">
        <v>153</v>
      </c>
      <c r="AJ2880" s="21" t="s">
        <v>1148</v>
      </c>
      <c r="AK2880" s="21">
        <v>9.5190000000000001</v>
      </c>
      <c r="AL2880" s="21" t="s">
        <v>1321</v>
      </c>
      <c r="AM2880" s="21" t="s">
        <v>3003</v>
      </c>
      <c r="AN2880" s="21">
        <v>3</v>
      </c>
      <c r="AO2880" s="21">
        <v>50</v>
      </c>
      <c r="AP2880" s="21">
        <v>12</v>
      </c>
      <c r="AQ2880" s="22" t="s">
        <v>3016</v>
      </c>
      <c r="AR2880" s="21" t="s">
        <v>1155</v>
      </c>
      <c r="AS2880" t="s">
        <v>3085</v>
      </c>
    </row>
    <row r="2881" spans="1:45" x14ac:dyDescent="0.2">
      <c r="A2881" s="21" t="s">
        <v>1685</v>
      </c>
      <c r="B2881" s="21" t="s">
        <v>1146</v>
      </c>
      <c r="C2881" s="21" t="s">
        <v>1149</v>
      </c>
      <c r="D2881" s="21" t="s">
        <v>420</v>
      </c>
      <c r="E2881" s="21" t="s">
        <v>3094</v>
      </c>
      <c r="G2881" s="21" t="s">
        <v>153</v>
      </c>
      <c r="H2881" s="21" t="s">
        <v>1165</v>
      </c>
      <c r="I2881" s="21" t="s">
        <v>3096</v>
      </c>
      <c r="J2881" s="21">
        <v>49</v>
      </c>
      <c r="K2881">
        <v>-121.5</v>
      </c>
      <c r="L2881">
        <v>1220</v>
      </c>
      <c r="M2881" s="21" t="s">
        <v>3034</v>
      </c>
      <c r="O2881" s="21">
        <v>1982</v>
      </c>
      <c r="Q2881" s="21" t="s">
        <v>3086</v>
      </c>
      <c r="T2881" s="21">
        <v>-20</v>
      </c>
      <c r="U2881" s="21" t="s">
        <v>1218</v>
      </c>
      <c r="V2881" s="9" t="s">
        <v>1247</v>
      </c>
      <c r="W2881">
        <f>56</f>
        <v>56</v>
      </c>
      <c r="X2881" s="9" t="s">
        <v>3088</v>
      </c>
      <c r="Y2881" t="s">
        <v>3090</v>
      </c>
      <c r="Z2881" s="22">
        <v>8</v>
      </c>
      <c r="AD2881" s="22" t="s">
        <v>1165</v>
      </c>
      <c r="AF2881" s="24" t="s">
        <v>153</v>
      </c>
      <c r="AG2881" t="s">
        <v>1160</v>
      </c>
      <c r="AH2881">
        <f t="shared" si="30"/>
        <v>4320</v>
      </c>
      <c r="AI2881" s="21" t="s">
        <v>153</v>
      </c>
      <c r="AJ2881" s="21" t="s">
        <v>1148</v>
      </c>
      <c r="AK2881" s="21">
        <v>14.726000000000001</v>
      </c>
      <c r="AL2881" s="21" t="s">
        <v>1321</v>
      </c>
      <c r="AM2881" s="21" t="s">
        <v>3003</v>
      </c>
      <c r="AN2881" s="21">
        <v>3</v>
      </c>
      <c r="AO2881" s="21">
        <v>50</v>
      </c>
      <c r="AP2881" s="21">
        <v>15</v>
      </c>
      <c r="AQ2881" s="22" t="s">
        <v>3016</v>
      </c>
      <c r="AR2881" s="21" t="s">
        <v>1155</v>
      </c>
      <c r="AS2881" t="s">
        <v>3085</v>
      </c>
    </row>
    <row r="2882" spans="1:45" x14ac:dyDescent="0.2">
      <c r="A2882" s="21" t="s">
        <v>1685</v>
      </c>
      <c r="B2882" s="21" t="s">
        <v>1146</v>
      </c>
      <c r="C2882" s="21" t="s">
        <v>1149</v>
      </c>
      <c r="D2882" s="21" t="s">
        <v>420</v>
      </c>
      <c r="E2882" s="21" t="s">
        <v>3094</v>
      </c>
      <c r="G2882" s="21" t="s">
        <v>153</v>
      </c>
      <c r="H2882" s="21" t="s">
        <v>1165</v>
      </c>
      <c r="I2882" s="21" t="s">
        <v>3096</v>
      </c>
      <c r="J2882" s="21">
        <v>49</v>
      </c>
      <c r="K2882">
        <v>-121.5</v>
      </c>
      <c r="L2882">
        <v>1220</v>
      </c>
      <c r="M2882" s="21" t="s">
        <v>3034</v>
      </c>
      <c r="O2882" s="21">
        <v>1982</v>
      </c>
      <c r="Q2882" s="21" t="s">
        <v>3086</v>
      </c>
      <c r="T2882" s="21">
        <v>-20</v>
      </c>
      <c r="U2882" s="21" t="s">
        <v>1218</v>
      </c>
      <c r="V2882" s="9" t="s">
        <v>1247</v>
      </c>
      <c r="W2882">
        <f>56</f>
        <v>56</v>
      </c>
      <c r="X2882" s="9" t="s">
        <v>3088</v>
      </c>
      <c r="Y2882" t="s">
        <v>3090</v>
      </c>
      <c r="Z2882" s="22">
        <v>8</v>
      </c>
      <c r="AD2882" s="22" t="s">
        <v>1165</v>
      </c>
      <c r="AF2882" s="24" t="s">
        <v>153</v>
      </c>
      <c r="AG2882" t="s">
        <v>1160</v>
      </c>
      <c r="AH2882">
        <f t="shared" si="30"/>
        <v>4320</v>
      </c>
      <c r="AI2882" s="21" t="s">
        <v>153</v>
      </c>
      <c r="AJ2882" s="21" t="s">
        <v>1148</v>
      </c>
      <c r="AK2882" s="21">
        <v>23.283999999999999</v>
      </c>
      <c r="AL2882" s="21" t="s">
        <v>1321</v>
      </c>
      <c r="AM2882" s="21" t="s">
        <v>3003</v>
      </c>
      <c r="AN2882" s="21">
        <v>3</v>
      </c>
      <c r="AO2882" s="21">
        <v>50</v>
      </c>
      <c r="AP2882" s="21">
        <v>18</v>
      </c>
      <c r="AQ2882" s="22" t="s">
        <v>3016</v>
      </c>
      <c r="AR2882" s="21" t="s">
        <v>1155</v>
      </c>
      <c r="AS2882" t="s">
        <v>3085</v>
      </c>
    </row>
    <row r="2883" spans="1:45" x14ac:dyDescent="0.2">
      <c r="A2883" s="21" t="s">
        <v>1685</v>
      </c>
      <c r="B2883" s="21" t="s">
        <v>1146</v>
      </c>
      <c r="C2883" s="21" t="s">
        <v>1149</v>
      </c>
      <c r="D2883" s="21" t="s">
        <v>420</v>
      </c>
      <c r="E2883" s="21" t="s">
        <v>3094</v>
      </c>
      <c r="G2883" s="21" t="s">
        <v>153</v>
      </c>
      <c r="H2883" s="21" t="s">
        <v>1165</v>
      </c>
      <c r="I2883" s="21" t="s">
        <v>3096</v>
      </c>
      <c r="J2883" s="21">
        <v>49</v>
      </c>
      <c r="K2883">
        <v>-121.5</v>
      </c>
      <c r="L2883">
        <v>1220</v>
      </c>
      <c r="M2883" s="21" t="s">
        <v>3034</v>
      </c>
      <c r="O2883" s="21">
        <v>1982</v>
      </c>
      <c r="Q2883" s="21" t="s">
        <v>3086</v>
      </c>
      <c r="T2883" s="21">
        <v>-20</v>
      </c>
      <c r="U2883" s="21" t="s">
        <v>1218</v>
      </c>
      <c r="V2883" s="9" t="s">
        <v>1247</v>
      </c>
      <c r="W2883">
        <f>56</f>
        <v>56</v>
      </c>
      <c r="X2883" s="9" t="s">
        <v>3088</v>
      </c>
      <c r="Y2883" t="s">
        <v>3090</v>
      </c>
      <c r="Z2883" s="22">
        <v>8</v>
      </c>
      <c r="AD2883" s="22" t="s">
        <v>1165</v>
      </c>
      <c r="AF2883" s="24" t="s">
        <v>153</v>
      </c>
      <c r="AG2883" t="s">
        <v>1160</v>
      </c>
      <c r="AH2883">
        <f t="shared" si="30"/>
        <v>4320</v>
      </c>
      <c r="AI2883" s="21" t="s">
        <v>153</v>
      </c>
      <c r="AJ2883" s="21" t="s">
        <v>1148</v>
      </c>
      <c r="AK2883" s="21">
        <v>26.667000000000002</v>
      </c>
      <c r="AL2883" s="21" t="s">
        <v>1321</v>
      </c>
      <c r="AM2883" s="21" t="s">
        <v>3003</v>
      </c>
      <c r="AN2883" s="21">
        <v>3</v>
      </c>
      <c r="AO2883" s="21">
        <v>50</v>
      </c>
      <c r="AP2883" s="21">
        <v>21</v>
      </c>
      <c r="AQ2883" s="22" t="s">
        <v>3016</v>
      </c>
      <c r="AR2883" s="21" t="s">
        <v>1155</v>
      </c>
      <c r="AS2883" t="s">
        <v>3085</v>
      </c>
    </row>
    <row r="2884" spans="1:45" x14ac:dyDescent="0.2">
      <c r="A2884" s="21" t="s">
        <v>1685</v>
      </c>
      <c r="B2884" s="21" t="s">
        <v>1146</v>
      </c>
      <c r="C2884" s="21" t="s">
        <v>1149</v>
      </c>
      <c r="D2884" s="21" t="s">
        <v>420</v>
      </c>
      <c r="E2884" s="21" t="s">
        <v>3094</v>
      </c>
      <c r="G2884" s="21" t="s">
        <v>153</v>
      </c>
      <c r="H2884" s="21" t="s">
        <v>1165</v>
      </c>
      <c r="I2884" s="21" t="s">
        <v>3096</v>
      </c>
      <c r="J2884" s="21">
        <v>49</v>
      </c>
      <c r="K2884">
        <v>-121.5</v>
      </c>
      <c r="L2884">
        <v>1220</v>
      </c>
      <c r="M2884" s="21" t="s">
        <v>3034</v>
      </c>
      <c r="O2884" s="21">
        <v>1982</v>
      </c>
      <c r="Q2884" s="21" t="s">
        <v>3086</v>
      </c>
      <c r="T2884" s="21">
        <v>-20</v>
      </c>
      <c r="U2884" s="21" t="s">
        <v>1218</v>
      </c>
      <c r="V2884" s="9" t="s">
        <v>1247</v>
      </c>
      <c r="W2884">
        <f>56</f>
        <v>56</v>
      </c>
      <c r="X2884" s="9" t="s">
        <v>3088</v>
      </c>
      <c r="Y2884" t="s">
        <v>3090</v>
      </c>
      <c r="Z2884" s="22">
        <v>8</v>
      </c>
      <c r="AD2884" s="22" t="s">
        <v>1165</v>
      </c>
      <c r="AF2884" s="24" t="s">
        <v>153</v>
      </c>
      <c r="AG2884" t="s">
        <v>1160</v>
      </c>
      <c r="AH2884">
        <f t="shared" si="30"/>
        <v>4320</v>
      </c>
      <c r="AI2884" s="21" t="s">
        <v>153</v>
      </c>
      <c r="AJ2884" s="21" t="s">
        <v>1148</v>
      </c>
      <c r="AK2884" s="21">
        <v>29.452999999999999</v>
      </c>
      <c r="AL2884" s="21" t="s">
        <v>1321</v>
      </c>
      <c r="AM2884" s="21" t="s">
        <v>3003</v>
      </c>
      <c r="AN2884" s="21">
        <v>3</v>
      </c>
      <c r="AO2884" s="21">
        <v>50</v>
      </c>
      <c r="AP2884" s="21">
        <v>24</v>
      </c>
      <c r="AQ2884" s="22" t="s">
        <v>3016</v>
      </c>
      <c r="AR2884" s="21" t="s">
        <v>1155</v>
      </c>
      <c r="AS2884" t="s">
        <v>3085</v>
      </c>
    </row>
    <row r="2885" spans="1:45" x14ac:dyDescent="0.2">
      <c r="A2885" s="21" t="s">
        <v>1685</v>
      </c>
      <c r="B2885" s="21" t="s">
        <v>1146</v>
      </c>
      <c r="C2885" s="21" t="s">
        <v>1149</v>
      </c>
      <c r="D2885" s="21" t="s">
        <v>420</v>
      </c>
      <c r="E2885" s="21" t="s">
        <v>3094</v>
      </c>
      <c r="G2885" s="21" t="s">
        <v>153</v>
      </c>
      <c r="H2885" s="21" t="s">
        <v>1165</v>
      </c>
      <c r="I2885" s="21" t="s">
        <v>3096</v>
      </c>
      <c r="J2885" s="21">
        <v>49</v>
      </c>
      <c r="K2885">
        <v>-121.5</v>
      </c>
      <c r="L2885">
        <v>1220</v>
      </c>
      <c r="M2885" s="21" t="s">
        <v>3034</v>
      </c>
      <c r="O2885" s="21">
        <v>1982</v>
      </c>
      <c r="Q2885" s="21" t="s">
        <v>3086</v>
      </c>
      <c r="T2885" s="21">
        <v>-20</v>
      </c>
      <c r="U2885" s="21" t="s">
        <v>1218</v>
      </c>
      <c r="V2885" s="9" t="s">
        <v>1247</v>
      </c>
      <c r="W2885">
        <f>56</f>
        <v>56</v>
      </c>
      <c r="X2885" s="9" t="s">
        <v>3088</v>
      </c>
      <c r="Y2885" t="s">
        <v>3090</v>
      </c>
      <c r="Z2885" s="22">
        <v>8</v>
      </c>
      <c r="AD2885" s="22" t="s">
        <v>1165</v>
      </c>
      <c r="AF2885" s="24" t="s">
        <v>153</v>
      </c>
      <c r="AG2885" t="s">
        <v>1160</v>
      </c>
      <c r="AH2885">
        <f t="shared" si="30"/>
        <v>4320</v>
      </c>
      <c r="AI2885" s="21" t="s">
        <v>153</v>
      </c>
      <c r="AJ2885" s="21" t="s">
        <v>1148</v>
      </c>
      <c r="AK2885" s="21">
        <v>34.527000000000001</v>
      </c>
      <c r="AL2885" s="21" t="s">
        <v>1321</v>
      </c>
      <c r="AM2885" s="21" t="s">
        <v>3003</v>
      </c>
      <c r="AN2885" s="21">
        <v>3</v>
      </c>
      <c r="AO2885" s="21">
        <v>50</v>
      </c>
      <c r="AP2885" s="21">
        <v>27</v>
      </c>
      <c r="AQ2885" s="22" t="s">
        <v>3016</v>
      </c>
      <c r="AR2885" s="21" t="s">
        <v>1155</v>
      </c>
      <c r="AS2885" t="s">
        <v>3085</v>
      </c>
    </row>
    <row r="2886" spans="1:45" x14ac:dyDescent="0.2">
      <c r="A2886" s="21" t="s">
        <v>1685</v>
      </c>
      <c r="B2886" s="21" t="s">
        <v>1146</v>
      </c>
      <c r="C2886" s="21" t="s">
        <v>1149</v>
      </c>
      <c r="D2886" s="21" t="s">
        <v>420</v>
      </c>
      <c r="E2886" s="21" t="s">
        <v>3094</v>
      </c>
      <c r="G2886" s="21" t="s">
        <v>153</v>
      </c>
      <c r="H2886" s="21" t="s">
        <v>1165</v>
      </c>
      <c r="I2886" s="21" t="s">
        <v>3096</v>
      </c>
      <c r="J2886" s="21">
        <v>49</v>
      </c>
      <c r="K2886">
        <v>-121.5</v>
      </c>
      <c r="L2886">
        <v>1220</v>
      </c>
      <c r="M2886" s="21" t="s">
        <v>3034</v>
      </c>
      <c r="O2886" s="21">
        <v>1982</v>
      </c>
      <c r="Q2886" s="21" t="s">
        <v>3086</v>
      </c>
      <c r="T2886" s="21">
        <v>-20</v>
      </c>
      <c r="U2886" s="21" t="s">
        <v>1218</v>
      </c>
      <c r="V2886" s="9" t="s">
        <v>1247</v>
      </c>
      <c r="W2886">
        <f>56</f>
        <v>56</v>
      </c>
      <c r="X2886" s="9" t="s">
        <v>3088</v>
      </c>
      <c r="Y2886" t="s">
        <v>3090</v>
      </c>
      <c r="Z2886" s="22">
        <v>8</v>
      </c>
      <c r="AD2886" s="22" t="s">
        <v>1165</v>
      </c>
      <c r="AF2886" s="24" t="s">
        <v>153</v>
      </c>
      <c r="AG2886" t="s">
        <v>1160</v>
      </c>
      <c r="AH2886">
        <f t="shared" si="30"/>
        <v>4320</v>
      </c>
      <c r="AI2886" s="21" t="s">
        <v>153</v>
      </c>
      <c r="AJ2886" s="21" t="s">
        <v>1148</v>
      </c>
      <c r="AK2886" s="21">
        <v>38.375</v>
      </c>
      <c r="AL2886" s="21" t="s">
        <v>1321</v>
      </c>
      <c r="AM2886" s="21" t="s">
        <v>3003</v>
      </c>
      <c r="AN2886" s="21">
        <v>3</v>
      </c>
      <c r="AO2886" s="21">
        <v>50</v>
      </c>
      <c r="AP2886" s="21">
        <v>30</v>
      </c>
      <c r="AQ2886" s="22" t="s">
        <v>3016</v>
      </c>
      <c r="AR2886" s="21" t="s">
        <v>1155</v>
      </c>
      <c r="AS2886" t="s">
        <v>3085</v>
      </c>
    </row>
    <row r="2887" spans="1:45" x14ac:dyDescent="0.2">
      <c r="A2887" s="21" t="s">
        <v>1685</v>
      </c>
      <c r="B2887" s="21" t="s">
        <v>1146</v>
      </c>
      <c r="C2887" s="21" t="s">
        <v>1149</v>
      </c>
      <c r="D2887" s="21" t="s">
        <v>420</v>
      </c>
      <c r="E2887" s="21" t="s">
        <v>3094</v>
      </c>
      <c r="G2887" s="21" t="s">
        <v>153</v>
      </c>
      <c r="H2887" s="21" t="s">
        <v>1165</v>
      </c>
      <c r="I2887" s="21" t="s">
        <v>3096</v>
      </c>
      <c r="J2887" s="21">
        <v>49</v>
      </c>
      <c r="K2887">
        <v>-121.5</v>
      </c>
      <c r="L2887">
        <v>1220</v>
      </c>
      <c r="M2887" s="21" t="s">
        <v>3034</v>
      </c>
      <c r="O2887" s="21">
        <v>1982</v>
      </c>
      <c r="Q2887" s="21" t="s">
        <v>3086</v>
      </c>
      <c r="T2887" s="21">
        <v>-20</v>
      </c>
      <c r="U2887" s="21" t="s">
        <v>1218</v>
      </c>
      <c r="V2887" s="9" t="s">
        <v>1247</v>
      </c>
      <c r="W2887">
        <f>56</f>
        <v>56</v>
      </c>
      <c r="X2887" s="9" t="s">
        <v>3088</v>
      </c>
      <c r="Y2887" t="s">
        <v>3091</v>
      </c>
      <c r="Z2887" s="22">
        <v>8</v>
      </c>
      <c r="AD2887" s="22" t="s">
        <v>1165</v>
      </c>
      <c r="AF2887" s="24" t="s">
        <v>153</v>
      </c>
      <c r="AG2887" t="s">
        <v>1160</v>
      </c>
      <c r="AH2887">
        <f t="shared" si="30"/>
        <v>4320</v>
      </c>
      <c r="AI2887" s="21" t="s">
        <v>153</v>
      </c>
      <c r="AJ2887" s="21" t="s">
        <v>1148</v>
      </c>
      <c r="AK2887" s="21">
        <v>0</v>
      </c>
      <c r="AL2887" s="21" t="s">
        <v>1321</v>
      </c>
      <c r="AM2887" s="21">
        <v>0</v>
      </c>
      <c r="AN2887" s="21">
        <v>3</v>
      </c>
      <c r="AO2887" s="21">
        <v>50</v>
      </c>
      <c r="AP2887" s="21">
        <v>3</v>
      </c>
      <c r="AQ2887" s="22" t="s">
        <v>3016</v>
      </c>
      <c r="AR2887" s="21" t="s">
        <v>1155</v>
      </c>
      <c r="AS2887" t="s">
        <v>3085</v>
      </c>
    </row>
    <row r="2888" spans="1:45" x14ac:dyDescent="0.2">
      <c r="A2888" s="21" t="s">
        <v>1685</v>
      </c>
      <c r="B2888" s="21" t="s">
        <v>1146</v>
      </c>
      <c r="C2888" s="21" t="s">
        <v>1149</v>
      </c>
      <c r="D2888" s="21" t="s">
        <v>420</v>
      </c>
      <c r="E2888" s="21" t="s">
        <v>3094</v>
      </c>
      <c r="G2888" s="21" t="s">
        <v>153</v>
      </c>
      <c r="H2888" s="21" t="s">
        <v>1165</v>
      </c>
      <c r="I2888" s="21" t="s">
        <v>3096</v>
      </c>
      <c r="J2888" s="21">
        <v>49</v>
      </c>
      <c r="K2888">
        <v>-121.5</v>
      </c>
      <c r="L2888">
        <v>1220</v>
      </c>
      <c r="M2888" s="21" t="s">
        <v>3034</v>
      </c>
      <c r="O2888" s="21">
        <v>1982</v>
      </c>
      <c r="Q2888" s="21" t="s">
        <v>3086</v>
      </c>
      <c r="T2888" s="21">
        <v>-20</v>
      </c>
      <c r="U2888" s="21" t="s">
        <v>1218</v>
      </c>
      <c r="V2888" s="9" t="s">
        <v>1247</v>
      </c>
      <c r="W2888">
        <f>56</f>
        <v>56</v>
      </c>
      <c r="X2888" s="9" t="s">
        <v>3088</v>
      </c>
      <c r="Y2888" t="s">
        <v>3091</v>
      </c>
      <c r="Z2888" s="22">
        <v>8</v>
      </c>
      <c r="AD2888" s="22" t="s">
        <v>1165</v>
      </c>
      <c r="AF2888" s="24" t="s">
        <v>153</v>
      </c>
      <c r="AG2888" t="s">
        <v>1160</v>
      </c>
      <c r="AH2888">
        <f t="shared" si="30"/>
        <v>4320</v>
      </c>
      <c r="AI2888" s="21" t="s">
        <v>153</v>
      </c>
      <c r="AJ2888" s="21" t="s">
        <v>1148</v>
      </c>
      <c r="AK2888" s="21">
        <v>0</v>
      </c>
      <c r="AL2888" s="21" t="s">
        <v>1321</v>
      </c>
      <c r="AM2888" s="21">
        <v>0</v>
      </c>
      <c r="AN2888" s="21">
        <v>3</v>
      </c>
      <c r="AO2888" s="21">
        <v>50</v>
      </c>
      <c r="AP2888" s="21">
        <v>6</v>
      </c>
      <c r="AQ2888" s="22" t="s">
        <v>3016</v>
      </c>
      <c r="AR2888" s="21" t="s">
        <v>1155</v>
      </c>
      <c r="AS2888" t="s">
        <v>3085</v>
      </c>
    </row>
    <row r="2889" spans="1:45" x14ac:dyDescent="0.2">
      <c r="A2889" s="21" t="s">
        <v>1685</v>
      </c>
      <c r="B2889" s="21" t="s">
        <v>1146</v>
      </c>
      <c r="C2889" s="21" t="s">
        <v>1149</v>
      </c>
      <c r="D2889" s="21" t="s">
        <v>420</v>
      </c>
      <c r="E2889" s="21" t="s">
        <v>3094</v>
      </c>
      <c r="G2889" s="21" t="s">
        <v>153</v>
      </c>
      <c r="H2889" s="21" t="s">
        <v>1165</v>
      </c>
      <c r="I2889" s="21" t="s">
        <v>3096</v>
      </c>
      <c r="J2889" s="21">
        <v>49</v>
      </c>
      <c r="K2889">
        <v>-121.5</v>
      </c>
      <c r="L2889">
        <v>1220</v>
      </c>
      <c r="M2889" s="21" t="s">
        <v>3034</v>
      </c>
      <c r="O2889" s="21">
        <v>1982</v>
      </c>
      <c r="Q2889" s="21" t="s">
        <v>3086</v>
      </c>
      <c r="T2889" s="21">
        <v>-20</v>
      </c>
      <c r="U2889" s="21" t="s">
        <v>1218</v>
      </c>
      <c r="V2889" s="9" t="s">
        <v>1247</v>
      </c>
      <c r="W2889">
        <f>56</f>
        <v>56</v>
      </c>
      <c r="X2889" s="9" t="s">
        <v>3088</v>
      </c>
      <c r="Y2889" t="s">
        <v>3091</v>
      </c>
      <c r="Z2889" s="22">
        <v>8</v>
      </c>
      <c r="AD2889" s="22" t="s">
        <v>1165</v>
      </c>
      <c r="AF2889" s="24" t="s">
        <v>153</v>
      </c>
      <c r="AG2889" t="s">
        <v>1160</v>
      </c>
      <c r="AH2889">
        <f t="shared" si="30"/>
        <v>4320</v>
      </c>
      <c r="AI2889" s="21" t="s">
        <v>153</v>
      </c>
      <c r="AJ2889" s="21" t="s">
        <v>1148</v>
      </c>
      <c r="AK2889" s="21">
        <v>4.2119999999999997</v>
      </c>
      <c r="AL2889" s="21" t="s">
        <v>1321</v>
      </c>
      <c r="AM2889" s="21" t="s">
        <v>3003</v>
      </c>
      <c r="AN2889" s="21">
        <v>3</v>
      </c>
      <c r="AO2889" s="21">
        <v>50</v>
      </c>
      <c r="AP2889" s="21">
        <v>9</v>
      </c>
      <c r="AQ2889" s="22" t="s">
        <v>3016</v>
      </c>
      <c r="AR2889" s="21" t="s">
        <v>1155</v>
      </c>
      <c r="AS2889" t="s">
        <v>3085</v>
      </c>
    </row>
    <row r="2890" spans="1:45" x14ac:dyDescent="0.2">
      <c r="A2890" s="21" t="s">
        <v>1685</v>
      </c>
      <c r="B2890" s="21" t="s">
        <v>1146</v>
      </c>
      <c r="C2890" s="21" t="s">
        <v>1149</v>
      </c>
      <c r="D2890" s="21" t="s">
        <v>420</v>
      </c>
      <c r="E2890" s="21" t="s">
        <v>3094</v>
      </c>
      <c r="G2890" s="21" t="s">
        <v>153</v>
      </c>
      <c r="H2890" s="21" t="s">
        <v>1165</v>
      </c>
      <c r="I2890" s="21" t="s">
        <v>3096</v>
      </c>
      <c r="J2890" s="21">
        <v>49</v>
      </c>
      <c r="K2890">
        <v>-121.5</v>
      </c>
      <c r="L2890">
        <v>1220</v>
      </c>
      <c r="M2890" s="21" t="s">
        <v>3034</v>
      </c>
      <c r="O2890" s="21">
        <v>1982</v>
      </c>
      <c r="Q2890" s="21" t="s">
        <v>3086</v>
      </c>
      <c r="T2890" s="21">
        <v>-20</v>
      </c>
      <c r="U2890" s="21" t="s">
        <v>1218</v>
      </c>
      <c r="V2890" s="9" t="s">
        <v>1247</v>
      </c>
      <c r="W2890">
        <f>56</f>
        <v>56</v>
      </c>
      <c r="X2890" s="9" t="s">
        <v>3088</v>
      </c>
      <c r="Y2890" t="s">
        <v>3091</v>
      </c>
      <c r="Z2890" s="22">
        <v>8</v>
      </c>
      <c r="AD2890" s="22" t="s">
        <v>1165</v>
      </c>
      <c r="AF2890" s="24" t="s">
        <v>153</v>
      </c>
      <c r="AG2890" t="s">
        <v>1160</v>
      </c>
      <c r="AH2890">
        <f t="shared" si="30"/>
        <v>4320</v>
      </c>
      <c r="AI2890" s="21" t="s">
        <v>153</v>
      </c>
      <c r="AJ2890" s="21" t="s">
        <v>1148</v>
      </c>
      <c r="AK2890" s="21">
        <v>10.846</v>
      </c>
      <c r="AL2890" s="21" t="s">
        <v>1321</v>
      </c>
      <c r="AM2890" s="21" t="s">
        <v>3003</v>
      </c>
      <c r="AN2890" s="21">
        <v>3</v>
      </c>
      <c r="AO2890" s="21">
        <v>50</v>
      </c>
      <c r="AP2890" s="21">
        <v>12</v>
      </c>
      <c r="AQ2890" s="22" t="s">
        <v>3016</v>
      </c>
      <c r="AR2890" s="21" t="s">
        <v>1155</v>
      </c>
      <c r="AS2890" t="s">
        <v>3085</v>
      </c>
    </row>
    <row r="2891" spans="1:45" x14ac:dyDescent="0.2">
      <c r="A2891" s="21" t="s">
        <v>1685</v>
      </c>
      <c r="B2891" s="21" t="s">
        <v>1146</v>
      </c>
      <c r="C2891" s="21" t="s">
        <v>1149</v>
      </c>
      <c r="D2891" s="21" t="s">
        <v>420</v>
      </c>
      <c r="E2891" s="21" t="s">
        <v>3094</v>
      </c>
      <c r="G2891" s="21" t="s">
        <v>153</v>
      </c>
      <c r="H2891" s="21" t="s">
        <v>1165</v>
      </c>
      <c r="I2891" s="21" t="s">
        <v>3096</v>
      </c>
      <c r="J2891" s="21">
        <v>49</v>
      </c>
      <c r="K2891">
        <v>-121.5</v>
      </c>
      <c r="L2891">
        <v>1220</v>
      </c>
      <c r="M2891" s="21" t="s">
        <v>3034</v>
      </c>
      <c r="O2891" s="21">
        <v>1982</v>
      </c>
      <c r="Q2891" s="21" t="s">
        <v>3086</v>
      </c>
      <c r="T2891" s="21">
        <v>-20</v>
      </c>
      <c r="U2891" s="21" t="s">
        <v>1218</v>
      </c>
      <c r="V2891" s="9" t="s">
        <v>1247</v>
      </c>
      <c r="W2891">
        <f>56</f>
        <v>56</v>
      </c>
      <c r="X2891" s="9" t="s">
        <v>3088</v>
      </c>
      <c r="Y2891" t="s">
        <v>3091</v>
      </c>
      <c r="Z2891" s="22">
        <v>8</v>
      </c>
      <c r="AD2891" s="22" t="s">
        <v>1165</v>
      </c>
      <c r="AF2891" s="24" t="s">
        <v>153</v>
      </c>
      <c r="AG2891" t="s">
        <v>1160</v>
      </c>
      <c r="AH2891">
        <f t="shared" si="30"/>
        <v>4320</v>
      </c>
      <c r="AI2891" s="21" t="s">
        <v>153</v>
      </c>
      <c r="AJ2891" s="21" t="s">
        <v>1148</v>
      </c>
      <c r="AK2891" s="21">
        <v>22.885999999999999</v>
      </c>
      <c r="AL2891" s="21" t="s">
        <v>1321</v>
      </c>
      <c r="AM2891" s="21">
        <f>23.98-21.99</f>
        <v>1.990000000000002</v>
      </c>
      <c r="AN2891" s="21">
        <v>3</v>
      </c>
      <c r="AO2891" s="21">
        <v>50</v>
      </c>
      <c r="AP2891" s="21">
        <v>15</v>
      </c>
      <c r="AQ2891" s="22" t="s">
        <v>3016</v>
      </c>
      <c r="AR2891" s="21" t="s">
        <v>1155</v>
      </c>
      <c r="AS2891" t="s">
        <v>3085</v>
      </c>
    </row>
    <row r="2892" spans="1:45" x14ac:dyDescent="0.2">
      <c r="A2892" s="21" t="s">
        <v>1685</v>
      </c>
      <c r="B2892" s="21" t="s">
        <v>1146</v>
      </c>
      <c r="C2892" s="21" t="s">
        <v>1149</v>
      </c>
      <c r="D2892" s="21" t="s">
        <v>420</v>
      </c>
      <c r="E2892" s="21" t="s">
        <v>3094</v>
      </c>
      <c r="G2892" s="21" t="s">
        <v>153</v>
      </c>
      <c r="H2892" s="21" t="s">
        <v>1165</v>
      </c>
      <c r="I2892" s="21" t="s">
        <v>3096</v>
      </c>
      <c r="J2892" s="21">
        <v>49</v>
      </c>
      <c r="K2892">
        <v>-121.5</v>
      </c>
      <c r="L2892">
        <v>1220</v>
      </c>
      <c r="M2892" s="21" t="s">
        <v>3034</v>
      </c>
      <c r="O2892" s="21">
        <v>1982</v>
      </c>
      <c r="Q2892" s="21" t="s">
        <v>3086</v>
      </c>
      <c r="T2892" s="21">
        <v>-20</v>
      </c>
      <c r="U2892" s="21" t="s">
        <v>1218</v>
      </c>
      <c r="V2892" s="9" t="s">
        <v>1247</v>
      </c>
      <c r="W2892">
        <f>56</f>
        <v>56</v>
      </c>
      <c r="X2892" s="9" t="s">
        <v>3088</v>
      </c>
      <c r="Y2892" t="s">
        <v>3091</v>
      </c>
      <c r="Z2892" s="22">
        <v>8</v>
      </c>
      <c r="AD2892" s="22" t="s">
        <v>1165</v>
      </c>
      <c r="AF2892" s="24" t="s">
        <v>153</v>
      </c>
      <c r="AG2892" t="s">
        <v>1160</v>
      </c>
      <c r="AH2892">
        <f t="shared" si="30"/>
        <v>4320</v>
      </c>
      <c r="AI2892" s="21" t="s">
        <v>153</v>
      </c>
      <c r="AJ2892" s="21" t="s">
        <v>1148</v>
      </c>
      <c r="AK2892" s="21">
        <v>30.248999999999999</v>
      </c>
      <c r="AL2892" s="21" t="s">
        <v>1321</v>
      </c>
      <c r="AM2892" s="21">
        <f>31.94-28.491</f>
        <v>3.4490000000000016</v>
      </c>
      <c r="AN2892" s="21">
        <v>3</v>
      </c>
      <c r="AO2892" s="21">
        <v>50</v>
      </c>
      <c r="AP2892" s="21">
        <v>18</v>
      </c>
      <c r="AQ2892" s="22" t="s">
        <v>3016</v>
      </c>
      <c r="AR2892" s="21" t="s">
        <v>1155</v>
      </c>
      <c r="AS2892" t="s">
        <v>3085</v>
      </c>
    </row>
    <row r="2893" spans="1:45" x14ac:dyDescent="0.2">
      <c r="A2893" s="21" t="s">
        <v>1685</v>
      </c>
      <c r="B2893" s="21" t="s">
        <v>1146</v>
      </c>
      <c r="C2893" s="21" t="s">
        <v>1149</v>
      </c>
      <c r="D2893" s="21" t="s">
        <v>420</v>
      </c>
      <c r="E2893" s="21" t="s">
        <v>3094</v>
      </c>
      <c r="G2893" s="21" t="s">
        <v>153</v>
      </c>
      <c r="H2893" s="21" t="s">
        <v>1165</v>
      </c>
      <c r="I2893" s="21" t="s">
        <v>3096</v>
      </c>
      <c r="J2893" s="21">
        <v>49</v>
      </c>
      <c r="K2893">
        <v>-121.5</v>
      </c>
      <c r="L2893">
        <v>1220</v>
      </c>
      <c r="M2893" s="21" t="s">
        <v>3034</v>
      </c>
      <c r="O2893" s="21">
        <v>1982</v>
      </c>
      <c r="Q2893" s="21" t="s">
        <v>3086</v>
      </c>
      <c r="T2893" s="21">
        <v>-20</v>
      </c>
      <c r="U2893" s="21" t="s">
        <v>1218</v>
      </c>
      <c r="V2893" s="9" t="s">
        <v>1247</v>
      </c>
      <c r="W2893">
        <f>56</f>
        <v>56</v>
      </c>
      <c r="X2893" s="9" t="s">
        <v>3088</v>
      </c>
      <c r="Y2893" t="s">
        <v>3091</v>
      </c>
      <c r="Z2893" s="22">
        <v>8</v>
      </c>
      <c r="AD2893" s="22" t="s">
        <v>1165</v>
      </c>
      <c r="AF2893" s="24" t="s">
        <v>153</v>
      </c>
      <c r="AG2893" t="s">
        <v>1160</v>
      </c>
      <c r="AH2893">
        <f t="shared" si="30"/>
        <v>4320</v>
      </c>
      <c r="AI2893" s="21" t="s">
        <v>153</v>
      </c>
      <c r="AJ2893" s="21" t="s">
        <v>1148</v>
      </c>
      <c r="AK2893" s="21">
        <v>39.005000000000003</v>
      </c>
      <c r="AL2893" s="21" t="s">
        <v>1321</v>
      </c>
      <c r="AM2893" s="21">
        <f>39.9-38.043</f>
        <v>1.8569999999999993</v>
      </c>
      <c r="AN2893" s="21">
        <v>3</v>
      </c>
      <c r="AO2893" s="21">
        <v>50</v>
      </c>
      <c r="AP2893" s="21">
        <v>21</v>
      </c>
      <c r="AQ2893" s="22" t="s">
        <v>3016</v>
      </c>
      <c r="AR2893" s="21" t="s">
        <v>1155</v>
      </c>
      <c r="AS2893" t="s">
        <v>3085</v>
      </c>
    </row>
    <row r="2894" spans="1:45" x14ac:dyDescent="0.2">
      <c r="A2894" s="21" t="s">
        <v>1685</v>
      </c>
      <c r="B2894" s="21" t="s">
        <v>1146</v>
      </c>
      <c r="C2894" s="21" t="s">
        <v>1149</v>
      </c>
      <c r="D2894" s="21" t="s">
        <v>420</v>
      </c>
      <c r="E2894" s="21" t="s">
        <v>3094</v>
      </c>
      <c r="G2894" s="21" t="s">
        <v>153</v>
      </c>
      <c r="H2894" s="21" t="s">
        <v>1165</v>
      </c>
      <c r="I2894" s="21" t="s">
        <v>3096</v>
      </c>
      <c r="J2894" s="21">
        <v>49</v>
      </c>
      <c r="K2894">
        <v>-121.5</v>
      </c>
      <c r="L2894">
        <v>1220</v>
      </c>
      <c r="M2894" s="21" t="s">
        <v>3034</v>
      </c>
      <c r="O2894" s="21">
        <v>1982</v>
      </c>
      <c r="Q2894" s="21" t="s">
        <v>3086</v>
      </c>
      <c r="T2894" s="21">
        <v>-20</v>
      </c>
      <c r="U2894" s="21" t="s">
        <v>1218</v>
      </c>
      <c r="V2894" s="9" t="s">
        <v>1247</v>
      </c>
      <c r="W2894">
        <f>56</f>
        <v>56</v>
      </c>
      <c r="X2894" s="9" t="s">
        <v>3088</v>
      </c>
      <c r="Y2894" t="s">
        <v>3091</v>
      </c>
      <c r="Z2894" s="22">
        <v>8</v>
      </c>
      <c r="AD2894" s="22" t="s">
        <v>1165</v>
      </c>
      <c r="AF2894" s="24" t="s">
        <v>153</v>
      </c>
      <c r="AG2894" t="s">
        <v>1160</v>
      </c>
      <c r="AH2894">
        <f t="shared" si="30"/>
        <v>4320</v>
      </c>
      <c r="AI2894" s="21" t="s">
        <v>153</v>
      </c>
      <c r="AJ2894" s="21" t="s">
        <v>1148</v>
      </c>
      <c r="AK2894" s="21">
        <v>50.249000000000002</v>
      </c>
      <c r="AL2894" s="21" t="s">
        <v>1321</v>
      </c>
      <c r="AM2894" s="21">
        <f>53.167-47.33</f>
        <v>5.8370000000000033</v>
      </c>
      <c r="AN2894" s="21">
        <v>3</v>
      </c>
      <c r="AO2894" s="21">
        <v>50</v>
      </c>
      <c r="AP2894" s="21">
        <v>24</v>
      </c>
      <c r="AQ2894" s="22" t="s">
        <v>3016</v>
      </c>
      <c r="AR2894" s="21" t="s">
        <v>1155</v>
      </c>
      <c r="AS2894" t="s">
        <v>3085</v>
      </c>
    </row>
    <row r="2895" spans="1:45" x14ac:dyDescent="0.2">
      <c r="A2895" s="21" t="s">
        <v>1685</v>
      </c>
      <c r="B2895" s="21" t="s">
        <v>1146</v>
      </c>
      <c r="C2895" s="21" t="s">
        <v>1149</v>
      </c>
      <c r="D2895" s="21" t="s">
        <v>420</v>
      </c>
      <c r="E2895" s="21" t="s">
        <v>3094</v>
      </c>
      <c r="G2895" s="21" t="s">
        <v>153</v>
      </c>
      <c r="H2895" s="21" t="s">
        <v>1165</v>
      </c>
      <c r="I2895" s="21" t="s">
        <v>3096</v>
      </c>
      <c r="J2895" s="21">
        <v>49</v>
      </c>
      <c r="K2895">
        <v>-121.5</v>
      </c>
      <c r="L2895">
        <v>1220</v>
      </c>
      <c r="M2895" s="21" t="s">
        <v>3034</v>
      </c>
      <c r="O2895" s="21">
        <v>1982</v>
      </c>
      <c r="Q2895" s="21" t="s">
        <v>3086</v>
      </c>
      <c r="T2895" s="21">
        <v>-20</v>
      </c>
      <c r="U2895" s="21" t="s">
        <v>1218</v>
      </c>
      <c r="V2895" s="9" t="s">
        <v>1247</v>
      </c>
      <c r="W2895">
        <f>56</f>
        <v>56</v>
      </c>
      <c r="X2895" s="9" t="s">
        <v>3088</v>
      </c>
      <c r="Y2895" t="s">
        <v>3091</v>
      </c>
      <c r="Z2895" s="22">
        <v>8</v>
      </c>
      <c r="AD2895" s="22" t="s">
        <v>1165</v>
      </c>
      <c r="AF2895" s="24" t="s">
        <v>153</v>
      </c>
      <c r="AG2895" t="s">
        <v>1160</v>
      </c>
      <c r="AH2895">
        <f t="shared" si="30"/>
        <v>4320</v>
      </c>
      <c r="AI2895" s="21" t="s">
        <v>153</v>
      </c>
      <c r="AJ2895" s="21" t="s">
        <v>1148</v>
      </c>
      <c r="AK2895" s="21">
        <v>57.113999999999997</v>
      </c>
      <c r="AL2895" s="21" t="s">
        <v>1321</v>
      </c>
      <c r="AM2895" s="21">
        <f>59.536-54.362</f>
        <v>5.1739999999999995</v>
      </c>
      <c r="AN2895" s="21">
        <v>3</v>
      </c>
      <c r="AO2895" s="21">
        <v>50</v>
      </c>
      <c r="AP2895" s="21">
        <v>27</v>
      </c>
      <c r="AQ2895" s="22" t="s">
        <v>3016</v>
      </c>
      <c r="AR2895" s="21" t="s">
        <v>1155</v>
      </c>
      <c r="AS2895" t="s">
        <v>3085</v>
      </c>
    </row>
    <row r="2896" spans="1:45" x14ac:dyDescent="0.2">
      <c r="A2896" s="21" t="s">
        <v>1685</v>
      </c>
      <c r="B2896" s="21" t="s">
        <v>1146</v>
      </c>
      <c r="C2896" s="21" t="s">
        <v>1149</v>
      </c>
      <c r="D2896" s="21" t="s">
        <v>420</v>
      </c>
      <c r="E2896" s="21" t="s">
        <v>3094</v>
      </c>
      <c r="G2896" s="21" t="s">
        <v>153</v>
      </c>
      <c r="H2896" s="21" t="s">
        <v>1165</v>
      </c>
      <c r="I2896" s="21" t="s">
        <v>3096</v>
      </c>
      <c r="J2896" s="21">
        <v>49</v>
      </c>
      <c r="K2896">
        <v>-121.5</v>
      </c>
      <c r="L2896">
        <v>1220</v>
      </c>
      <c r="M2896" s="21" t="s">
        <v>3034</v>
      </c>
      <c r="O2896" s="21">
        <v>1982</v>
      </c>
      <c r="Q2896" s="21" t="s">
        <v>3086</v>
      </c>
      <c r="T2896" s="21">
        <v>-20</v>
      </c>
      <c r="U2896" s="21" t="s">
        <v>1218</v>
      </c>
      <c r="V2896" s="9" t="s">
        <v>1247</v>
      </c>
      <c r="W2896">
        <f>56</f>
        <v>56</v>
      </c>
      <c r="X2896" s="9" t="s">
        <v>3088</v>
      </c>
      <c r="Y2896" t="s">
        <v>3091</v>
      </c>
      <c r="Z2896" s="22">
        <v>8</v>
      </c>
      <c r="AD2896" s="22" t="s">
        <v>1165</v>
      </c>
      <c r="AF2896" s="24" t="s">
        <v>153</v>
      </c>
      <c r="AG2896" t="s">
        <v>1160</v>
      </c>
      <c r="AH2896">
        <f t="shared" si="30"/>
        <v>4320</v>
      </c>
      <c r="AI2896" s="21" t="s">
        <v>153</v>
      </c>
      <c r="AJ2896" s="21" t="s">
        <v>1148</v>
      </c>
      <c r="AK2896" s="21">
        <v>59.701000000000001</v>
      </c>
      <c r="AL2896" s="21" t="s">
        <v>1321</v>
      </c>
      <c r="AM2896" s="21">
        <f>61.658-57.546</f>
        <v>4.1120000000000019</v>
      </c>
      <c r="AN2896" s="21">
        <v>3</v>
      </c>
      <c r="AO2896" s="21">
        <v>50</v>
      </c>
      <c r="AP2896" s="21">
        <v>30</v>
      </c>
      <c r="AQ2896" s="22" t="s">
        <v>3016</v>
      </c>
      <c r="AR2896" s="21" t="s">
        <v>1155</v>
      </c>
      <c r="AS2896" t="s">
        <v>3085</v>
      </c>
    </row>
    <row r="2897" spans="1:45" x14ac:dyDescent="0.2">
      <c r="A2897" s="21" t="s">
        <v>1685</v>
      </c>
      <c r="B2897" s="21" t="s">
        <v>1146</v>
      </c>
      <c r="C2897" s="21" t="s">
        <v>1149</v>
      </c>
      <c r="D2897" s="21" t="s">
        <v>420</v>
      </c>
      <c r="E2897" s="21" t="s">
        <v>3094</v>
      </c>
      <c r="G2897" s="21" t="s">
        <v>153</v>
      </c>
      <c r="H2897" s="21" t="s">
        <v>1165</v>
      </c>
      <c r="I2897" s="21" t="s">
        <v>3096</v>
      </c>
      <c r="J2897" s="21">
        <v>49</v>
      </c>
      <c r="K2897">
        <v>-121.5</v>
      </c>
      <c r="L2897">
        <v>1220</v>
      </c>
      <c r="M2897" s="21" t="s">
        <v>3034</v>
      </c>
      <c r="O2897" s="21">
        <v>1982</v>
      </c>
      <c r="Q2897" s="21" t="s">
        <v>3086</v>
      </c>
      <c r="T2897" s="21">
        <v>-20</v>
      </c>
      <c r="U2897" s="21" t="s">
        <v>1147</v>
      </c>
      <c r="X2897" s="9" t="s">
        <v>3088</v>
      </c>
      <c r="Z2897" s="22">
        <v>8</v>
      </c>
      <c r="AD2897" s="22" t="s">
        <v>1165</v>
      </c>
      <c r="AF2897" s="24" t="s">
        <v>153</v>
      </c>
      <c r="AG2897" t="s">
        <v>1160</v>
      </c>
      <c r="AH2897">
        <f t="shared" si="30"/>
        <v>4320</v>
      </c>
      <c r="AI2897" s="21" t="s">
        <v>153</v>
      </c>
      <c r="AJ2897" s="21" t="s">
        <v>1148</v>
      </c>
      <c r="AK2897" s="21">
        <v>0</v>
      </c>
      <c r="AL2897" s="21" t="s">
        <v>1321</v>
      </c>
      <c r="AM2897">
        <v>0</v>
      </c>
      <c r="AN2897" s="21">
        <v>3</v>
      </c>
      <c r="AO2897" s="21">
        <v>50</v>
      </c>
      <c r="AP2897" s="21">
        <v>3</v>
      </c>
      <c r="AQ2897" s="22" t="s">
        <v>3092</v>
      </c>
      <c r="AR2897" s="21" t="s">
        <v>1155</v>
      </c>
      <c r="AS2897" t="s">
        <v>3085</v>
      </c>
    </row>
    <row r="2898" spans="1:45" x14ac:dyDescent="0.2">
      <c r="A2898" s="21" t="s">
        <v>1685</v>
      </c>
      <c r="B2898" s="21" t="s">
        <v>1146</v>
      </c>
      <c r="C2898" s="21" t="s">
        <v>1149</v>
      </c>
      <c r="D2898" s="21" t="s">
        <v>420</v>
      </c>
      <c r="E2898" s="21" t="s">
        <v>3094</v>
      </c>
      <c r="G2898" s="21" t="s">
        <v>153</v>
      </c>
      <c r="H2898" s="21" t="s">
        <v>1165</v>
      </c>
      <c r="I2898" s="21" t="s">
        <v>3096</v>
      </c>
      <c r="J2898" s="21">
        <v>49</v>
      </c>
      <c r="K2898">
        <v>-121.5</v>
      </c>
      <c r="L2898">
        <v>1220</v>
      </c>
      <c r="M2898" s="21" t="s">
        <v>3034</v>
      </c>
      <c r="O2898" s="21">
        <v>1982</v>
      </c>
      <c r="Q2898" s="21" t="s">
        <v>3086</v>
      </c>
      <c r="T2898" s="21">
        <v>-20</v>
      </c>
      <c r="U2898" s="21" t="s">
        <v>1147</v>
      </c>
      <c r="X2898" s="9" t="s">
        <v>3088</v>
      </c>
      <c r="Z2898" s="22">
        <v>8</v>
      </c>
      <c r="AD2898" s="22" t="s">
        <v>1165</v>
      </c>
      <c r="AF2898" s="24" t="s">
        <v>153</v>
      </c>
      <c r="AG2898" t="s">
        <v>1160</v>
      </c>
      <c r="AH2898">
        <f t="shared" si="30"/>
        <v>4320</v>
      </c>
      <c r="AI2898" s="21" t="s">
        <v>153</v>
      </c>
      <c r="AJ2898" s="21" t="s">
        <v>1148</v>
      </c>
      <c r="AK2898" s="21">
        <v>0</v>
      </c>
      <c r="AL2898" s="21" t="s">
        <v>1321</v>
      </c>
      <c r="AM2898" s="21">
        <v>0</v>
      </c>
      <c r="AN2898" s="21">
        <v>3</v>
      </c>
      <c r="AO2898" s="21">
        <v>50</v>
      </c>
      <c r="AP2898" s="21">
        <v>6</v>
      </c>
      <c r="AQ2898" s="22" t="s">
        <v>3092</v>
      </c>
      <c r="AR2898" s="21" t="s">
        <v>1155</v>
      </c>
      <c r="AS2898" t="s">
        <v>3085</v>
      </c>
    </row>
    <row r="2899" spans="1:45" x14ac:dyDescent="0.2">
      <c r="A2899" s="21" t="s">
        <v>1685</v>
      </c>
      <c r="B2899" s="21" t="s">
        <v>1146</v>
      </c>
      <c r="C2899" s="21" t="s">
        <v>1149</v>
      </c>
      <c r="D2899" s="21" t="s">
        <v>420</v>
      </c>
      <c r="E2899" s="21" t="s">
        <v>3094</v>
      </c>
      <c r="G2899" s="21" t="s">
        <v>153</v>
      </c>
      <c r="H2899" s="21" t="s">
        <v>1165</v>
      </c>
      <c r="I2899" s="21" t="s">
        <v>3096</v>
      </c>
      <c r="J2899" s="21">
        <v>49</v>
      </c>
      <c r="K2899">
        <v>-121.5</v>
      </c>
      <c r="L2899">
        <v>1220</v>
      </c>
      <c r="M2899" s="21" t="s">
        <v>3034</v>
      </c>
      <c r="O2899" s="21">
        <v>1982</v>
      </c>
      <c r="Q2899" s="21" t="s">
        <v>3086</v>
      </c>
      <c r="T2899" s="21">
        <v>-20</v>
      </c>
      <c r="U2899" s="21" t="s">
        <v>1147</v>
      </c>
      <c r="X2899" s="9" t="s">
        <v>3088</v>
      </c>
      <c r="Z2899" s="22">
        <v>8</v>
      </c>
      <c r="AD2899" s="22" t="s">
        <v>1165</v>
      </c>
      <c r="AF2899" s="24" t="s">
        <v>153</v>
      </c>
      <c r="AG2899" t="s">
        <v>1160</v>
      </c>
      <c r="AH2899">
        <f t="shared" si="30"/>
        <v>4320</v>
      </c>
      <c r="AI2899" s="21" t="s">
        <v>153</v>
      </c>
      <c r="AJ2899" s="21" t="s">
        <v>1148</v>
      </c>
      <c r="AK2899" s="21">
        <v>0</v>
      </c>
      <c r="AL2899" s="21" t="s">
        <v>1321</v>
      </c>
      <c r="AM2899" s="21">
        <v>0</v>
      </c>
      <c r="AN2899" s="21">
        <v>3</v>
      </c>
      <c r="AO2899" s="21">
        <v>50</v>
      </c>
      <c r="AP2899" s="21">
        <v>9</v>
      </c>
      <c r="AQ2899" s="22" t="s">
        <v>3092</v>
      </c>
      <c r="AR2899" s="21" t="s">
        <v>1155</v>
      </c>
      <c r="AS2899" t="s">
        <v>3085</v>
      </c>
    </row>
    <row r="2900" spans="1:45" x14ac:dyDescent="0.2">
      <c r="A2900" s="21" t="s">
        <v>1685</v>
      </c>
      <c r="B2900" s="21" t="s">
        <v>1146</v>
      </c>
      <c r="C2900" s="21" t="s">
        <v>1149</v>
      </c>
      <c r="D2900" s="21" t="s">
        <v>420</v>
      </c>
      <c r="E2900" s="21" t="s">
        <v>3094</v>
      </c>
      <c r="G2900" s="21" t="s">
        <v>153</v>
      </c>
      <c r="H2900" s="21" t="s">
        <v>1165</v>
      </c>
      <c r="I2900" s="21" t="s">
        <v>3096</v>
      </c>
      <c r="J2900" s="21">
        <v>49</v>
      </c>
      <c r="K2900">
        <v>-121.5</v>
      </c>
      <c r="L2900">
        <v>1220</v>
      </c>
      <c r="M2900" s="21" t="s">
        <v>3034</v>
      </c>
      <c r="O2900" s="21">
        <v>1982</v>
      </c>
      <c r="Q2900" s="21" t="s">
        <v>3086</v>
      </c>
      <c r="T2900" s="21">
        <v>-20</v>
      </c>
      <c r="U2900" s="21" t="s">
        <v>1147</v>
      </c>
      <c r="X2900" s="9" t="s">
        <v>3088</v>
      </c>
      <c r="Z2900" s="22">
        <v>8</v>
      </c>
      <c r="AD2900" s="22" t="s">
        <v>1165</v>
      </c>
      <c r="AF2900" s="24" t="s">
        <v>153</v>
      </c>
      <c r="AG2900" t="s">
        <v>1160</v>
      </c>
      <c r="AH2900">
        <f t="shared" si="30"/>
        <v>4320</v>
      </c>
      <c r="AI2900" s="21" t="s">
        <v>153</v>
      </c>
      <c r="AJ2900" s="21" t="s">
        <v>1148</v>
      </c>
      <c r="AK2900" s="21">
        <v>1.194</v>
      </c>
      <c r="AL2900" s="21" t="s">
        <v>1321</v>
      </c>
      <c r="AM2900" s="21" t="s">
        <v>3003</v>
      </c>
      <c r="AN2900" s="21">
        <v>3</v>
      </c>
      <c r="AO2900" s="21">
        <v>50</v>
      </c>
      <c r="AP2900" s="21">
        <v>12</v>
      </c>
      <c r="AQ2900" s="22" t="s">
        <v>3092</v>
      </c>
      <c r="AR2900" s="21" t="s">
        <v>1155</v>
      </c>
      <c r="AS2900" t="s">
        <v>3085</v>
      </c>
    </row>
    <row r="2901" spans="1:45" x14ac:dyDescent="0.2">
      <c r="A2901" s="21" t="s">
        <v>1685</v>
      </c>
      <c r="B2901" s="21" t="s">
        <v>1146</v>
      </c>
      <c r="C2901" s="21" t="s">
        <v>1149</v>
      </c>
      <c r="D2901" s="21" t="s">
        <v>420</v>
      </c>
      <c r="E2901" s="21" t="s">
        <v>3094</v>
      </c>
      <c r="G2901" s="21" t="s">
        <v>153</v>
      </c>
      <c r="H2901" s="21" t="s">
        <v>1165</v>
      </c>
      <c r="I2901" s="21" t="s">
        <v>3096</v>
      </c>
      <c r="J2901" s="21">
        <v>49</v>
      </c>
      <c r="K2901">
        <v>-121.5</v>
      </c>
      <c r="L2901">
        <v>1220</v>
      </c>
      <c r="M2901" s="21" t="s">
        <v>3034</v>
      </c>
      <c r="O2901" s="21">
        <v>1982</v>
      </c>
      <c r="Q2901" s="21" t="s">
        <v>3086</v>
      </c>
      <c r="T2901" s="21">
        <v>-20</v>
      </c>
      <c r="U2901" s="21" t="s">
        <v>1147</v>
      </c>
      <c r="X2901" s="9" t="s">
        <v>3088</v>
      </c>
      <c r="Z2901" s="22">
        <v>8</v>
      </c>
      <c r="AD2901" s="22" t="s">
        <v>1165</v>
      </c>
      <c r="AF2901" s="24" t="s">
        <v>153</v>
      </c>
      <c r="AG2901" t="s">
        <v>1160</v>
      </c>
      <c r="AH2901">
        <f t="shared" si="30"/>
        <v>4320</v>
      </c>
      <c r="AI2901" s="21" t="s">
        <v>153</v>
      </c>
      <c r="AJ2901" s="21" t="s">
        <v>1148</v>
      </c>
      <c r="AK2901" s="21">
        <v>3.5819999999999999</v>
      </c>
      <c r="AL2901" s="21" t="s">
        <v>1321</v>
      </c>
      <c r="AM2901" s="21">
        <f>4.876-2.09</f>
        <v>2.7860000000000005</v>
      </c>
      <c r="AN2901" s="21">
        <v>3</v>
      </c>
      <c r="AO2901" s="21">
        <v>50</v>
      </c>
      <c r="AP2901" s="21">
        <v>15</v>
      </c>
      <c r="AQ2901" s="22" t="s">
        <v>3092</v>
      </c>
      <c r="AR2901" s="21" t="s">
        <v>1155</v>
      </c>
      <c r="AS2901" t="s">
        <v>3085</v>
      </c>
    </row>
    <row r="2902" spans="1:45" x14ac:dyDescent="0.2">
      <c r="A2902" s="21" t="s">
        <v>1685</v>
      </c>
      <c r="B2902" s="21" t="s">
        <v>1146</v>
      </c>
      <c r="C2902" s="21" t="s">
        <v>1149</v>
      </c>
      <c r="D2902" s="21" t="s">
        <v>420</v>
      </c>
      <c r="E2902" s="21" t="s">
        <v>3094</v>
      </c>
      <c r="G2902" s="21" t="s">
        <v>153</v>
      </c>
      <c r="H2902" s="21" t="s">
        <v>1165</v>
      </c>
      <c r="I2902" s="21" t="s">
        <v>3096</v>
      </c>
      <c r="J2902" s="21">
        <v>49</v>
      </c>
      <c r="K2902">
        <v>-121.5</v>
      </c>
      <c r="L2902">
        <v>1220</v>
      </c>
      <c r="M2902" s="21" t="s">
        <v>3034</v>
      </c>
      <c r="O2902" s="21">
        <v>1982</v>
      </c>
      <c r="Q2902" s="21" t="s">
        <v>3086</v>
      </c>
      <c r="T2902" s="21">
        <v>-20</v>
      </c>
      <c r="U2902" s="21" t="s">
        <v>1147</v>
      </c>
      <c r="X2902" s="9" t="s">
        <v>3088</v>
      </c>
      <c r="Z2902" s="22">
        <v>8</v>
      </c>
      <c r="AD2902" s="22" t="s">
        <v>1165</v>
      </c>
      <c r="AF2902" s="24" t="s">
        <v>153</v>
      </c>
      <c r="AG2902" t="s">
        <v>1160</v>
      </c>
      <c r="AH2902">
        <f t="shared" si="30"/>
        <v>4320</v>
      </c>
      <c r="AI2902" s="21" t="s">
        <v>153</v>
      </c>
      <c r="AJ2902" s="21" t="s">
        <v>1148</v>
      </c>
      <c r="AK2902" s="21">
        <v>4.6100000000000003</v>
      </c>
      <c r="AL2902" s="21" t="s">
        <v>1321</v>
      </c>
      <c r="AM2902" s="21" t="s">
        <v>3003</v>
      </c>
      <c r="AN2902" s="21">
        <v>3</v>
      </c>
      <c r="AO2902" s="21">
        <v>50</v>
      </c>
      <c r="AP2902" s="21">
        <v>18</v>
      </c>
      <c r="AQ2902" s="22" t="s">
        <v>3092</v>
      </c>
      <c r="AR2902" s="21" t="s">
        <v>1155</v>
      </c>
      <c r="AS2902" t="s">
        <v>3085</v>
      </c>
    </row>
    <row r="2903" spans="1:45" x14ac:dyDescent="0.2">
      <c r="A2903" s="21" t="s">
        <v>1685</v>
      </c>
      <c r="B2903" s="21" t="s">
        <v>1146</v>
      </c>
      <c r="C2903" s="21" t="s">
        <v>1149</v>
      </c>
      <c r="D2903" s="21" t="s">
        <v>420</v>
      </c>
      <c r="E2903" s="21" t="s">
        <v>3094</v>
      </c>
      <c r="G2903" s="21" t="s">
        <v>153</v>
      </c>
      <c r="H2903" s="21" t="s">
        <v>1165</v>
      </c>
      <c r="I2903" s="21" t="s">
        <v>3096</v>
      </c>
      <c r="J2903" s="21">
        <v>49</v>
      </c>
      <c r="K2903">
        <v>-121.5</v>
      </c>
      <c r="L2903">
        <v>1220</v>
      </c>
      <c r="M2903" s="21" t="s">
        <v>3034</v>
      </c>
      <c r="O2903" s="21">
        <v>1982</v>
      </c>
      <c r="Q2903" s="21" t="s">
        <v>3086</v>
      </c>
      <c r="T2903" s="21">
        <v>-20</v>
      </c>
      <c r="U2903" s="21" t="s">
        <v>1147</v>
      </c>
      <c r="X2903" s="9" t="s">
        <v>3088</v>
      </c>
      <c r="Z2903" s="22">
        <v>8</v>
      </c>
      <c r="AD2903" s="22" t="s">
        <v>1165</v>
      </c>
      <c r="AF2903" s="24" t="s">
        <v>153</v>
      </c>
      <c r="AG2903" t="s">
        <v>1160</v>
      </c>
      <c r="AH2903">
        <f t="shared" si="30"/>
        <v>4320</v>
      </c>
      <c r="AI2903" s="21" t="s">
        <v>153</v>
      </c>
      <c r="AJ2903" s="21" t="s">
        <v>1148</v>
      </c>
      <c r="AK2903" s="21">
        <v>11.94</v>
      </c>
      <c r="AL2903" s="21" t="s">
        <v>1321</v>
      </c>
      <c r="AM2903" s="21">
        <f>13.234-10.315</f>
        <v>2.9190000000000005</v>
      </c>
      <c r="AN2903" s="21">
        <v>3</v>
      </c>
      <c r="AO2903" s="21">
        <v>50</v>
      </c>
      <c r="AP2903" s="21">
        <v>21</v>
      </c>
      <c r="AQ2903" s="22" t="s">
        <v>3092</v>
      </c>
      <c r="AR2903" s="21" t="s">
        <v>1155</v>
      </c>
      <c r="AS2903" t="s">
        <v>3085</v>
      </c>
    </row>
    <row r="2904" spans="1:45" x14ac:dyDescent="0.2">
      <c r="A2904" s="21" t="s">
        <v>1685</v>
      </c>
      <c r="B2904" s="21" t="s">
        <v>1146</v>
      </c>
      <c r="C2904" s="21" t="s">
        <v>1149</v>
      </c>
      <c r="D2904" s="21" t="s">
        <v>420</v>
      </c>
      <c r="E2904" s="21" t="s">
        <v>3094</v>
      </c>
      <c r="G2904" s="21" t="s">
        <v>153</v>
      </c>
      <c r="H2904" s="21" t="s">
        <v>1165</v>
      </c>
      <c r="I2904" s="21" t="s">
        <v>3096</v>
      </c>
      <c r="J2904" s="21">
        <v>49</v>
      </c>
      <c r="K2904">
        <v>-121.5</v>
      </c>
      <c r="L2904">
        <v>1220</v>
      </c>
      <c r="M2904" s="21" t="s">
        <v>3034</v>
      </c>
      <c r="O2904" s="21">
        <v>1982</v>
      </c>
      <c r="Q2904" s="21" t="s">
        <v>3086</v>
      </c>
      <c r="T2904" s="21">
        <v>-20</v>
      </c>
      <c r="U2904" s="21" t="s">
        <v>1147</v>
      </c>
      <c r="X2904" s="9" t="s">
        <v>3088</v>
      </c>
      <c r="Z2904" s="22">
        <v>8</v>
      </c>
      <c r="AD2904" s="22" t="s">
        <v>1165</v>
      </c>
      <c r="AF2904" s="24" t="s">
        <v>153</v>
      </c>
      <c r="AG2904" t="s">
        <v>1160</v>
      </c>
      <c r="AH2904">
        <f t="shared" si="30"/>
        <v>4320</v>
      </c>
      <c r="AI2904" s="21" t="s">
        <v>153</v>
      </c>
      <c r="AJ2904" s="21" t="s">
        <v>1148</v>
      </c>
      <c r="AK2904" s="21">
        <v>16.318000000000001</v>
      </c>
      <c r="AL2904" s="21" t="s">
        <v>1321</v>
      </c>
      <c r="AM2904" s="21" t="s">
        <v>3003</v>
      </c>
      <c r="AN2904" s="21">
        <v>3</v>
      </c>
      <c r="AO2904" s="21">
        <v>50</v>
      </c>
      <c r="AP2904" s="21">
        <v>24</v>
      </c>
      <c r="AQ2904" s="22" t="s">
        <v>3092</v>
      </c>
      <c r="AR2904" s="21" t="s">
        <v>1155</v>
      </c>
      <c r="AS2904" t="s">
        <v>3085</v>
      </c>
    </row>
    <row r="2905" spans="1:45" x14ac:dyDescent="0.2">
      <c r="A2905" s="21" t="s">
        <v>1685</v>
      </c>
      <c r="B2905" s="21" t="s">
        <v>1146</v>
      </c>
      <c r="C2905" s="21" t="s">
        <v>1149</v>
      </c>
      <c r="D2905" s="21" t="s">
        <v>420</v>
      </c>
      <c r="E2905" s="21" t="s">
        <v>3094</v>
      </c>
      <c r="G2905" s="21" t="s">
        <v>153</v>
      </c>
      <c r="H2905" s="21" t="s">
        <v>1165</v>
      </c>
      <c r="I2905" s="21" t="s">
        <v>3096</v>
      </c>
      <c r="J2905" s="21">
        <v>49</v>
      </c>
      <c r="K2905">
        <v>-121.5</v>
      </c>
      <c r="L2905">
        <v>1220</v>
      </c>
      <c r="M2905" s="21" t="s">
        <v>3034</v>
      </c>
      <c r="O2905" s="21">
        <v>1982</v>
      </c>
      <c r="Q2905" s="21" t="s">
        <v>3086</v>
      </c>
      <c r="T2905" s="21">
        <v>-20</v>
      </c>
      <c r="U2905" s="21" t="s">
        <v>1147</v>
      </c>
      <c r="X2905" s="9" t="s">
        <v>3088</v>
      </c>
      <c r="Z2905" s="22">
        <v>8</v>
      </c>
      <c r="AD2905" s="22" t="s">
        <v>1165</v>
      </c>
      <c r="AF2905" s="24" t="s">
        <v>153</v>
      </c>
      <c r="AG2905" t="s">
        <v>1160</v>
      </c>
      <c r="AH2905">
        <f t="shared" si="30"/>
        <v>4320</v>
      </c>
      <c r="AI2905" s="21" t="s">
        <v>153</v>
      </c>
      <c r="AJ2905" s="21" t="s">
        <v>1148</v>
      </c>
      <c r="AK2905" s="21">
        <v>19.501999999999999</v>
      </c>
      <c r="AL2905" s="21" t="s">
        <v>1321</v>
      </c>
      <c r="AM2905" s="21" t="s">
        <v>3003</v>
      </c>
      <c r="AN2905" s="21">
        <v>3</v>
      </c>
      <c r="AO2905" s="21">
        <v>50</v>
      </c>
      <c r="AP2905" s="21">
        <v>27</v>
      </c>
      <c r="AQ2905" s="22" t="s">
        <v>3092</v>
      </c>
      <c r="AR2905" s="21" t="s">
        <v>1155</v>
      </c>
      <c r="AS2905" t="s">
        <v>3085</v>
      </c>
    </row>
    <row r="2906" spans="1:45" x14ac:dyDescent="0.2">
      <c r="A2906" s="21" t="s">
        <v>1685</v>
      </c>
      <c r="B2906" s="21" t="s">
        <v>1146</v>
      </c>
      <c r="C2906" s="21" t="s">
        <v>1149</v>
      </c>
      <c r="D2906" s="21" t="s">
        <v>420</v>
      </c>
      <c r="E2906" s="21" t="s">
        <v>3094</v>
      </c>
      <c r="G2906" s="21" t="s">
        <v>153</v>
      </c>
      <c r="H2906" s="21" t="s">
        <v>1165</v>
      </c>
      <c r="I2906" s="21" t="s">
        <v>3096</v>
      </c>
      <c r="J2906" s="21">
        <v>49</v>
      </c>
      <c r="K2906">
        <v>-121.5</v>
      </c>
      <c r="L2906">
        <v>1220</v>
      </c>
      <c r="M2906" s="21" t="s">
        <v>3034</v>
      </c>
      <c r="O2906" s="21">
        <v>1982</v>
      </c>
      <c r="Q2906" s="21" t="s">
        <v>3086</v>
      </c>
      <c r="T2906" s="21">
        <v>-20</v>
      </c>
      <c r="U2906" s="21" t="s">
        <v>1147</v>
      </c>
      <c r="X2906" s="9" t="s">
        <v>3088</v>
      </c>
      <c r="Z2906" s="22">
        <v>8</v>
      </c>
      <c r="AD2906" s="22" t="s">
        <v>1165</v>
      </c>
      <c r="AF2906" s="24" t="s">
        <v>153</v>
      </c>
      <c r="AG2906" t="s">
        <v>1160</v>
      </c>
      <c r="AH2906">
        <f t="shared" si="30"/>
        <v>4320</v>
      </c>
      <c r="AI2906" s="21" t="s">
        <v>153</v>
      </c>
      <c r="AJ2906" s="21" t="s">
        <v>1148</v>
      </c>
      <c r="AK2906" s="21">
        <v>24.478000000000002</v>
      </c>
      <c r="AL2906" s="21" t="s">
        <v>1321</v>
      </c>
      <c r="AM2906" s="21" t="s">
        <v>3003</v>
      </c>
      <c r="AN2906" s="21">
        <v>3</v>
      </c>
      <c r="AO2906" s="21">
        <v>50</v>
      </c>
      <c r="AP2906" s="21">
        <v>30</v>
      </c>
      <c r="AQ2906" s="22" t="s">
        <v>3092</v>
      </c>
      <c r="AR2906" s="21" t="s">
        <v>1155</v>
      </c>
      <c r="AS2906" t="s">
        <v>3085</v>
      </c>
    </row>
    <row r="2907" spans="1:45" x14ac:dyDescent="0.2">
      <c r="A2907" s="21" t="s">
        <v>1685</v>
      </c>
      <c r="B2907" s="21" t="s">
        <v>1146</v>
      </c>
      <c r="C2907" s="21" t="s">
        <v>1149</v>
      </c>
      <c r="D2907" s="21" t="s">
        <v>420</v>
      </c>
      <c r="E2907" s="21" t="s">
        <v>3083</v>
      </c>
      <c r="G2907" s="21" t="s">
        <v>153</v>
      </c>
      <c r="H2907" s="21" t="s">
        <v>1165</v>
      </c>
      <c r="I2907" s="21" t="s">
        <v>3084</v>
      </c>
      <c r="J2907" s="21">
        <v>49.133333333333297</v>
      </c>
      <c r="K2907">
        <v>-122.75</v>
      </c>
      <c r="L2907">
        <v>1415</v>
      </c>
      <c r="M2907" s="21" t="s">
        <v>3034</v>
      </c>
      <c r="O2907" s="21">
        <v>1985</v>
      </c>
      <c r="Q2907" s="21" t="s">
        <v>3086</v>
      </c>
      <c r="T2907" s="21">
        <v>-20</v>
      </c>
      <c r="U2907" s="21" t="s">
        <v>1218</v>
      </c>
      <c r="V2907" s="9" t="s">
        <v>1247</v>
      </c>
      <c r="W2907" s="21">
        <v>28</v>
      </c>
      <c r="X2907" s="9" t="s">
        <v>3088</v>
      </c>
      <c r="Z2907" s="22">
        <v>8</v>
      </c>
      <c r="AD2907" s="22" t="s">
        <v>1165</v>
      </c>
      <c r="AF2907" s="24" t="s">
        <v>153</v>
      </c>
      <c r="AG2907" t="s">
        <v>1160</v>
      </c>
      <c r="AH2907">
        <f t="shared" si="30"/>
        <v>4320</v>
      </c>
      <c r="AI2907" s="21" t="s">
        <v>153</v>
      </c>
      <c r="AJ2907" s="21" t="s">
        <v>1148</v>
      </c>
      <c r="AK2907" s="21">
        <v>39</v>
      </c>
      <c r="AL2907" s="21" t="s">
        <v>1321</v>
      </c>
      <c r="AN2907" s="21">
        <v>3</v>
      </c>
      <c r="AO2907" s="21">
        <v>50</v>
      </c>
      <c r="AP2907" s="21">
        <v>30</v>
      </c>
      <c r="AQ2907" s="22" t="s">
        <v>3016</v>
      </c>
      <c r="AR2907" s="21" t="s">
        <v>1298</v>
      </c>
      <c r="AS2907" t="s">
        <v>3085</v>
      </c>
    </row>
    <row r="2908" spans="1:45" x14ac:dyDescent="0.2">
      <c r="A2908" s="21" t="s">
        <v>1685</v>
      </c>
      <c r="B2908" s="21" t="s">
        <v>1146</v>
      </c>
      <c r="C2908" s="21" t="s">
        <v>1149</v>
      </c>
      <c r="D2908" s="21" t="s">
        <v>420</v>
      </c>
      <c r="E2908" s="21" t="s">
        <v>3083</v>
      </c>
      <c r="G2908" s="21" t="s">
        <v>153</v>
      </c>
      <c r="H2908" s="21" t="s">
        <v>1165</v>
      </c>
      <c r="I2908" s="21" t="s">
        <v>3084</v>
      </c>
      <c r="J2908" s="21">
        <v>49.133333333333297</v>
      </c>
      <c r="K2908">
        <v>-122.75</v>
      </c>
      <c r="L2908">
        <v>1415</v>
      </c>
      <c r="M2908" s="21" t="s">
        <v>3034</v>
      </c>
      <c r="O2908" s="21">
        <v>1985</v>
      </c>
      <c r="Q2908" s="21" t="s">
        <v>3086</v>
      </c>
      <c r="T2908" s="21">
        <v>-20</v>
      </c>
      <c r="U2908" s="21" t="s">
        <v>1218</v>
      </c>
      <c r="V2908" s="9" t="s">
        <v>1247</v>
      </c>
      <c r="W2908" s="21">
        <v>28</v>
      </c>
      <c r="X2908" s="9" t="s">
        <v>3088</v>
      </c>
      <c r="Z2908" s="22">
        <v>8</v>
      </c>
      <c r="AD2908" s="22" t="s">
        <v>1165</v>
      </c>
      <c r="AF2908" s="24" t="s">
        <v>153</v>
      </c>
      <c r="AG2908" t="s">
        <v>1160</v>
      </c>
      <c r="AH2908">
        <f t="shared" si="30"/>
        <v>4320</v>
      </c>
      <c r="AI2908" s="21" t="s">
        <v>153</v>
      </c>
      <c r="AJ2908" s="21" t="s">
        <v>1278</v>
      </c>
      <c r="AK2908" s="21">
        <v>13</v>
      </c>
      <c r="AL2908" s="21" t="s">
        <v>1321</v>
      </c>
      <c r="AN2908" s="21">
        <v>3</v>
      </c>
      <c r="AO2908" s="21">
        <v>50</v>
      </c>
      <c r="AP2908" s="21">
        <v>30</v>
      </c>
      <c r="AQ2908" s="22" t="s">
        <v>3016</v>
      </c>
      <c r="AR2908" s="21" t="s">
        <v>1298</v>
      </c>
      <c r="AS2908" t="s">
        <v>3085</v>
      </c>
    </row>
    <row r="2909" spans="1:45" x14ac:dyDescent="0.2">
      <c r="A2909" s="21" t="s">
        <v>1685</v>
      </c>
      <c r="B2909" s="21" t="s">
        <v>1146</v>
      </c>
      <c r="C2909" s="21" t="s">
        <v>1149</v>
      </c>
      <c r="D2909" s="21" t="s">
        <v>420</v>
      </c>
      <c r="E2909" s="21" t="s">
        <v>3083</v>
      </c>
      <c r="G2909" s="21" t="s">
        <v>153</v>
      </c>
      <c r="H2909" s="21" t="s">
        <v>1165</v>
      </c>
      <c r="I2909" s="21" t="s">
        <v>3084</v>
      </c>
      <c r="J2909" s="21">
        <v>49.133333333333297</v>
      </c>
      <c r="K2909">
        <v>-122.75</v>
      </c>
      <c r="L2909">
        <v>1415</v>
      </c>
      <c r="M2909" s="21" t="s">
        <v>3034</v>
      </c>
      <c r="O2909" s="21">
        <v>1985</v>
      </c>
      <c r="Q2909" s="21" t="s">
        <v>3086</v>
      </c>
      <c r="T2909" s="21">
        <v>-20</v>
      </c>
      <c r="U2909" s="21" t="s">
        <v>1218</v>
      </c>
      <c r="V2909" s="9" t="s">
        <v>1247</v>
      </c>
      <c r="W2909" s="21">
        <v>56</v>
      </c>
      <c r="X2909" s="9" t="s">
        <v>3088</v>
      </c>
      <c r="Z2909" s="22">
        <v>8</v>
      </c>
      <c r="AD2909" s="22" t="s">
        <v>1165</v>
      </c>
      <c r="AF2909" s="24" t="s">
        <v>153</v>
      </c>
      <c r="AG2909" t="s">
        <v>1160</v>
      </c>
      <c r="AH2909">
        <f t="shared" si="30"/>
        <v>4320</v>
      </c>
      <c r="AI2909" s="21" t="s">
        <v>153</v>
      </c>
      <c r="AJ2909" s="21" t="s">
        <v>1148</v>
      </c>
      <c r="AK2909" s="21">
        <v>44</v>
      </c>
      <c r="AL2909" s="21" t="s">
        <v>1321</v>
      </c>
      <c r="AN2909" s="21">
        <v>3</v>
      </c>
      <c r="AO2909" s="21">
        <v>50</v>
      </c>
      <c r="AP2909" s="21">
        <v>30</v>
      </c>
      <c r="AQ2909" s="22" t="s">
        <v>3016</v>
      </c>
      <c r="AR2909" s="21" t="s">
        <v>1298</v>
      </c>
      <c r="AS2909" t="s">
        <v>3085</v>
      </c>
    </row>
    <row r="2910" spans="1:45" x14ac:dyDescent="0.2">
      <c r="A2910" s="21" t="s">
        <v>1685</v>
      </c>
      <c r="B2910" s="21" t="s">
        <v>1146</v>
      </c>
      <c r="C2910" s="21" t="s">
        <v>1149</v>
      </c>
      <c r="D2910" s="21" t="s">
        <v>420</v>
      </c>
      <c r="E2910" s="21" t="s">
        <v>3083</v>
      </c>
      <c r="G2910" s="21" t="s">
        <v>153</v>
      </c>
      <c r="H2910" s="21" t="s">
        <v>1165</v>
      </c>
      <c r="I2910" s="21" t="s">
        <v>3084</v>
      </c>
      <c r="J2910" s="21">
        <v>49.133333333333297</v>
      </c>
      <c r="K2910">
        <v>-122.75</v>
      </c>
      <c r="L2910">
        <v>1415</v>
      </c>
      <c r="M2910" s="21" t="s">
        <v>3034</v>
      </c>
      <c r="O2910" s="21">
        <v>1985</v>
      </c>
      <c r="Q2910" s="21" t="s">
        <v>3086</v>
      </c>
      <c r="T2910" s="21">
        <v>-20</v>
      </c>
      <c r="U2910" s="21" t="s">
        <v>1218</v>
      </c>
      <c r="V2910" s="9" t="s">
        <v>1247</v>
      </c>
      <c r="W2910" s="21">
        <v>56</v>
      </c>
      <c r="X2910" s="9" t="s">
        <v>3088</v>
      </c>
      <c r="Z2910" s="22">
        <v>8</v>
      </c>
      <c r="AD2910" s="22" t="s">
        <v>1165</v>
      </c>
      <c r="AF2910" s="24" t="s">
        <v>153</v>
      </c>
      <c r="AG2910" t="s">
        <v>1160</v>
      </c>
      <c r="AH2910">
        <f t="shared" si="30"/>
        <v>4320</v>
      </c>
      <c r="AI2910" s="21" t="s">
        <v>153</v>
      </c>
      <c r="AJ2910" s="21" t="s">
        <v>1278</v>
      </c>
      <c r="AK2910" s="21">
        <v>26</v>
      </c>
      <c r="AL2910" s="21" t="s">
        <v>1321</v>
      </c>
      <c r="AN2910" s="21">
        <v>3</v>
      </c>
      <c r="AO2910" s="21">
        <v>50</v>
      </c>
      <c r="AP2910" s="21">
        <v>30</v>
      </c>
      <c r="AQ2910" s="22" t="s">
        <v>3016</v>
      </c>
      <c r="AR2910" s="21" t="s">
        <v>1298</v>
      </c>
      <c r="AS2910" t="s">
        <v>3085</v>
      </c>
    </row>
    <row r="2911" spans="1:45" x14ac:dyDescent="0.2">
      <c r="A2911" s="21" t="s">
        <v>1685</v>
      </c>
      <c r="B2911" s="21" t="s">
        <v>1146</v>
      </c>
      <c r="C2911" s="21" t="s">
        <v>1149</v>
      </c>
      <c r="D2911" s="21" t="s">
        <v>420</v>
      </c>
      <c r="E2911" s="21" t="s">
        <v>3083</v>
      </c>
      <c r="G2911" s="21" t="s">
        <v>153</v>
      </c>
      <c r="H2911" s="21" t="s">
        <v>1165</v>
      </c>
      <c r="I2911" s="21" t="s">
        <v>3084</v>
      </c>
      <c r="J2911" s="21">
        <v>49.133333333333297</v>
      </c>
      <c r="K2911">
        <v>-122.75</v>
      </c>
      <c r="L2911">
        <v>1415</v>
      </c>
      <c r="M2911" s="21" t="s">
        <v>3034</v>
      </c>
      <c r="O2911" s="21">
        <v>1985</v>
      </c>
      <c r="Q2911" s="21" t="s">
        <v>3086</v>
      </c>
      <c r="T2911" s="21">
        <v>-20</v>
      </c>
      <c r="U2911" s="21" t="s">
        <v>1218</v>
      </c>
      <c r="V2911" s="9" t="s">
        <v>1247</v>
      </c>
      <c r="W2911" s="21">
        <f>7*12</f>
        <v>84</v>
      </c>
      <c r="X2911" s="9" t="s">
        <v>3088</v>
      </c>
      <c r="Z2911" s="22">
        <v>8</v>
      </c>
      <c r="AD2911" s="22" t="s">
        <v>1165</v>
      </c>
      <c r="AF2911" s="24" t="s">
        <v>153</v>
      </c>
      <c r="AG2911" t="s">
        <v>1160</v>
      </c>
      <c r="AH2911">
        <f t="shared" si="30"/>
        <v>4320</v>
      </c>
      <c r="AI2911" s="21" t="s">
        <v>153</v>
      </c>
      <c r="AJ2911" s="21" t="s">
        <v>1148</v>
      </c>
      <c r="AK2911" s="21">
        <v>45</v>
      </c>
      <c r="AL2911" s="21" t="s">
        <v>1321</v>
      </c>
      <c r="AN2911" s="21">
        <v>3</v>
      </c>
      <c r="AO2911" s="21">
        <v>50</v>
      </c>
      <c r="AP2911" s="21">
        <v>30</v>
      </c>
      <c r="AQ2911" s="22" t="s">
        <v>3016</v>
      </c>
      <c r="AR2911" s="21" t="s">
        <v>1298</v>
      </c>
      <c r="AS2911" t="s">
        <v>3085</v>
      </c>
    </row>
    <row r="2912" spans="1:45" x14ac:dyDescent="0.2">
      <c r="A2912" s="21" t="s">
        <v>1685</v>
      </c>
      <c r="B2912" s="21" t="s">
        <v>1146</v>
      </c>
      <c r="C2912" s="21" t="s">
        <v>1149</v>
      </c>
      <c r="D2912" s="21" t="s">
        <v>420</v>
      </c>
      <c r="E2912" s="21" t="s">
        <v>3083</v>
      </c>
      <c r="G2912" s="21" t="s">
        <v>153</v>
      </c>
      <c r="H2912" s="21" t="s">
        <v>1165</v>
      </c>
      <c r="I2912" s="21" t="s">
        <v>3084</v>
      </c>
      <c r="J2912" s="21">
        <v>49.133333333333297</v>
      </c>
      <c r="K2912">
        <v>-122.75</v>
      </c>
      <c r="L2912">
        <v>1415</v>
      </c>
      <c r="M2912" s="21" t="s">
        <v>3034</v>
      </c>
      <c r="O2912" s="21">
        <v>1985</v>
      </c>
      <c r="Q2912" s="21" t="s">
        <v>3086</v>
      </c>
      <c r="T2912" s="21">
        <v>-20</v>
      </c>
      <c r="U2912" s="21" t="s">
        <v>1218</v>
      </c>
      <c r="V2912" s="9" t="s">
        <v>1247</v>
      </c>
      <c r="W2912" s="21">
        <v>84</v>
      </c>
      <c r="X2912" s="9" t="s">
        <v>3088</v>
      </c>
      <c r="Z2912" s="22">
        <v>8</v>
      </c>
      <c r="AD2912" s="22" t="s">
        <v>1165</v>
      </c>
      <c r="AF2912" s="24" t="s">
        <v>153</v>
      </c>
      <c r="AG2912" t="s">
        <v>1160</v>
      </c>
      <c r="AH2912">
        <f t="shared" si="30"/>
        <v>4320</v>
      </c>
      <c r="AI2912" s="21" t="s">
        <v>153</v>
      </c>
      <c r="AJ2912" s="21" t="s">
        <v>1278</v>
      </c>
      <c r="AK2912" s="21">
        <v>20</v>
      </c>
      <c r="AL2912" s="21" t="s">
        <v>1321</v>
      </c>
      <c r="AN2912" s="21">
        <v>3</v>
      </c>
      <c r="AO2912" s="21">
        <v>50</v>
      </c>
      <c r="AP2912" s="21">
        <v>30</v>
      </c>
      <c r="AQ2912" s="22" t="s">
        <v>3016</v>
      </c>
      <c r="AR2912" s="21" t="s">
        <v>1298</v>
      </c>
      <c r="AS2912" t="s">
        <v>3085</v>
      </c>
    </row>
    <row r="2913" spans="1:45" x14ac:dyDescent="0.2">
      <c r="A2913" s="21" t="s">
        <v>1685</v>
      </c>
      <c r="B2913" s="21" t="s">
        <v>1146</v>
      </c>
      <c r="C2913" s="21" t="s">
        <v>1149</v>
      </c>
      <c r="D2913" s="21" t="s">
        <v>420</v>
      </c>
      <c r="E2913" s="21" t="s">
        <v>3083</v>
      </c>
      <c r="G2913" s="21" t="s">
        <v>153</v>
      </c>
      <c r="H2913" s="21" t="s">
        <v>1165</v>
      </c>
      <c r="I2913" s="21" t="s">
        <v>3084</v>
      </c>
      <c r="J2913" s="21">
        <v>49.133333333333297</v>
      </c>
      <c r="K2913">
        <v>-122.75</v>
      </c>
      <c r="L2913">
        <v>1415</v>
      </c>
      <c r="M2913" s="21" t="s">
        <v>3034</v>
      </c>
      <c r="O2913" s="21">
        <v>1985</v>
      </c>
      <c r="Q2913" s="21" t="s">
        <v>3086</v>
      </c>
      <c r="T2913" s="21">
        <v>-20</v>
      </c>
      <c r="U2913" s="21" t="s">
        <v>1218</v>
      </c>
      <c r="V2913" s="9" t="s">
        <v>1247</v>
      </c>
      <c r="W2913" s="21">
        <v>28</v>
      </c>
      <c r="X2913" s="9" t="s">
        <v>3088</v>
      </c>
      <c r="Y2913" t="s">
        <v>3097</v>
      </c>
      <c r="Z2913" s="22">
        <v>8</v>
      </c>
      <c r="AD2913" s="22" t="s">
        <v>1165</v>
      </c>
      <c r="AF2913" s="24" t="s">
        <v>153</v>
      </c>
      <c r="AG2913" t="s">
        <v>1160</v>
      </c>
      <c r="AH2913">
        <f t="shared" si="30"/>
        <v>4320</v>
      </c>
      <c r="AI2913" s="21" t="s">
        <v>153</v>
      </c>
      <c r="AJ2913" s="21" t="s">
        <v>1148</v>
      </c>
      <c r="AK2913" s="21">
        <v>51</v>
      </c>
      <c r="AL2913" s="21" t="s">
        <v>1321</v>
      </c>
      <c r="AM2913" s="21"/>
      <c r="AN2913" s="21">
        <v>3</v>
      </c>
      <c r="AO2913" s="21">
        <v>50</v>
      </c>
      <c r="AP2913" s="21">
        <v>30</v>
      </c>
      <c r="AQ2913" s="22" t="s">
        <v>3016</v>
      </c>
      <c r="AR2913" s="21" t="s">
        <v>1298</v>
      </c>
      <c r="AS2913" t="s">
        <v>3085</v>
      </c>
    </row>
    <row r="2914" spans="1:45" x14ac:dyDescent="0.2">
      <c r="A2914" s="21" t="s">
        <v>1685</v>
      </c>
      <c r="B2914" s="21" t="s">
        <v>1146</v>
      </c>
      <c r="C2914" s="21" t="s">
        <v>1149</v>
      </c>
      <c r="D2914" s="21" t="s">
        <v>420</v>
      </c>
      <c r="E2914" s="21" t="s">
        <v>3083</v>
      </c>
      <c r="G2914" s="21" t="s">
        <v>153</v>
      </c>
      <c r="H2914" s="21" t="s">
        <v>1165</v>
      </c>
      <c r="I2914" s="21" t="s">
        <v>3084</v>
      </c>
      <c r="J2914" s="21">
        <v>49.133333333333297</v>
      </c>
      <c r="K2914">
        <v>-122.75</v>
      </c>
      <c r="L2914">
        <v>1415</v>
      </c>
      <c r="M2914" s="21" t="s">
        <v>3034</v>
      </c>
      <c r="O2914" s="21">
        <v>1985</v>
      </c>
      <c r="Q2914" s="21" t="s">
        <v>3086</v>
      </c>
      <c r="T2914" s="21">
        <v>-20</v>
      </c>
      <c r="U2914" s="21" t="s">
        <v>1218</v>
      </c>
      <c r="V2914" s="9" t="s">
        <v>1247</v>
      </c>
      <c r="W2914" s="21">
        <v>28</v>
      </c>
      <c r="X2914" s="9" t="s">
        <v>3088</v>
      </c>
      <c r="Y2914" t="s">
        <v>3097</v>
      </c>
      <c r="Z2914" s="22">
        <v>8</v>
      </c>
      <c r="AD2914" s="22" t="s">
        <v>1165</v>
      </c>
      <c r="AF2914" s="24" t="s">
        <v>153</v>
      </c>
      <c r="AG2914" t="s">
        <v>1160</v>
      </c>
      <c r="AH2914">
        <f t="shared" si="30"/>
        <v>4320</v>
      </c>
      <c r="AI2914" s="21" t="s">
        <v>153</v>
      </c>
      <c r="AJ2914" s="21" t="s">
        <v>1278</v>
      </c>
      <c r="AK2914" s="21">
        <v>19</v>
      </c>
      <c r="AL2914" s="21" t="s">
        <v>1321</v>
      </c>
      <c r="AM2914" s="21"/>
      <c r="AN2914" s="21">
        <v>3</v>
      </c>
      <c r="AO2914" s="21">
        <v>50</v>
      </c>
      <c r="AP2914" s="21">
        <v>30</v>
      </c>
      <c r="AQ2914" s="22" t="s">
        <v>3016</v>
      </c>
      <c r="AR2914" s="21" t="s">
        <v>1298</v>
      </c>
      <c r="AS2914" t="s">
        <v>3085</v>
      </c>
    </row>
    <row r="2915" spans="1:45" x14ac:dyDescent="0.2">
      <c r="A2915" s="21" t="s">
        <v>1685</v>
      </c>
      <c r="B2915" s="21" t="s">
        <v>1146</v>
      </c>
      <c r="C2915" s="21" t="s">
        <v>1149</v>
      </c>
      <c r="D2915" s="21" t="s">
        <v>420</v>
      </c>
      <c r="E2915" s="21" t="s">
        <v>3083</v>
      </c>
      <c r="G2915" s="21" t="s">
        <v>153</v>
      </c>
      <c r="H2915" s="21" t="s">
        <v>1165</v>
      </c>
      <c r="I2915" s="21" t="s">
        <v>3084</v>
      </c>
      <c r="J2915" s="21">
        <v>49.133333333333297</v>
      </c>
      <c r="K2915">
        <v>-122.75</v>
      </c>
      <c r="L2915">
        <v>1415</v>
      </c>
      <c r="M2915" s="21" t="s">
        <v>3034</v>
      </c>
      <c r="O2915" s="21">
        <v>1985</v>
      </c>
      <c r="Q2915" s="21" t="s">
        <v>3086</v>
      </c>
      <c r="T2915" s="21">
        <v>-20</v>
      </c>
      <c r="U2915" s="21" t="s">
        <v>1218</v>
      </c>
      <c r="V2915" s="9" t="s">
        <v>1247</v>
      </c>
      <c r="W2915" s="21">
        <v>56</v>
      </c>
      <c r="X2915" s="9" t="s">
        <v>3088</v>
      </c>
      <c r="Y2915" t="s">
        <v>3097</v>
      </c>
      <c r="Z2915" s="22">
        <v>8</v>
      </c>
      <c r="AD2915" s="22" t="s">
        <v>1165</v>
      </c>
      <c r="AF2915" s="24" t="s">
        <v>153</v>
      </c>
      <c r="AG2915" t="s">
        <v>1160</v>
      </c>
      <c r="AH2915">
        <f t="shared" si="30"/>
        <v>4320</v>
      </c>
      <c r="AI2915" s="21" t="s">
        <v>153</v>
      </c>
      <c r="AJ2915" s="21" t="s">
        <v>1148</v>
      </c>
      <c r="AK2915" s="21">
        <v>59</v>
      </c>
      <c r="AL2915" s="21" t="s">
        <v>1321</v>
      </c>
      <c r="AM2915" s="21"/>
      <c r="AN2915" s="21">
        <v>3</v>
      </c>
      <c r="AO2915" s="21">
        <v>50</v>
      </c>
      <c r="AP2915" s="21">
        <v>30</v>
      </c>
      <c r="AQ2915" s="22" t="s">
        <v>3016</v>
      </c>
      <c r="AR2915" s="21" t="s">
        <v>1298</v>
      </c>
      <c r="AS2915" t="s">
        <v>3085</v>
      </c>
    </row>
    <row r="2916" spans="1:45" x14ac:dyDescent="0.2">
      <c r="A2916" s="21" t="s">
        <v>1685</v>
      </c>
      <c r="B2916" s="21" t="s">
        <v>1146</v>
      </c>
      <c r="C2916" s="21" t="s">
        <v>1149</v>
      </c>
      <c r="D2916" s="21" t="s">
        <v>420</v>
      </c>
      <c r="E2916" s="21" t="s">
        <v>3083</v>
      </c>
      <c r="G2916" s="21" t="s">
        <v>153</v>
      </c>
      <c r="H2916" s="21" t="s">
        <v>1165</v>
      </c>
      <c r="I2916" s="21" t="s">
        <v>3084</v>
      </c>
      <c r="J2916" s="21">
        <v>49.133333333333297</v>
      </c>
      <c r="K2916">
        <v>-122.75</v>
      </c>
      <c r="L2916">
        <v>1415</v>
      </c>
      <c r="M2916" s="21" t="s">
        <v>3034</v>
      </c>
      <c r="O2916" s="21">
        <v>1985</v>
      </c>
      <c r="Q2916" s="21" t="s">
        <v>3086</v>
      </c>
      <c r="T2916" s="21">
        <v>-20</v>
      </c>
      <c r="U2916" s="21" t="s">
        <v>1218</v>
      </c>
      <c r="V2916" s="9" t="s">
        <v>1247</v>
      </c>
      <c r="W2916" s="21">
        <v>56</v>
      </c>
      <c r="X2916" s="9" t="s">
        <v>3088</v>
      </c>
      <c r="Y2916" t="s">
        <v>3097</v>
      </c>
      <c r="Z2916" s="22">
        <v>8</v>
      </c>
      <c r="AD2916" s="22" t="s">
        <v>1165</v>
      </c>
      <c r="AF2916" s="24" t="s">
        <v>153</v>
      </c>
      <c r="AG2916" t="s">
        <v>1160</v>
      </c>
      <c r="AH2916">
        <f t="shared" si="30"/>
        <v>4320</v>
      </c>
      <c r="AI2916" s="21" t="s">
        <v>153</v>
      </c>
      <c r="AJ2916" s="21" t="s">
        <v>1278</v>
      </c>
      <c r="AK2916" s="21">
        <v>33</v>
      </c>
      <c r="AL2916" s="21" t="s">
        <v>1321</v>
      </c>
      <c r="AM2916" s="21"/>
      <c r="AN2916" s="21">
        <v>3</v>
      </c>
      <c r="AO2916" s="21">
        <v>50</v>
      </c>
      <c r="AP2916" s="21">
        <v>30</v>
      </c>
      <c r="AQ2916" s="22" t="s">
        <v>3016</v>
      </c>
      <c r="AR2916" s="21" t="s">
        <v>1298</v>
      </c>
      <c r="AS2916" t="s">
        <v>3085</v>
      </c>
    </row>
    <row r="2917" spans="1:45" x14ac:dyDescent="0.2">
      <c r="A2917" s="21" t="s">
        <v>1685</v>
      </c>
      <c r="B2917" s="21" t="s">
        <v>1146</v>
      </c>
      <c r="C2917" s="21" t="s">
        <v>1149</v>
      </c>
      <c r="D2917" s="21" t="s">
        <v>420</v>
      </c>
      <c r="E2917" s="21" t="s">
        <v>3083</v>
      </c>
      <c r="G2917" s="21" t="s">
        <v>153</v>
      </c>
      <c r="H2917" s="21" t="s">
        <v>1165</v>
      </c>
      <c r="I2917" s="21" t="s">
        <v>3084</v>
      </c>
      <c r="J2917" s="21">
        <v>49.133333333333297</v>
      </c>
      <c r="K2917">
        <v>-122.75</v>
      </c>
      <c r="L2917">
        <v>1415</v>
      </c>
      <c r="M2917" s="21" t="s">
        <v>3034</v>
      </c>
      <c r="O2917" s="21">
        <v>1985</v>
      </c>
      <c r="Q2917" s="21" t="s">
        <v>3086</v>
      </c>
      <c r="T2917" s="21">
        <v>-20</v>
      </c>
      <c r="U2917" s="21" t="s">
        <v>1218</v>
      </c>
      <c r="V2917" s="9" t="s">
        <v>1247</v>
      </c>
      <c r="W2917" s="21">
        <v>84</v>
      </c>
      <c r="X2917" s="9" t="s">
        <v>3088</v>
      </c>
      <c r="Y2917" t="s">
        <v>3097</v>
      </c>
      <c r="Z2917" s="22">
        <v>8</v>
      </c>
      <c r="AD2917" s="22" t="s">
        <v>1165</v>
      </c>
      <c r="AF2917" s="24" t="s">
        <v>153</v>
      </c>
      <c r="AG2917" t="s">
        <v>1160</v>
      </c>
      <c r="AH2917">
        <f t="shared" si="30"/>
        <v>4320</v>
      </c>
      <c r="AI2917" s="21" t="s">
        <v>153</v>
      </c>
      <c r="AJ2917" s="21" t="s">
        <v>1148</v>
      </c>
      <c r="AK2917" s="21">
        <v>45</v>
      </c>
      <c r="AL2917" s="21" t="s">
        <v>1321</v>
      </c>
      <c r="AM2917" s="21"/>
      <c r="AN2917" s="21">
        <v>3</v>
      </c>
      <c r="AO2917" s="21">
        <v>50</v>
      </c>
      <c r="AP2917" s="21">
        <v>30</v>
      </c>
      <c r="AQ2917" s="22" t="s">
        <v>3016</v>
      </c>
      <c r="AR2917" s="21" t="s">
        <v>1298</v>
      </c>
      <c r="AS2917" t="s">
        <v>3085</v>
      </c>
    </row>
    <row r="2918" spans="1:45" x14ac:dyDescent="0.2">
      <c r="A2918" s="21" t="s">
        <v>1685</v>
      </c>
      <c r="B2918" s="21" t="s">
        <v>1146</v>
      </c>
      <c r="C2918" s="21" t="s">
        <v>1149</v>
      </c>
      <c r="D2918" s="21" t="s">
        <v>420</v>
      </c>
      <c r="E2918" s="21" t="s">
        <v>3083</v>
      </c>
      <c r="G2918" s="21" t="s">
        <v>153</v>
      </c>
      <c r="H2918" s="21" t="s">
        <v>1165</v>
      </c>
      <c r="I2918" s="21" t="s">
        <v>3084</v>
      </c>
      <c r="J2918" s="21">
        <v>49.133333333333297</v>
      </c>
      <c r="K2918">
        <v>-122.75</v>
      </c>
      <c r="L2918">
        <v>1415</v>
      </c>
      <c r="M2918" s="21" t="s">
        <v>3034</v>
      </c>
      <c r="O2918" s="21">
        <v>1985</v>
      </c>
      <c r="Q2918" s="21" t="s">
        <v>3086</v>
      </c>
      <c r="T2918" s="21">
        <v>-20</v>
      </c>
      <c r="U2918" s="21" t="s">
        <v>1218</v>
      </c>
      <c r="V2918" s="9" t="s">
        <v>1247</v>
      </c>
      <c r="W2918" s="21">
        <v>84</v>
      </c>
      <c r="X2918" s="9" t="s">
        <v>3088</v>
      </c>
      <c r="Y2918" t="s">
        <v>3097</v>
      </c>
      <c r="Z2918" s="22">
        <v>8</v>
      </c>
      <c r="AD2918" s="22" t="s">
        <v>1165</v>
      </c>
      <c r="AF2918" s="24" t="s">
        <v>153</v>
      </c>
      <c r="AG2918" t="s">
        <v>1160</v>
      </c>
      <c r="AH2918">
        <f t="shared" si="30"/>
        <v>4320</v>
      </c>
      <c r="AI2918" s="21" t="s">
        <v>153</v>
      </c>
      <c r="AJ2918" s="21" t="s">
        <v>1278</v>
      </c>
      <c r="AK2918" s="21">
        <v>23</v>
      </c>
      <c r="AL2918" s="21" t="s">
        <v>1321</v>
      </c>
      <c r="AM2918" s="21"/>
      <c r="AN2918" s="21">
        <v>3</v>
      </c>
      <c r="AO2918" s="21">
        <v>50</v>
      </c>
      <c r="AP2918" s="21">
        <v>30</v>
      </c>
      <c r="AQ2918" s="22" t="s">
        <v>3016</v>
      </c>
      <c r="AR2918" s="21" t="s">
        <v>1298</v>
      </c>
      <c r="AS2918" t="s">
        <v>3085</v>
      </c>
    </row>
    <row r="2919" spans="1:45" x14ac:dyDescent="0.2">
      <c r="A2919" s="21" t="s">
        <v>1685</v>
      </c>
      <c r="B2919" s="21" t="s">
        <v>1146</v>
      </c>
      <c r="C2919" s="21" t="s">
        <v>1149</v>
      </c>
      <c r="D2919" s="21" t="s">
        <v>420</v>
      </c>
      <c r="E2919" s="21" t="s">
        <v>3083</v>
      </c>
      <c r="G2919" s="21" t="s">
        <v>153</v>
      </c>
      <c r="H2919" s="21" t="s">
        <v>1165</v>
      </c>
      <c r="I2919" s="21" t="s">
        <v>3084</v>
      </c>
      <c r="J2919" s="21">
        <v>49.133333333333297</v>
      </c>
      <c r="K2919">
        <v>-122.75</v>
      </c>
      <c r="L2919">
        <v>1415</v>
      </c>
      <c r="M2919" s="21" t="s">
        <v>3034</v>
      </c>
      <c r="O2919" s="21">
        <v>1985</v>
      </c>
      <c r="Q2919" s="21" t="s">
        <v>3086</v>
      </c>
      <c r="T2919" s="21">
        <v>-20</v>
      </c>
      <c r="U2919" s="21" t="s">
        <v>1218</v>
      </c>
      <c r="V2919" s="9" t="s">
        <v>1247</v>
      </c>
      <c r="W2919" s="21">
        <v>28</v>
      </c>
      <c r="X2919" s="9" t="s">
        <v>3088</v>
      </c>
      <c r="Y2919" t="s">
        <v>3098</v>
      </c>
      <c r="Z2919" s="22">
        <v>8</v>
      </c>
      <c r="AD2919" s="22" t="s">
        <v>1165</v>
      </c>
      <c r="AF2919" s="24" t="s">
        <v>153</v>
      </c>
      <c r="AG2919" t="s">
        <v>1160</v>
      </c>
      <c r="AH2919">
        <f t="shared" si="30"/>
        <v>4320</v>
      </c>
      <c r="AI2919" s="21" t="s">
        <v>153</v>
      </c>
      <c r="AJ2919" s="21" t="s">
        <v>1148</v>
      </c>
      <c r="AK2919" s="21">
        <v>47</v>
      </c>
      <c r="AL2919" s="21" t="s">
        <v>1321</v>
      </c>
      <c r="AM2919" s="21"/>
      <c r="AN2919" s="21">
        <v>3</v>
      </c>
      <c r="AO2919" s="21">
        <v>50</v>
      </c>
      <c r="AP2919" s="21">
        <v>30</v>
      </c>
      <c r="AQ2919" s="22" t="s">
        <v>3016</v>
      </c>
      <c r="AR2919" s="21" t="s">
        <v>1298</v>
      </c>
      <c r="AS2919" t="s">
        <v>3085</v>
      </c>
    </row>
    <row r="2920" spans="1:45" x14ac:dyDescent="0.2">
      <c r="A2920" s="21" t="s">
        <v>1685</v>
      </c>
      <c r="B2920" s="21" t="s">
        <v>1146</v>
      </c>
      <c r="C2920" s="21" t="s">
        <v>1149</v>
      </c>
      <c r="D2920" s="21" t="s">
        <v>420</v>
      </c>
      <c r="E2920" s="21" t="s">
        <v>3083</v>
      </c>
      <c r="G2920" s="21" t="s">
        <v>153</v>
      </c>
      <c r="H2920" s="21" t="s">
        <v>1165</v>
      </c>
      <c r="I2920" s="21" t="s">
        <v>3084</v>
      </c>
      <c r="J2920" s="21">
        <v>49.133333333333297</v>
      </c>
      <c r="K2920">
        <v>-122.75</v>
      </c>
      <c r="L2920">
        <v>1415</v>
      </c>
      <c r="M2920" s="21" t="s">
        <v>3034</v>
      </c>
      <c r="O2920" s="21">
        <v>1985</v>
      </c>
      <c r="Q2920" s="21" t="s">
        <v>3086</v>
      </c>
      <c r="T2920" s="21">
        <v>-20</v>
      </c>
      <c r="U2920" s="21" t="s">
        <v>1218</v>
      </c>
      <c r="V2920" s="9" t="s">
        <v>1247</v>
      </c>
      <c r="W2920" s="21">
        <v>28</v>
      </c>
      <c r="X2920" s="9" t="s">
        <v>3088</v>
      </c>
      <c r="Y2920" t="s">
        <v>3098</v>
      </c>
      <c r="Z2920" s="22">
        <v>8</v>
      </c>
      <c r="AD2920" s="22" t="s">
        <v>1165</v>
      </c>
      <c r="AF2920" s="24" t="s">
        <v>153</v>
      </c>
      <c r="AG2920" t="s">
        <v>1160</v>
      </c>
      <c r="AH2920">
        <f t="shared" si="30"/>
        <v>4320</v>
      </c>
      <c r="AI2920" s="21" t="s">
        <v>153</v>
      </c>
      <c r="AJ2920" s="21" t="s">
        <v>1278</v>
      </c>
      <c r="AK2920" s="21">
        <v>18</v>
      </c>
      <c r="AL2920" s="21" t="s">
        <v>1321</v>
      </c>
      <c r="AM2920" s="21"/>
      <c r="AN2920" s="21">
        <v>3</v>
      </c>
      <c r="AO2920" s="21">
        <v>50</v>
      </c>
      <c r="AP2920" s="21">
        <v>30</v>
      </c>
      <c r="AQ2920" s="22" t="s">
        <v>3016</v>
      </c>
      <c r="AR2920" s="21" t="s">
        <v>1298</v>
      </c>
      <c r="AS2920" t="s">
        <v>3085</v>
      </c>
    </row>
    <row r="2921" spans="1:45" x14ac:dyDescent="0.2">
      <c r="A2921" s="21" t="s">
        <v>1685</v>
      </c>
      <c r="B2921" s="21" t="s">
        <v>1146</v>
      </c>
      <c r="C2921" s="21" t="s">
        <v>1149</v>
      </c>
      <c r="D2921" s="21" t="s">
        <v>420</v>
      </c>
      <c r="E2921" s="21" t="s">
        <v>3083</v>
      </c>
      <c r="G2921" s="21" t="s">
        <v>153</v>
      </c>
      <c r="H2921" s="21" t="s">
        <v>1165</v>
      </c>
      <c r="I2921" s="21" t="s">
        <v>3084</v>
      </c>
      <c r="J2921" s="21">
        <v>49.133333333333297</v>
      </c>
      <c r="K2921">
        <v>-122.75</v>
      </c>
      <c r="L2921">
        <v>1415</v>
      </c>
      <c r="M2921" s="21" t="s">
        <v>3034</v>
      </c>
      <c r="O2921" s="21">
        <v>1985</v>
      </c>
      <c r="Q2921" s="21" t="s">
        <v>3086</v>
      </c>
      <c r="T2921" s="21">
        <v>-20</v>
      </c>
      <c r="U2921" s="21" t="s">
        <v>1218</v>
      </c>
      <c r="V2921" s="9" t="s">
        <v>1247</v>
      </c>
      <c r="W2921" s="21">
        <v>56</v>
      </c>
      <c r="X2921" s="9" t="s">
        <v>3088</v>
      </c>
      <c r="Y2921" t="s">
        <v>3098</v>
      </c>
      <c r="Z2921" s="22">
        <v>8</v>
      </c>
      <c r="AD2921" s="22" t="s">
        <v>1165</v>
      </c>
      <c r="AF2921" s="24" t="s">
        <v>153</v>
      </c>
      <c r="AG2921" t="s">
        <v>1160</v>
      </c>
      <c r="AH2921">
        <f t="shared" si="30"/>
        <v>4320</v>
      </c>
      <c r="AI2921" s="21" t="s">
        <v>153</v>
      </c>
      <c r="AJ2921" s="21" t="s">
        <v>1148</v>
      </c>
      <c r="AK2921" s="21">
        <v>64</v>
      </c>
      <c r="AL2921" s="21" t="s">
        <v>1321</v>
      </c>
      <c r="AM2921" s="21"/>
      <c r="AN2921" s="21">
        <v>3</v>
      </c>
      <c r="AO2921" s="21">
        <v>50</v>
      </c>
      <c r="AP2921" s="21">
        <v>30</v>
      </c>
      <c r="AQ2921" s="22" t="s">
        <v>3016</v>
      </c>
      <c r="AR2921" s="21" t="s">
        <v>1298</v>
      </c>
      <c r="AS2921" t="s">
        <v>3085</v>
      </c>
    </row>
    <row r="2922" spans="1:45" x14ac:dyDescent="0.2">
      <c r="A2922" s="21" t="s">
        <v>1685</v>
      </c>
      <c r="B2922" s="21" t="s">
        <v>1146</v>
      </c>
      <c r="C2922" s="21" t="s">
        <v>1149</v>
      </c>
      <c r="D2922" s="21" t="s">
        <v>420</v>
      </c>
      <c r="E2922" s="21" t="s">
        <v>3083</v>
      </c>
      <c r="G2922" s="21" t="s">
        <v>153</v>
      </c>
      <c r="H2922" s="21" t="s">
        <v>1165</v>
      </c>
      <c r="I2922" s="21" t="s">
        <v>3084</v>
      </c>
      <c r="J2922" s="21">
        <v>49.133333333333297</v>
      </c>
      <c r="K2922">
        <v>-122.75</v>
      </c>
      <c r="L2922">
        <v>1415</v>
      </c>
      <c r="M2922" s="21" t="s">
        <v>3034</v>
      </c>
      <c r="O2922" s="21">
        <v>1985</v>
      </c>
      <c r="Q2922" s="21" t="s">
        <v>3086</v>
      </c>
      <c r="T2922" s="21">
        <v>-20</v>
      </c>
      <c r="U2922" s="21" t="s">
        <v>1218</v>
      </c>
      <c r="V2922" s="9" t="s">
        <v>1247</v>
      </c>
      <c r="W2922" s="21">
        <v>56</v>
      </c>
      <c r="X2922" s="9" t="s">
        <v>3088</v>
      </c>
      <c r="Y2922" t="s">
        <v>3098</v>
      </c>
      <c r="Z2922" s="22">
        <v>8</v>
      </c>
      <c r="AD2922" s="22" t="s">
        <v>1165</v>
      </c>
      <c r="AF2922" s="24" t="s">
        <v>153</v>
      </c>
      <c r="AG2922" t="s">
        <v>1160</v>
      </c>
      <c r="AH2922">
        <f t="shared" si="30"/>
        <v>4320</v>
      </c>
      <c r="AI2922" s="21" t="s">
        <v>153</v>
      </c>
      <c r="AJ2922" s="21" t="s">
        <v>1278</v>
      </c>
      <c r="AK2922" s="21">
        <v>40</v>
      </c>
      <c r="AL2922" s="21" t="s">
        <v>1321</v>
      </c>
      <c r="AM2922" s="21"/>
      <c r="AN2922" s="21">
        <v>3</v>
      </c>
      <c r="AO2922" s="21">
        <v>50</v>
      </c>
      <c r="AP2922" s="21">
        <v>30</v>
      </c>
      <c r="AQ2922" s="22" t="s">
        <v>3016</v>
      </c>
      <c r="AR2922" s="21" t="s">
        <v>1298</v>
      </c>
      <c r="AS2922" t="s">
        <v>3085</v>
      </c>
    </row>
    <row r="2923" spans="1:45" x14ac:dyDescent="0.2">
      <c r="A2923" s="21" t="s">
        <v>1685</v>
      </c>
      <c r="B2923" s="21" t="s">
        <v>1146</v>
      </c>
      <c r="C2923" s="21" t="s">
        <v>1149</v>
      </c>
      <c r="D2923" s="21" t="s">
        <v>420</v>
      </c>
      <c r="E2923" s="21" t="s">
        <v>3083</v>
      </c>
      <c r="G2923" s="21" t="s">
        <v>153</v>
      </c>
      <c r="H2923" s="21" t="s">
        <v>1165</v>
      </c>
      <c r="I2923" s="21" t="s">
        <v>3084</v>
      </c>
      <c r="J2923" s="21">
        <v>49.133333333333297</v>
      </c>
      <c r="K2923">
        <v>-122.75</v>
      </c>
      <c r="L2923">
        <v>1415</v>
      </c>
      <c r="M2923" s="21" t="s">
        <v>3034</v>
      </c>
      <c r="O2923" s="21">
        <v>1985</v>
      </c>
      <c r="Q2923" s="21" t="s">
        <v>3086</v>
      </c>
      <c r="T2923" s="21">
        <v>-20</v>
      </c>
      <c r="U2923" s="21" t="s">
        <v>1218</v>
      </c>
      <c r="V2923" s="9" t="s">
        <v>1247</v>
      </c>
      <c r="W2923" s="21">
        <v>84</v>
      </c>
      <c r="X2923" s="9" t="s">
        <v>3088</v>
      </c>
      <c r="Y2923" t="s">
        <v>3098</v>
      </c>
      <c r="Z2923" s="22">
        <v>8</v>
      </c>
      <c r="AD2923" s="22" t="s">
        <v>1165</v>
      </c>
      <c r="AF2923" s="24" t="s">
        <v>153</v>
      </c>
      <c r="AG2923" t="s">
        <v>1160</v>
      </c>
      <c r="AH2923">
        <f t="shared" si="30"/>
        <v>4320</v>
      </c>
      <c r="AI2923" s="21" t="s">
        <v>153</v>
      </c>
      <c r="AJ2923" s="21" t="s">
        <v>1148</v>
      </c>
      <c r="AK2923" s="21">
        <v>44</v>
      </c>
      <c r="AL2923" s="21" t="s">
        <v>1321</v>
      </c>
      <c r="AM2923" s="21"/>
      <c r="AN2923" s="21">
        <v>3</v>
      </c>
      <c r="AO2923" s="21">
        <v>50</v>
      </c>
      <c r="AP2923" s="21">
        <v>30</v>
      </c>
      <c r="AQ2923" s="22" t="s">
        <v>3016</v>
      </c>
      <c r="AR2923" s="21" t="s">
        <v>1298</v>
      </c>
      <c r="AS2923" t="s">
        <v>3085</v>
      </c>
    </row>
    <row r="2924" spans="1:45" x14ac:dyDescent="0.2">
      <c r="A2924" s="21" t="s">
        <v>1685</v>
      </c>
      <c r="B2924" s="21" t="s">
        <v>1146</v>
      </c>
      <c r="C2924" s="21" t="s">
        <v>1149</v>
      </c>
      <c r="D2924" s="21" t="s">
        <v>420</v>
      </c>
      <c r="E2924" s="21" t="s">
        <v>3083</v>
      </c>
      <c r="G2924" s="21" t="s">
        <v>153</v>
      </c>
      <c r="H2924" s="21" t="s">
        <v>1165</v>
      </c>
      <c r="I2924" s="21" t="s">
        <v>3084</v>
      </c>
      <c r="J2924" s="21">
        <v>49.133333333333297</v>
      </c>
      <c r="K2924">
        <v>-122.75</v>
      </c>
      <c r="L2924">
        <v>1415</v>
      </c>
      <c r="M2924" s="21" t="s">
        <v>3034</v>
      </c>
      <c r="O2924" s="21">
        <v>1985</v>
      </c>
      <c r="Q2924" s="21" t="s">
        <v>3086</v>
      </c>
      <c r="T2924" s="21">
        <v>-20</v>
      </c>
      <c r="U2924" s="21" t="s">
        <v>1218</v>
      </c>
      <c r="V2924" s="9" t="s">
        <v>1247</v>
      </c>
      <c r="W2924" s="21">
        <v>84</v>
      </c>
      <c r="X2924" s="9" t="s">
        <v>3088</v>
      </c>
      <c r="Y2924" t="s">
        <v>3098</v>
      </c>
      <c r="Z2924" s="22">
        <v>8</v>
      </c>
      <c r="AD2924" s="22" t="s">
        <v>1165</v>
      </c>
      <c r="AF2924" s="24" t="s">
        <v>153</v>
      </c>
      <c r="AG2924" t="s">
        <v>1160</v>
      </c>
      <c r="AH2924">
        <f t="shared" si="30"/>
        <v>4320</v>
      </c>
      <c r="AI2924" s="21" t="s">
        <v>153</v>
      </c>
      <c r="AJ2924" s="21" t="s">
        <v>1278</v>
      </c>
      <c r="AK2924" s="21">
        <v>22</v>
      </c>
      <c r="AL2924" s="21" t="s">
        <v>1321</v>
      </c>
      <c r="AM2924" s="21"/>
      <c r="AN2924" s="21">
        <v>3</v>
      </c>
      <c r="AO2924" s="21">
        <v>50</v>
      </c>
      <c r="AP2924" s="21">
        <v>30</v>
      </c>
      <c r="AQ2924" s="22" t="s">
        <v>3016</v>
      </c>
      <c r="AR2924" s="21" t="s">
        <v>1298</v>
      </c>
      <c r="AS2924" t="s">
        <v>3085</v>
      </c>
    </row>
    <row r="2925" spans="1:45" x14ac:dyDescent="0.2">
      <c r="A2925" s="21" t="s">
        <v>1685</v>
      </c>
      <c r="B2925" s="21" t="s">
        <v>1146</v>
      </c>
      <c r="C2925" s="21" t="s">
        <v>1149</v>
      </c>
      <c r="D2925" s="21" t="s">
        <v>420</v>
      </c>
      <c r="E2925" s="21" t="s">
        <v>3083</v>
      </c>
      <c r="G2925" s="21" t="s">
        <v>153</v>
      </c>
      <c r="H2925" s="21" t="s">
        <v>1165</v>
      </c>
      <c r="I2925" s="21" t="s">
        <v>3084</v>
      </c>
      <c r="J2925" s="21">
        <v>49.133333333333297</v>
      </c>
      <c r="K2925">
        <v>-122.75</v>
      </c>
      <c r="L2925">
        <v>1415</v>
      </c>
      <c r="M2925" s="21" t="s">
        <v>3034</v>
      </c>
      <c r="O2925" s="21">
        <v>1985</v>
      </c>
      <c r="Q2925" s="21" t="s">
        <v>3086</v>
      </c>
      <c r="T2925" s="21">
        <v>-20</v>
      </c>
      <c r="U2925" s="21" t="s">
        <v>1218</v>
      </c>
      <c r="V2925" s="9" t="s">
        <v>1247</v>
      </c>
      <c r="W2925" s="21">
        <v>28</v>
      </c>
      <c r="X2925" s="9" t="s">
        <v>3088</v>
      </c>
      <c r="Y2925" t="s">
        <v>3099</v>
      </c>
      <c r="Z2925" s="22">
        <v>8</v>
      </c>
      <c r="AD2925" s="22" t="s">
        <v>1165</v>
      </c>
      <c r="AF2925" s="24" t="s">
        <v>153</v>
      </c>
      <c r="AG2925" t="s">
        <v>1160</v>
      </c>
      <c r="AH2925">
        <f t="shared" si="30"/>
        <v>4320</v>
      </c>
      <c r="AI2925" s="21" t="s">
        <v>153</v>
      </c>
      <c r="AJ2925" s="21" t="s">
        <v>1148</v>
      </c>
      <c r="AK2925" s="21">
        <v>61</v>
      </c>
      <c r="AL2925" s="21" t="s">
        <v>1321</v>
      </c>
      <c r="AM2925" s="21"/>
      <c r="AN2925" s="21">
        <v>3</v>
      </c>
      <c r="AO2925" s="21">
        <v>50</v>
      </c>
      <c r="AP2925" s="21">
        <v>30</v>
      </c>
      <c r="AQ2925" s="22" t="s">
        <v>3016</v>
      </c>
      <c r="AR2925" s="21" t="s">
        <v>1298</v>
      </c>
      <c r="AS2925" t="s">
        <v>3085</v>
      </c>
    </row>
    <row r="2926" spans="1:45" x14ac:dyDescent="0.2">
      <c r="A2926" s="21" t="s">
        <v>1685</v>
      </c>
      <c r="B2926" s="21" t="s">
        <v>1146</v>
      </c>
      <c r="C2926" s="21" t="s">
        <v>1149</v>
      </c>
      <c r="D2926" s="21" t="s">
        <v>420</v>
      </c>
      <c r="E2926" s="21" t="s">
        <v>3083</v>
      </c>
      <c r="G2926" s="21" t="s">
        <v>153</v>
      </c>
      <c r="H2926" s="21" t="s">
        <v>1165</v>
      </c>
      <c r="I2926" s="21" t="s">
        <v>3084</v>
      </c>
      <c r="J2926" s="21">
        <v>49.133333333333297</v>
      </c>
      <c r="K2926">
        <v>-122.75</v>
      </c>
      <c r="L2926">
        <v>1415</v>
      </c>
      <c r="M2926" s="21" t="s">
        <v>3034</v>
      </c>
      <c r="O2926" s="21">
        <v>1985</v>
      </c>
      <c r="Q2926" s="21" t="s">
        <v>3086</v>
      </c>
      <c r="T2926" s="21">
        <v>-20</v>
      </c>
      <c r="U2926" s="21" t="s">
        <v>1218</v>
      </c>
      <c r="V2926" s="9" t="s">
        <v>1247</v>
      </c>
      <c r="W2926" s="21">
        <v>28</v>
      </c>
      <c r="X2926" s="9" t="s">
        <v>3088</v>
      </c>
      <c r="Y2926" t="s">
        <v>3099</v>
      </c>
      <c r="Z2926" s="22">
        <v>8</v>
      </c>
      <c r="AD2926" s="22" t="s">
        <v>1165</v>
      </c>
      <c r="AF2926" s="24" t="s">
        <v>153</v>
      </c>
      <c r="AG2926" t="s">
        <v>1160</v>
      </c>
      <c r="AH2926">
        <f t="shared" si="30"/>
        <v>4320</v>
      </c>
      <c r="AI2926" s="21" t="s">
        <v>153</v>
      </c>
      <c r="AJ2926" s="21" t="s">
        <v>1278</v>
      </c>
      <c r="AK2926" s="21">
        <v>29</v>
      </c>
      <c r="AL2926" s="21" t="s">
        <v>1321</v>
      </c>
      <c r="AM2926" s="21"/>
      <c r="AN2926" s="21">
        <v>3</v>
      </c>
      <c r="AO2926" s="21">
        <v>50</v>
      </c>
      <c r="AP2926" s="21">
        <v>30</v>
      </c>
      <c r="AQ2926" s="22" t="s">
        <v>3016</v>
      </c>
      <c r="AR2926" s="21" t="s">
        <v>1298</v>
      </c>
      <c r="AS2926" t="s">
        <v>3085</v>
      </c>
    </row>
    <row r="2927" spans="1:45" x14ac:dyDescent="0.2">
      <c r="A2927" s="21" t="s">
        <v>1685</v>
      </c>
      <c r="B2927" s="21" t="s">
        <v>1146</v>
      </c>
      <c r="C2927" s="21" t="s">
        <v>1149</v>
      </c>
      <c r="D2927" s="21" t="s">
        <v>420</v>
      </c>
      <c r="E2927" s="21" t="s">
        <v>3083</v>
      </c>
      <c r="G2927" s="21" t="s">
        <v>153</v>
      </c>
      <c r="H2927" s="21" t="s">
        <v>1165</v>
      </c>
      <c r="I2927" s="21" t="s">
        <v>3084</v>
      </c>
      <c r="J2927" s="21">
        <v>49.133333333333297</v>
      </c>
      <c r="K2927">
        <v>-122.75</v>
      </c>
      <c r="L2927">
        <v>1415</v>
      </c>
      <c r="M2927" s="21" t="s">
        <v>3034</v>
      </c>
      <c r="O2927" s="21">
        <v>1985</v>
      </c>
      <c r="Q2927" s="21" t="s">
        <v>3086</v>
      </c>
      <c r="T2927" s="21">
        <v>-20</v>
      </c>
      <c r="U2927" s="21" t="s">
        <v>1218</v>
      </c>
      <c r="V2927" s="9" t="s">
        <v>1247</v>
      </c>
      <c r="W2927" s="21">
        <v>56</v>
      </c>
      <c r="X2927" s="9" t="s">
        <v>3088</v>
      </c>
      <c r="Y2927" t="s">
        <v>3099</v>
      </c>
      <c r="Z2927" s="22">
        <v>8</v>
      </c>
      <c r="AD2927" s="22" t="s">
        <v>1165</v>
      </c>
      <c r="AF2927" s="24" t="s">
        <v>153</v>
      </c>
      <c r="AG2927" t="s">
        <v>1160</v>
      </c>
      <c r="AH2927">
        <f t="shared" si="30"/>
        <v>4320</v>
      </c>
      <c r="AI2927" s="21" t="s">
        <v>153</v>
      </c>
      <c r="AJ2927" s="21" t="s">
        <v>1148</v>
      </c>
      <c r="AK2927" s="21">
        <v>65</v>
      </c>
      <c r="AL2927" s="21" t="s">
        <v>1321</v>
      </c>
      <c r="AM2927" s="21"/>
      <c r="AN2927" s="21">
        <v>3</v>
      </c>
      <c r="AO2927" s="21">
        <v>50</v>
      </c>
      <c r="AP2927" s="21">
        <v>30</v>
      </c>
      <c r="AQ2927" s="22" t="s">
        <v>3016</v>
      </c>
      <c r="AR2927" s="21" t="s">
        <v>1298</v>
      </c>
      <c r="AS2927" t="s">
        <v>3085</v>
      </c>
    </row>
    <row r="2928" spans="1:45" x14ac:dyDescent="0.2">
      <c r="A2928" s="21" t="s">
        <v>1685</v>
      </c>
      <c r="B2928" s="21" t="s">
        <v>1146</v>
      </c>
      <c r="C2928" s="21" t="s">
        <v>1149</v>
      </c>
      <c r="D2928" s="21" t="s">
        <v>420</v>
      </c>
      <c r="E2928" s="21" t="s">
        <v>3083</v>
      </c>
      <c r="G2928" s="21" t="s">
        <v>153</v>
      </c>
      <c r="H2928" s="21" t="s">
        <v>1165</v>
      </c>
      <c r="I2928" s="21" t="s">
        <v>3084</v>
      </c>
      <c r="J2928" s="21">
        <v>49.133333333333297</v>
      </c>
      <c r="K2928">
        <v>-122.75</v>
      </c>
      <c r="L2928">
        <v>1415</v>
      </c>
      <c r="M2928" s="21" t="s">
        <v>3034</v>
      </c>
      <c r="O2928" s="21">
        <v>1985</v>
      </c>
      <c r="Q2928" s="21" t="s">
        <v>3086</v>
      </c>
      <c r="T2928" s="21">
        <v>-20</v>
      </c>
      <c r="U2928" s="21" t="s">
        <v>1218</v>
      </c>
      <c r="V2928" s="9" t="s">
        <v>1247</v>
      </c>
      <c r="W2928" s="21">
        <v>56</v>
      </c>
      <c r="X2928" s="9" t="s">
        <v>3088</v>
      </c>
      <c r="Y2928" t="s">
        <v>3099</v>
      </c>
      <c r="Z2928" s="22">
        <v>8</v>
      </c>
      <c r="AD2928" s="22" t="s">
        <v>1165</v>
      </c>
      <c r="AF2928" s="24" t="s">
        <v>153</v>
      </c>
      <c r="AG2928" t="s">
        <v>1160</v>
      </c>
      <c r="AH2928">
        <f t="shared" ref="AH2928:AH2991" si="31">24*60*3</f>
        <v>4320</v>
      </c>
      <c r="AI2928" s="21" t="s">
        <v>153</v>
      </c>
      <c r="AJ2928" s="21" t="s">
        <v>1278</v>
      </c>
      <c r="AK2928" s="21">
        <v>39</v>
      </c>
      <c r="AL2928" s="21" t="s">
        <v>1321</v>
      </c>
      <c r="AM2928" s="21"/>
      <c r="AN2928" s="21">
        <v>3</v>
      </c>
      <c r="AO2928" s="21">
        <v>50</v>
      </c>
      <c r="AP2928" s="21">
        <v>30</v>
      </c>
      <c r="AQ2928" s="22" t="s">
        <v>3016</v>
      </c>
      <c r="AR2928" s="21" t="s">
        <v>1298</v>
      </c>
      <c r="AS2928" t="s">
        <v>3085</v>
      </c>
    </row>
    <row r="2929" spans="1:45" x14ac:dyDescent="0.2">
      <c r="A2929" s="21" t="s">
        <v>1685</v>
      </c>
      <c r="B2929" s="21" t="s">
        <v>1146</v>
      </c>
      <c r="C2929" s="21" t="s">
        <v>1149</v>
      </c>
      <c r="D2929" s="21" t="s">
        <v>420</v>
      </c>
      <c r="E2929" s="21" t="s">
        <v>3083</v>
      </c>
      <c r="G2929" s="21" t="s">
        <v>153</v>
      </c>
      <c r="H2929" s="21" t="s">
        <v>1165</v>
      </c>
      <c r="I2929" s="21" t="s">
        <v>3084</v>
      </c>
      <c r="J2929" s="21">
        <v>49.133333333333297</v>
      </c>
      <c r="K2929">
        <v>-122.75</v>
      </c>
      <c r="L2929">
        <v>1415</v>
      </c>
      <c r="M2929" s="21" t="s">
        <v>3034</v>
      </c>
      <c r="O2929" s="21">
        <v>1985</v>
      </c>
      <c r="Q2929" s="21" t="s">
        <v>3086</v>
      </c>
      <c r="T2929" s="21">
        <v>-20</v>
      </c>
      <c r="U2929" s="21" t="s">
        <v>1218</v>
      </c>
      <c r="V2929" s="9" t="s">
        <v>1247</v>
      </c>
      <c r="W2929" s="21">
        <v>84</v>
      </c>
      <c r="X2929" s="9" t="s">
        <v>3088</v>
      </c>
      <c r="Y2929" t="s">
        <v>3099</v>
      </c>
      <c r="Z2929" s="22">
        <v>8</v>
      </c>
      <c r="AD2929" s="22" t="s">
        <v>1165</v>
      </c>
      <c r="AF2929" s="24" t="s">
        <v>153</v>
      </c>
      <c r="AG2929" t="s">
        <v>1160</v>
      </c>
      <c r="AH2929">
        <f t="shared" si="31"/>
        <v>4320</v>
      </c>
      <c r="AI2929" s="21" t="s">
        <v>153</v>
      </c>
      <c r="AJ2929" s="21" t="s">
        <v>1148</v>
      </c>
      <c r="AK2929" s="21">
        <v>57</v>
      </c>
      <c r="AL2929" s="21" t="s">
        <v>1321</v>
      </c>
      <c r="AM2929" s="21"/>
      <c r="AN2929" s="21">
        <v>3</v>
      </c>
      <c r="AO2929" s="21">
        <v>50</v>
      </c>
      <c r="AP2929" s="21">
        <v>30</v>
      </c>
      <c r="AQ2929" s="22" t="s">
        <v>3016</v>
      </c>
      <c r="AR2929" s="21" t="s">
        <v>1298</v>
      </c>
      <c r="AS2929" t="s">
        <v>3085</v>
      </c>
    </row>
    <row r="2930" spans="1:45" x14ac:dyDescent="0.2">
      <c r="A2930" s="21" t="s">
        <v>1685</v>
      </c>
      <c r="B2930" s="21" t="s">
        <v>1146</v>
      </c>
      <c r="C2930" s="21" t="s">
        <v>1149</v>
      </c>
      <c r="D2930" s="21" t="s">
        <v>420</v>
      </c>
      <c r="E2930" s="21" t="s">
        <v>3083</v>
      </c>
      <c r="G2930" s="21" t="s">
        <v>153</v>
      </c>
      <c r="H2930" s="21" t="s">
        <v>1165</v>
      </c>
      <c r="I2930" s="21" t="s">
        <v>3084</v>
      </c>
      <c r="J2930" s="21">
        <v>49.133333333333297</v>
      </c>
      <c r="K2930">
        <v>-122.75</v>
      </c>
      <c r="L2930">
        <v>1415</v>
      </c>
      <c r="M2930" s="21" t="s">
        <v>3034</v>
      </c>
      <c r="O2930" s="21">
        <v>1985</v>
      </c>
      <c r="Q2930" s="21" t="s">
        <v>3086</v>
      </c>
      <c r="T2930" s="21">
        <v>-20</v>
      </c>
      <c r="U2930" s="21" t="s">
        <v>1218</v>
      </c>
      <c r="V2930" s="9" t="s">
        <v>1247</v>
      </c>
      <c r="W2930" s="21">
        <v>84</v>
      </c>
      <c r="X2930" s="9" t="s">
        <v>3088</v>
      </c>
      <c r="Y2930" t="s">
        <v>3099</v>
      </c>
      <c r="Z2930" s="22">
        <v>8</v>
      </c>
      <c r="AD2930" s="22" t="s">
        <v>1165</v>
      </c>
      <c r="AF2930" s="24" t="s">
        <v>153</v>
      </c>
      <c r="AG2930" t="s">
        <v>1160</v>
      </c>
      <c r="AH2930">
        <f t="shared" si="31"/>
        <v>4320</v>
      </c>
      <c r="AI2930" s="21" t="s">
        <v>153</v>
      </c>
      <c r="AJ2930" s="21" t="s">
        <v>1278</v>
      </c>
      <c r="AK2930" s="21">
        <v>27</v>
      </c>
      <c r="AL2930" s="21" t="s">
        <v>1321</v>
      </c>
      <c r="AM2930" s="21"/>
      <c r="AN2930" s="21">
        <v>3</v>
      </c>
      <c r="AO2930" s="21">
        <v>50</v>
      </c>
      <c r="AP2930" s="21">
        <v>30</v>
      </c>
      <c r="AQ2930" s="22" t="s">
        <v>3016</v>
      </c>
      <c r="AR2930" s="21" t="s">
        <v>1298</v>
      </c>
      <c r="AS2930" t="s">
        <v>3085</v>
      </c>
    </row>
    <row r="2931" spans="1:45" x14ac:dyDescent="0.2">
      <c r="A2931" s="21" t="s">
        <v>1685</v>
      </c>
      <c r="B2931" s="21" t="s">
        <v>1146</v>
      </c>
      <c r="C2931" s="21" t="s">
        <v>1149</v>
      </c>
      <c r="D2931" s="21" t="s">
        <v>420</v>
      </c>
      <c r="E2931" s="21" t="s">
        <v>3083</v>
      </c>
      <c r="G2931" s="21" t="s">
        <v>153</v>
      </c>
      <c r="H2931" s="21" t="s">
        <v>1165</v>
      </c>
      <c r="I2931" s="21" t="s">
        <v>3084</v>
      </c>
      <c r="J2931" s="21">
        <v>49.133333333333297</v>
      </c>
      <c r="K2931">
        <v>-122.75</v>
      </c>
      <c r="L2931">
        <v>1415</v>
      </c>
      <c r="M2931" s="21" t="s">
        <v>3034</v>
      </c>
      <c r="O2931" s="21">
        <v>1985</v>
      </c>
      <c r="Q2931" s="21" t="s">
        <v>3086</v>
      </c>
      <c r="T2931" s="21">
        <v>-20</v>
      </c>
      <c r="U2931" s="21" t="s">
        <v>1218</v>
      </c>
      <c r="V2931" s="9" t="s">
        <v>1247</v>
      </c>
      <c r="W2931" s="21">
        <v>28</v>
      </c>
      <c r="X2931" s="9" t="s">
        <v>3088</v>
      </c>
      <c r="Y2931" t="s">
        <v>3100</v>
      </c>
      <c r="Z2931" s="22">
        <v>8</v>
      </c>
      <c r="AD2931" s="22" t="s">
        <v>1165</v>
      </c>
      <c r="AF2931" s="24" t="s">
        <v>153</v>
      </c>
      <c r="AG2931" t="s">
        <v>1160</v>
      </c>
      <c r="AH2931">
        <f t="shared" si="31"/>
        <v>4320</v>
      </c>
      <c r="AI2931" s="21" t="s">
        <v>153</v>
      </c>
      <c r="AJ2931" s="21" t="s">
        <v>1148</v>
      </c>
      <c r="AK2931" s="21">
        <v>63</v>
      </c>
      <c r="AL2931" s="21" t="s">
        <v>1321</v>
      </c>
      <c r="AM2931" s="21"/>
      <c r="AN2931" s="21">
        <v>3</v>
      </c>
      <c r="AO2931" s="21">
        <v>50</v>
      </c>
      <c r="AP2931" s="21">
        <v>30</v>
      </c>
      <c r="AQ2931" s="22" t="s">
        <v>3016</v>
      </c>
      <c r="AR2931" s="21" t="s">
        <v>1298</v>
      </c>
      <c r="AS2931" t="s">
        <v>3085</v>
      </c>
    </row>
    <row r="2932" spans="1:45" x14ac:dyDescent="0.2">
      <c r="A2932" s="21" t="s">
        <v>1685</v>
      </c>
      <c r="B2932" s="21" t="s">
        <v>1146</v>
      </c>
      <c r="C2932" s="21" t="s">
        <v>1149</v>
      </c>
      <c r="D2932" s="21" t="s">
        <v>420</v>
      </c>
      <c r="E2932" s="21" t="s">
        <v>3083</v>
      </c>
      <c r="G2932" s="21" t="s">
        <v>153</v>
      </c>
      <c r="H2932" s="21" t="s">
        <v>1165</v>
      </c>
      <c r="I2932" s="21" t="s">
        <v>3084</v>
      </c>
      <c r="J2932" s="21">
        <v>49.133333333333297</v>
      </c>
      <c r="K2932">
        <v>-122.75</v>
      </c>
      <c r="L2932">
        <v>1415</v>
      </c>
      <c r="M2932" s="21" t="s">
        <v>3034</v>
      </c>
      <c r="O2932" s="21">
        <v>1985</v>
      </c>
      <c r="Q2932" s="21" t="s">
        <v>3086</v>
      </c>
      <c r="T2932" s="21">
        <v>-20</v>
      </c>
      <c r="U2932" s="21" t="s">
        <v>1218</v>
      </c>
      <c r="V2932" s="9" t="s">
        <v>1247</v>
      </c>
      <c r="W2932" s="21">
        <v>28</v>
      </c>
      <c r="X2932" s="9" t="s">
        <v>3088</v>
      </c>
      <c r="Y2932" t="s">
        <v>3100</v>
      </c>
      <c r="Z2932" s="22">
        <v>8</v>
      </c>
      <c r="AD2932" s="22" t="s">
        <v>1165</v>
      </c>
      <c r="AF2932" s="24" t="s">
        <v>153</v>
      </c>
      <c r="AG2932" t="s">
        <v>1160</v>
      </c>
      <c r="AH2932">
        <f t="shared" si="31"/>
        <v>4320</v>
      </c>
      <c r="AI2932" s="21" t="s">
        <v>153</v>
      </c>
      <c r="AJ2932" s="21" t="s">
        <v>1278</v>
      </c>
      <c r="AK2932" s="21">
        <v>24</v>
      </c>
      <c r="AL2932" s="21" t="s">
        <v>1321</v>
      </c>
      <c r="AM2932" s="21"/>
      <c r="AN2932" s="21">
        <v>3</v>
      </c>
      <c r="AO2932" s="21">
        <v>50</v>
      </c>
      <c r="AP2932" s="21">
        <v>30</v>
      </c>
      <c r="AQ2932" s="22" t="s">
        <v>3016</v>
      </c>
      <c r="AR2932" s="21" t="s">
        <v>1298</v>
      </c>
      <c r="AS2932" t="s">
        <v>3085</v>
      </c>
    </row>
    <row r="2933" spans="1:45" x14ac:dyDescent="0.2">
      <c r="A2933" s="21" t="s">
        <v>1685</v>
      </c>
      <c r="B2933" s="21" t="s">
        <v>1146</v>
      </c>
      <c r="C2933" s="21" t="s">
        <v>1149</v>
      </c>
      <c r="D2933" s="21" t="s">
        <v>420</v>
      </c>
      <c r="E2933" s="21" t="s">
        <v>3083</v>
      </c>
      <c r="G2933" s="21" t="s">
        <v>153</v>
      </c>
      <c r="H2933" s="21" t="s">
        <v>1165</v>
      </c>
      <c r="I2933" s="21" t="s">
        <v>3084</v>
      </c>
      <c r="J2933" s="21">
        <v>49.133333333333297</v>
      </c>
      <c r="K2933">
        <v>-122.75</v>
      </c>
      <c r="L2933">
        <v>1415</v>
      </c>
      <c r="M2933" s="21" t="s">
        <v>3034</v>
      </c>
      <c r="O2933" s="21">
        <v>1985</v>
      </c>
      <c r="Q2933" s="21" t="s">
        <v>3086</v>
      </c>
      <c r="T2933" s="21">
        <v>-20</v>
      </c>
      <c r="U2933" s="21" t="s">
        <v>1218</v>
      </c>
      <c r="V2933" s="9" t="s">
        <v>1247</v>
      </c>
      <c r="W2933" s="21">
        <v>56</v>
      </c>
      <c r="X2933" s="9" t="s">
        <v>3088</v>
      </c>
      <c r="Y2933" t="s">
        <v>3100</v>
      </c>
      <c r="Z2933" s="22">
        <v>8</v>
      </c>
      <c r="AD2933" s="22" t="s">
        <v>1165</v>
      </c>
      <c r="AF2933" s="24" t="s">
        <v>153</v>
      </c>
      <c r="AG2933" t="s">
        <v>1160</v>
      </c>
      <c r="AH2933">
        <f t="shared" si="31"/>
        <v>4320</v>
      </c>
      <c r="AI2933" s="21" t="s">
        <v>153</v>
      </c>
      <c r="AJ2933" s="21" t="s">
        <v>1148</v>
      </c>
      <c r="AK2933" s="21">
        <v>67</v>
      </c>
      <c r="AL2933" s="21" t="s">
        <v>1321</v>
      </c>
      <c r="AM2933" s="21"/>
      <c r="AN2933" s="21">
        <v>3</v>
      </c>
      <c r="AO2933" s="21">
        <v>50</v>
      </c>
      <c r="AP2933" s="21">
        <v>30</v>
      </c>
      <c r="AQ2933" s="22" t="s">
        <v>3016</v>
      </c>
      <c r="AR2933" s="21" t="s">
        <v>1298</v>
      </c>
      <c r="AS2933" t="s">
        <v>3085</v>
      </c>
    </row>
    <row r="2934" spans="1:45" x14ac:dyDescent="0.2">
      <c r="A2934" s="21" t="s">
        <v>1685</v>
      </c>
      <c r="B2934" s="21" t="s">
        <v>1146</v>
      </c>
      <c r="C2934" s="21" t="s">
        <v>1149</v>
      </c>
      <c r="D2934" s="21" t="s">
        <v>420</v>
      </c>
      <c r="E2934" s="21" t="s">
        <v>3083</v>
      </c>
      <c r="G2934" s="21" t="s">
        <v>153</v>
      </c>
      <c r="H2934" s="21" t="s">
        <v>1165</v>
      </c>
      <c r="I2934" s="21" t="s">
        <v>3084</v>
      </c>
      <c r="J2934" s="21">
        <v>49.133333333333297</v>
      </c>
      <c r="K2934">
        <v>-122.75</v>
      </c>
      <c r="L2934">
        <v>1415</v>
      </c>
      <c r="M2934" s="21" t="s">
        <v>3034</v>
      </c>
      <c r="O2934" s="21">
        <v>1985</v>
      </c>
      <c r="Q2934" s="21" t="s">
        <v>3086</v>
      </c>
      <c r="T2934" s="21">
        <v>-20</v>
      </c>
      <c r="U2934" s="21" t="s">
        <v>1218</v>
      </c>
      <c r="V2934" s="9" t="s">
        <v>1247</v>
      </c>
      <c r="W2934" s="21">
        <v>56</v>
      </c>
      <c r="X2934" s="9" t="s">
        <v>3088</v>
      </c>
      <c r="Y2934" t="s">
        <v>3100</v>
      </c>
      <c r="Z2934" s="22">
        <v>8</v>
      </c>
      <c r="AD2934" s="22" t="s">
        <v>1165</v>
      </c>
      <c r="AF2934" s="24" t="s">
        <v>153</v>
      </c>
      <c r="AG2934" t="s">
        <v>1160</v>
      </c>
      <c r="AH2934">
        <f t="shared" si="31"/>
        <v>4320</v>
      </c>
      <c r="AI2934" s="21" t="s">
        <v>153</v>
      </c>
      <c r="AJ2934" s="21" t="s">
        <v>1278</v>
      </c>
      <c r="AK2934" s="21">
        <v>37</v>
      </c>
      <c r="AL2934" s="21" t="s">
        <v>1321</v>
      </c>
      <c r="AM2934" s="21"/>
      <c r="AN2934" s="21">
        <v>3</v>
      </c>
      <c r="AO2934" s="21">
        <v>50</v>
      </c>
      <c r="AP2934" s="21">
        <v>30</v>
      </c>
      <c r="AQ2934" s="22" t="s">
        <v>3016</v>
      </c>
      <c r="AR2934" s="21" t="s">
        <v>1298</v>
      </c>
      <c r="AS2934" t="s">
        <v>3085</v>
      </c>
    </row>
    <row r="2935" spans="1:45" x14ac:dyDescent="0.2">
      <c r="A2935" s="21" t="s">
        <v>1685</v>
      </c>
      <c r="B2935" s="21" t="s">
        <v>1146</v>
      </c>
      <c r="C2935" s="21" t="s">
        <v>1149</v>
      </c>
      <c r="D2935" s="21" t="s">
        <v>420</v>
      </c>
      <c r="E2935" s="21" t="s">
        <v>3083</v>
      </c>
      <c r="G2935" s="21" t="s">
        <v>153</v>
      </c>
      <c r="H2935" s="21" t="s">
        <v>1165</v>
      </c>
      <c r="I2935" s="21" t="s">
        <v>3084</v>
      </c>
      <c r="J2935" s="21">
        <v>49.133333333333297</v>
      </c>
      <c r="K2935">
        <v>-122.75</v>
      </c>
      <c r="L2935">
        <v>1415</v>
      </c>
      <c r="M2935" s="21" t="s">
        <v>3034</v>
      </c>
      <c r="O2935" s="21">
        <v>1985</v>
      </c>
      <c r="Q2935" s="21" t="s">
        <v>3086</v>
      </c>
      <c r="T2935" s="21">
        <v>-20</v>
      </c>
      <c r="U2935" s="21" t="s">
        <v>1218</v>
      </c>
      <c r="V2935" s="9" t="s">
        <v>1247</v>
      </c>
      <c r="W2935" s="21">
        <v>84</v>
      </c>
      <c r="X2935" s="9" t="s">
        <v>3088</v>
      </c>
      <c r="Y2935" t="s">
        <v>3100</v>
      </c>
      <c r="Z2935" s="22">
        <v>8</v>
      </c>
      <c r="AD2935" s="22" t="s">
        <v>1165</v>
      </c>
      <c r="AF2935" s="24" t="s">
        <v>153</v>
      </c>
      <c r="AG2935" t="s">
        <v>1160</v>
      </c>
      <c r="AH2935">
        <f t="shared" si="31"/>
        <v>4320</v>
      </c>
      <c r="AI2935" s="21" t="s">
        <v>153</v>
      </c>
      <c r="AJ2935" s="21" t="s">
        <v>1148</v>
      </c>
      <c r="AK2935" s="21">
        <v>56</v>
      </c>
      <c r="AL2935" s="21" t="s">
        <v>1321</v>
      </c>
      <c r="AM2935" s="21"/>
      <c r="AN2935" s="21">
        <v>3</v>
      </c>
      <c r="AO2935" s="21">
        <v>50</v>
      </c>
      <c r="AP2935" s="21">
        <v>30</v>
      </c>
      <c r="AQ2935" s="22" t="s">
        <v>3016</v>
      </c>
      <c r="AR2935" s="21" t="s">
        <v>1298</v>
      </c>
      <c r="AS2935" t="s">
        <v>3085</v>
      </c>
    </row>
    <row r="2936" spans="1:45" x14ac:dyDescent="0.2">
      <c r="A2936" s="21" t="s">
        <v>1685</v>
      </c>
      <c r="B2936" s="21" t="s">
        <v>1146</v>
      </c>
      <c r="C2936" s="21" t="s">
        <v>1149</v>
      </c>
      <c r="D2936" s="21" t="s">
        <v>420</v>
      </c>
      <c r="E2936" s="21" t="s">
        <v>3083</v>
      </c>
      <c r="G2936" s="21" t="s">
        <v>153</v>
      </c>
      <c r="H2936" s="21" t="s">
        <v>1165</v>
      </c>
      <c r="I2936" s="21" t="s">
        <v>3084</v>
      </c>
      <c r="J2936" s="21">
        <v>49.133333333333297</v>
      </c>
      <c r="K2936">
        <v>-122.75</v>
      </c>
      <c r="L2936">
        <v>1415</v>
      </c>
      <c r="M2936" s="21" t="s">
        <v>3034</v>
      </c>
      <c r="O2936" s="21">
        <v>1985</v>
      </c>
      <c r="Q2936" s="21" t="s">
        <v>3086</v>
      </c>
      <c r="T2936" s="21">
        <v>-20</v>
      </c>
      <c r="U2936" s="21" t="s">
        <v>1218</v>
      </c>
      <c r="V2936" s="9" t="s">
        <v>1247</v>
      </c>
      <c r="W2936" s="21">
        <v>84</v>
      </c>
      <c r="X2936" s="9" t="s">
        <v>3088</v>
      </c>
      <c r="Y2936" t="s">
        <v>3100</v>
      </c>
      <c r="Z2936" s="22">
        <v>8</v>
      </c>
      <c r="AD2936" s="22" t="s">
        <v>1165</v>
      </c>
      <c r="AF2936" s="24" t="s">
        <v>153</v>
      </c>
      <c r="AG2936" t="s">
        <v>1160</v>
      </c>
      <c r="AH2936">
        <f t="shared" si="31"/>
        <v>4320</v>
      </c>
      <c r="AI2936" s="21" t="s">
        <v>153</v>
      </c>
      <c r="AJ2936" s="21" t="s">
        <v>1278</v>
      </c>
      <c r="AK2936" s="21">
        <v>27</v>
      </c>
      <c r="AL2936" s="21" t="s">
        <v>1321</v>
      </c>
      <c r="AM2936" s="21"/>
      <c r="AN2936" s="21">
        <v>3</v>
      </c>
      <c r="AO2936" s="21">
        <v>50</v>
      </c>
      <c r="AP2936" s="21">
        <v>30</v>
      </c>
      <c r="AQ2936" s="22" t="s">
        <v>3016</v>
      </c>
      <c r="AR2936" s="21" t="s">
        <v>1298</v>
      </c>
      <c r="AS2936" t="s">
        <v>3085</v>
      </c>
    </row>
    <row r="2937" spans="1:45" x14ac:dyDescent="0.2">
      <c r="A2937" s="21" t="s">
        <v>1685</v>
      </c>
      <c r="B2937" s="21" t="s">
        <v>1146</v>
      </c>
      <c r="C2937" s="21" t="s">
        <v>1149</v>
      </c>
      <c r="D2937" s="21" t="s">
        <v>420</v>
      </c>
      <c r="E2937" s="21" t="s">
        <v>3083</v>
      </c>
      <c r="G2937" s="21" t="s">
        <v>153</v>
      </c>
      <c r="H2937" s="21" t="s">
        <v>1165</v>
      </c>
      <c r="I2937" s="21" t="s">
        <v>3084</v>
      </c>
      <c r="J2937" s="21">
        <v>49.133333333333297</v>
      </c>
      <c r="K2937">
        <v>-122.75</v>
      </c>
      <c r="L2937">
        <v>1415</v>
      </c>
      <c r="M2937" s="21" t="s">
        <v>3034</v>
      </c>
      <c r="O2937" s="21">
        <v>1985</v>
      </c>
      <c r="Q2937" s="21" t="s">
        <v>3086</v>
      </c>
      <c r="T2937" s="21">
        <v>-20</v>
      </c>
      <c r="U2937" s="21" t="s">
        <v>1218</v>
      </c>
      <c r="V2937" s="9" t="s">
        <v>1247</v>
      </c>
      <c r="W2937" s="21">
        <v>28</v>
      </c>
      <c r="X2937" s="9" t="s">
        <v>3088</v>
      </c>
      <c r="Y2937" t="s">
        <v>3101</v>
      </c>
      <c r="Z2937" s="22">
        <v>8</v>
      </c>
      <c r="AD2937" s="22" t="s">
        <v>1165</v>
      </c>
      <c r="AF2937" s="24" t="s">
        <v>153</v>
      </c>
      <c r="AG2937" t="s">
        <v>1160</v>
      </c>
      <c r="AH2937">
        <f t="shared" si="31"/>
        <v>4320</v>
      </c>
      <c r="AI2937" s="21" t="s">
        <v>153</v>
      </c>
      <c r="AJ2937" s="21" t="s">
        <v>1148</v>
      </c>
      <c r="AK2937" s="21">
        <v>62</v>
      </c>
      <c r="AL2937" s="21" t="s">
        <v>1321</v>
      </c>
      <c r="AM2937" s="21"/>
      <c r="AN2937" s="21">
        <v>3</v>
      </c>
      <c r="AO2937" s="21">
        <v>50</v>
      </c>
      <c r="AP2937" s="21">
        <v>30</v>
      </c>
      <c r="AQ2937" s="22" t="s">
        <v>3016</v>
      </c>
      <c r="AR2937" s="21" t="s">
        <v>1298</v>
      </c>
      <c r="AS2937" t="s">
        <v>3085</v>
      </c>
    </row>
    <row r="2938" spans="1:45" x14ac:dyDescent="0.2">
      <c r="A2938" s="21" t="s">
        <v>1685</v>
      </c>
      <c r="B2938" s="21" t="s">
        <v>1146</v>
      </c>
      <c r="C2938" s="21" t="s">
        <v>1149</v>
      </c>
      <c r="D2938" s="21" t="s">
        <v>420</v>
      </c>
      <c r="E2938" s="21" t="s">
        <v>3083</v>
      </c>
      <c r="G2938" s="21" t="s">
        <v>153</v>
      </c>
      <c r="H2938" s="21" t="s">
        <v>1165</v>
      </c>
      <c r="I2938" s="21" t="s">
        <v>3084</v>
      </c>
      <c r="J2938" s="21">
        <v>49.133333333333297</v>
      </c>
      <c r="K2938">
        <v>-122.75</v>
      </c>
      <c r="L2938">
        <v>1415</v>
      </c>
      <c r="M2938" s="21" t="s">
        <v>3034</v>
      </c>
      <c r="O2938" s="21">
        <v>1985</v>
      </c>
      <c r="Q2938" s="21" t="s">
        <v>3086</v>
      </c>
      <c r="T2938" s="21">
        <v>-20</v>
      </c>
      <c r="U2938" s="21" t="s">
        <v>1218</v>
      </c>
      <c r="V2938" s="9" t="s">
        <v>1247</v>
      </c>
      <c r="W2938" s="21">
        <v>28</v>
      </c>
      <c r="X2938" s="9" t="s">
        <v>3088</v>
      </c>
      <c r="Y2938" t="s">
        <v>3101</v>
      </c>
      <c r="Z2938" s="22">
        <v>8</v>
      </c>
      <c r="AD2938" s="22" t="s">
        <v>1165</v>
      </c>
      <c r="AF2938" s="24" t="s">
        <v>153</v>
      </c>
      <c r="AG2938" t="s">
        <v>1160</v>
      </c>
      <c r="AH2938">
        <f t="shared" si="31"/>
        <v>4320</v>
      </c>
      <c r="AI2938" s="21" t="s">
        <v>153</v>
      </c>
      <c r="AJ2938" s="21" t="s">
        <v>1278</v>
      </c>
      <c r="AK2938" s="21">
        <v>28</v>
      </c>
      <c r="AL2938" s="21" t="s">
        <v>1321</v>
      </c>
      <c r="AM2938" s="21"/>
      <c r="AN2938" s="21">
        <v>3</v>
      </c>
      <c r="AO2938" s="21">
        <v>50</v>
      </c>
      <c r="AP2938" s="21">
        <v>30</v>
      </c>
      <c r="AQ2938" s="22" t="s">
        <v>3016</v>
      </c>
      <c r="AR2938" s="21" t="s">
        <v>1298</v>
      </c>
      <c r="AS2938" t="s">
        <v>3085</v>
      </c>
    </row>
    <row r="2939" spans="1:45" x14ac:dyDescent="0.2">
      <c r="A2939" s="21" t="s">
        <v>1685</v>
      </c>
      <c r="B2939" s="21" t="s">
        <v>1146</v>
      </c>
      <c r="C2939" s="21" t="s">
        <v>1149</v>
      </c>
      <c r="D2939" s="21" t="s">
        <v>420</v>
      </c>
      <c r="E2939" s="21" t="s">
        <v>3083</v>
      </c>
      <c r="G2939" s="21" t="s">
        <v>153</v>
      </c>
      <c r="H2939" s="21" t="s">
        <v>1165</v>
      </c>
      <c r="I2939" s="21" t="s">
        <v>3084</v>
      </c>
      <c r="J2939" s="21">
        <v>49.133333333333297</v>
      </c>
      <c r="K2939">
        <v>-122.75</v>
      </c>
      <c r="L2939">
        <v>1415</v>
      </c>
      <c r="M2939" s="21" t="s">
        <v>3034</v>
      </c>
      <c r="O2939" s="21">
        <v>1985</v>
      </c>
      <c r="Q2939" s="21" t="s">
        <v>3086</v>
      </c>
      <c r="T2939" s="21">
        <v>-20</v>
      </c>
      <c r="U2939" s="21" t="s">
        <v>1218</v>
      </c>
      <c r="V2939" s="9" t="s">
        <v>1247</v>
      </c>
      <c r="W2939" s="21">
        <v>56</v>
      </c>
      <c r="X2939" s="9" t="s">
        <v>3088</v>
      </c>
      <c r="Y2939" t="s">
        <v>3101</v>
      </c>
      <c r="Z2939" s="22">
        <v>8</v>
      </c>
      <c r="AD2939" s="22" t="s">
        <v>1165</v>
      </c>
      <c r="AF2939" s="24" t="s">
        <v>153</v>
      </c>
      <c r="AG2939" t="s">
        <v>1160</v>
      </c>
      <c r="AH2939">
        <f t="shared" si="31"/>
        <v>4320</v>
      </c>
      <c r="AI2939" s="21" t="s">
        <v>153</v>
      </c>
      <c r="AJ2939" s="21" t="s">
        <v>1148</v>
      </c>
      <c r="AK2939" s="21">
        <v>79</v>
      </c>
      <c r="AL2939" s="21" t="s">
        <v>1321</v>
      </c>
      <c r="AM2939" s="21"/>
      <c r="AN2939" s="21">
        <v>3</v>
      </c>
      <c r="AO2939" s="21">
        <v>50</v>
      </c>
      <c r="AP2939" s="21">
        <v>30</v>
      </c>
      <c r="AQ2939" s="22" t="s">
        <v>3016</v>
      </c>
      <c r="AR2939" s="21" t="s">
        <v>1298</v>
      </c>
      <c r="AS2939" t="s">
        <v>3085</v>
      </c>
    </row>
    <row r="2940" spans="1:45" x14ac:dyDescent="0.2">
      <c r="A2940" s="21" t="s">
        <v>1685</v>
      </c>
      <c r="B2940" s="21" t="s">
        <v>1146</v>
      </c>
      <c r="C2940" s="21" t="s">
        <v>1149</v>
      </c>
      <c r="D2940" s="21" t="s">
        <v>420</v>
      </c>
      <c r="E2940" s="21" t="s">
        <v>3083</v>
      </c>
      <c r="G2940" s="21" t="s">
        <v>153</v>
      </c>
      <c r="H2940" s="21" t="s">
        <v>1165</v>
      </c>
      <c r="I2940" s="21" t="s">
        <v>3084</v>
      </c>
      <c r="J2940" s="21">
        <v>49.133333333333297</v>
      </c>
      <c r="K2940">
        <v>-122.75</v>
      </c>
      <c r="L2940">
        <v>1415</v>
      </c>
      <c r="M2940" s="21" t="s">
        <v>3034</v>
      </c>
      <c r="O2940" s="21">
        <v>1985</v>
      </c>
      <c r="Q2940" s="21" t="s">
        <v>3086</v>
      </c>
      <c r="T2940" s="21">
        <v>-20</v>
      </c>
      <c r="U2940" s="21" t="s">
        <v>1218</v>
      </c>
      <c r="V2940" s="9" t="s">
        <v>1247</v>
      </c>
      <c r="W2940" s="21">
        <v>56</v>
      </c>
      <c r="X2940" s="9" t="s">
        <v>3088</v>
      </c>
      <c r="Y2940" t="s">
        <v>3101</v>
      </c>
      <c r="Z2940" s="22">
        <v>8</v>
      </c>
      <c r="AD2940" s="22" t="s">
        <v>1165</v>
      </c>
      <c r="AF2940" s="24" t="s">
        <v>153</v>
      </c>
      <c r="AG2940" t="s">
        <v>1160</v>
      </c>
      <c r="AH2940">
        <f t="shared" si="31"/>
        <v>4320</v>
      </c>
      <c r="AI2940" s="21" t="s">
        <v>153</v>
      </c>
      <c r="AJ2940" s="21" t="s">
        <v>1278</v>
      </c>
      <c r="AK2940" s="21">
        <v>46</v>
      </c>
      <c r="AL2940" s="21" t="s">
        <v>1321</v>
      </c>
      <c r="AM2940" s="21"/>
      <c r="AN2940" s="21">
        <v>3</v>
      </c>
      <c r="AO2940" s="21">
        <v>50</v>
      </c>
      <c r="AP2940" s="21">
        <v>30</v>
      </c>
      <c r="AQ2940" s="22" t="s">
        <v>3016</v>
      </c>
      <c r="AR2940" s="21" t="s">
        <v>1298</v>
      </c>
      <c r="AS2940" t="s">
        <v>3085</v>
      </c>
    </row>
    <row r="2941" spans="1:45" x14ac:dyDescent="0.2">
      <c r="A2941" s="21" t="s">
        <v>1685</v>
      </c>
      <c r="B2941" s="21" t="s">
        <v>1146</v>
      </c>
      <c r="C2941" s="21" t="s">
        <v>1149</v>
      </c>
      <c r="D2941" s="21" t="s">
        <v>420</v>
      </c>
      <c r="E2941" s="21" t="s">
        <v>3083</v>
      </c>
      <c r="G2941" s="21" t="s">
        <v>153</v>
      </c>
      <c r="H2941" s="21" t="s">
        <v>1165</v>
      </c>
      <c r="I2941" s="21" t="s">
        <v>3084</v>
      </c>
      <c r="J2941" s="21">
        <v>49.133333333333297</v>
      </c>
      <c r="K2941">
        <v>-122.75</v>
      </c>
      <c r="L2941">
        <v>1415</v>
      </c>
      <c r="M2941" s="21" t="s">
        <v>3034</v>
      </c>
      <c r="O2941" s="21">
        <v>1985</v>
      </c>
      <c r="Q2941" s="21" t="s">
        <v>3086</v>
      </c>
      <c r="T2941" s="21">
        <v>-20</v>
      </c>
      <c r="U2941" s="21" t="s">
        <v>1218</v>
      </c>
      <c r="V2941" s="9" t="s">
        <v>1247</v>
      </c>
      <c r="W2941" s="21">
        <v>84</v>
      </c>
      <c r="X2941" s="9" t="s">
        <v>3088</v>
      </c>
      <c r="Y2941" t="s">
        <v>3101</v>
      </c>
      <c r="Z2941" s="22">
        <v>8</v>
      </c>
      <c r="AD2941" s="22" t="s">
        <v>1165</v>
      </c>
      <c r="AF2941" s="24" t="s">
        <v>153</v>
      </c>
      <c r="AG2941" t="s">
        <v>1160</v>
      </c>
      <c r="AH2941">
        <f t="shared" si="31"/>
        <v>4320</v>
      </c>
      <c r="AI2941" s="21" t="s">
        <v>153</v>
      </c>
      <c r="AJ2941" s="21" t="s">
        <v>1148</v>
      </c>
      <c r="AK2941" s="21">
        <v>56</v>
      </c>
      <c r="AL2941" s="21" t="s">
        <v>1321</v>
      </c>
      <c r="AM2941" s="21"/>
      <c r="AN2941" s="21">
        <v>3</v>
      </c>
      <c r="AO2941" s="21">
        <v>50</v>
      </c>
      <c r="AP2941" s="21">
        <v>30</v>
      </c>
      <c r="AQ2941" s="22" t="s">
        <v>3016</v>
      </c>
      <c r="AR2941" s="21" t="s">
        <v>1298</v>
      </c>
      <c r="AS2941" t="s">
        <v>3085</v>
      </c>
    </row>
    <row r="2942" spans="1:45" x14ac:dyDescent="0.2">
      <c r="A2942" s="21" t="s">
        <v>1685</v>
      </c>
      <c r="B2942" s="21" t="s">
        <v>1146</v>
      </c>
      <c r="C2942" s="21" t="s">
        <v>1149</v>
      </c>
      <c r="D2942" s="21" t="s">
        <v>420</v>
      </c>
      <c r="E2942" s="21" t="s">
        <v>3083</v>
      </c>
      <c r="G2942" s="21" t="s">
        <v>153</v>
      </c>
      <c r="H2942" s="21" t="s">
        <v>1165</v>
      </c>
      <c r="I2942" s="21" t="s">
        <v>3084</v>
      </c>
      <c r="J2942" s="21">
        <v>49.133333333333297</v>
      </c>
      <c r="K2942">
        <v>-122.75</v>
      </c>
      <c r="L2942">
        <v>1415</v>
      </c>
      <c r="M2942" s="21" t="s">
        <v>3034</v>
      </c>
      <c r="O2942" s="21">
        <v>1985</v>
      </c>
      <c r="Q2942" s="21" t="s">
        <v>3086</v>
      </c>
      <c r="T2942" s="21">
        <v>-20</v>
      </c>
      <c r="U2942" s="21" t="s">
        <v>1218</v>
      </c>
      <c r="V2942" s="9" t="s">
        <v>1247</v>
      </c>
      <c r="W2942" s="21">
        <v>84</v>
      </c>
      <c r="X2942" s="9" t="s">
        <v>3088</v>
      </c>
      <c r="Y2942" t="s">
        <v>3101</v>
      </c>
      <c r="Z2942" s="22">
        <v>8</v>
      </c>
      <c r="AD2942" s="22" t="s">
        <v>1165</v>
      </c>
      <c r="AF2942" s="24" t="s">
        <v>153</v>
      </c>
      <c r="AG2942" t="s">
        <v>1160</v>
      </c>
      <c r="AH2942">
        <f t="shared" si="31"/>
        <v>4320</v>
      </c>
      <c r="AI2942" s="21" t="s">
        <v>153</v>
      </c>
      <c r="AJ2942" s="21" t="s">
        <v>1278</v>
      </c>
      <c r="AK2942" s="21">
        <v>28</v>
      </c>
      <c r="AL2942" s="21" t="s">
        <v>1321</v>
      </c>
      <c r="AM2942" s="21"/>
      <c r="AN2942" s="21">
        <v>3</v>
      </c>
      <c r="AO2942" s="21">
        <v>50</v>
      </c>
      <c r="AP2942" s="21">
        <v>30</v>
      </c>
      <c r="AQ2942" s="22" t="s">
        <v>3016</v>
      </c>
      <c r="AR2942" s="21" t="s">
        <v>1298</v>
      </c>
      <c r="AS2942" t="s">
        <v>3085</v>
      </c>
    </row>
    <row r="2943" spans="1:45" x14ac:dyDescent="0.2">
      <c r="A2943" s="21" t="s">
        <v>1685</v>
      </c>
      <c r="B2943" s="21" t="s">
        <v>1146</v>
      </c>
      <c r="C2943" s="21" t="s">
        <v>1149</v>
      </c>
      <c r="D2943" s="21" t="s">
        <v>420</v>
      </c>
      <c r="E2943" s="21" t="s">
        <v>3083</v>
      </c>
      <c r="G2943" s="21" t="s">
        <v>153</v>
      </c>
      <c r="H2943" s="21" t="s">
        <v>1165</v>
      </c>
      <c r="I2943" s="21" t="s">
        <v>3084</v>
      </c>
      <c r="J2943" s="21">
        <v>49.133333333333297</v>
      </c>
      <c r="K2943">
        <v>-122.75</v>
      </c>
      <c r="L2943">
        <v>1415</v>
      </c>
      <c r="M2943" s="21" t="s">
        <v>3034</v>
      </c>
      <c r="O2943" s="21">
        <v>1985</v>
      </c>
      <c r="Q2943" s="21" t="s">
        <v>3086</v>
      </c>
      <c r="T2943" s="21">
        <v>-20</v>
      </c>
      <c r="U2943" s="21" t="s">
        <v>1218</v>
      </c>
      <c r="V2943" s="9" t="s">
        <v>1247</v>
      </c>
      <c r="W2943" s="21">
        <v>28</v>
      </c>
      <c r="X2943" s="9" t="s">
        <v>3088</v>
      </c>
      <c r="Y2943" t="s">
        <v>3102</v>
      </c>
      <c r="Z2943" s="22">
        <v>8</v>
      </c>
      <c r="AD2943" s="22" t="s">
        <v>1165</v>
      </c>
      <c r="AF2943" s="24" t="s">
        <v>153</v>
      </c>
      <c r="AG2943" t="s">
        <v>1160</v>
      </c>
      <c r="AH2943">
        <f t="shared" si="31"/>
        <v>4320</v>
      </c>
      <c r="AI2943" s="21" t="s">
        <v>153</v>
      </c>
      <c r="AJ2943" s="21" t="s">
        <v>1148</v>
      </c>
      <c r="AK2943" s="21">
        <v>61</v>
      </c>
      <c r="AL2943" s="21" t="s">
        <v>1321</v>
      </c>
      <c r="AM2943" s="21"/>
      <c r="AN2943" s="21">
        <v>3</v>
      </c>
      <c r="AO2943" s="21">
        <v>50</v>
      </c>
      <c r="AP2943" s="21">
        <v>30</v>
      </c>
      <c r="AQ2943" s="22" t="s">
        <v>3016</v>
      </c>
      <c r="AR2943" s="21" t="s">
        <v>1298</v>
      </c>
      <c r="AS2943" t="s">
        <v>3085</v>
      </c>
    </row>
    <row r="2944" spans="1:45" x14ac:dyDescent="0.2">
      <c r="A2944" s="21" t="s">
        <v>1685</v>
      </c>
      <c r="B2944" s="21" t="s">
        <v>1146</v>
      </c>
      <c r="C2944" s="21" t="s">
        <v>1149</v>
      </c>
      <c r="D2944" s="21" t="s">
        <v>420</v>
      </c>
      <c r="E2944" s="21" t="s">
        <v>3083</v>
      </c>
      <c r="G2944" s="21" t="s">
        <v>153</v>
      </c>
      <c r="H2944" s="21" t="s">
        <v>1165</v>
      </c>
      <c r="I2944" s="21" t="s">
        <v>3084</v>
      </c>
      <c r="J2944" s="21">
        <v>49.133333333333297</v>
      </c>
      <c r="K2944">
        <v>-122.75</v>
      </c>
      <c r="L2944">
        <v>1415</v>
      </c>
      <c r="M2944" s="21" t="s">
        <v>3034</v>
      </c>
      <c r="O2944" s="21">
        <v>1985</v>
      </c>
      <c r="Q2944" s="21" t="s">
        <v>3086</v>
      </c>
      <c r="T2944" s="21">
        <v>-20</v>
      </c>
      <c r="U2944" s="21" t="s">
        <v>1218</v>
      </c>
      <c r="V2944" s="9" t="s">
        <v>1247</v>
      </c>
      <c r="W2944" s="21">
        <v>28</v>
      </c>
      <c r="X2944" s="9" t="s">
        <v>3088</v>
      </c>
      <c r="Y2944" t="s">
        <v>3102</v>
      </c>
      <c r="Z2944" s="22">
        <v>8</v>
      </c>
      <c r="AD2944" s="22" t="s">
        <v>1165</v>
      </c>
      <c r="AF2944" s="24" t="s">
        <v>153</v>
      </c>
      <c r="AG2944" t="s">
        <v>1160</v>
      </c>
      <c r="AH2944">
        <f t="shared" si="31"/>
        <v>4320</v>
      </c>
      <c r="AI2944" s="21" t="s">
        <v>153</v>
      </c>
      <c r="AJ2944" s="21" t="s">
        <v>1278</v>
      </c>
      <c r="AK2944" s="21">
        <v>27</v>
      </c>
      <c r="AL2944" s="21" t="s">
        <v>1321</v>
      </c>
      <c r="AM2944" s="21"/>
      <c r="AN2944" s="21">
        <v>3</v>
      </c>
      <c r="AO2944" s="21">
        <v>50</v>
      </c>
      <c r="AP2944" s="21">
        <v>30</v>
      </c>
      <c r="AQ2944" s="22" t="s">
        <v>3016</v>
      </c>
      <c r="AR2944" s="21" t="s">
        <v>1298</v>
      </c>
      <c r="AS2944" t="s">
        <v>3085</v>
      </c>
    </row>
    <row r="2945" spans="1:45" x14ac:dyDescent="0.2">
      <c r="A2945" s="21" t="s">
        <v>1685</v>
      </c>
      <c r="B2945" s="21" t="s">
        <v>1146</v>
      </c>
      <c r="C2945" s="21" t="s">
        <v>1149</v>
      </c>
      <c r="D2945" s="21" t="s">
        <v>420</v>
      </c>
      <c r="E2945" s="21" t="s">
        <v>3083</v>
      </c>
      <c r="G2945" s="21" t="s">
        <v>153</v>
      </c>
      <c r="H2945" s="21" t="s">
        <v>1165</v>
      </c>
      <c r="I2945" s="21" t="s">
        <v>3084</v>
      </c>
      <c r="J2945" s="21">
        <v>49.133333333333297</v>
      </c>
      <c r="K2945">
        <v>-122.75</v>
      </c>
      <c r="L2945">
        <v>1415</v>
      </c>
      <c r="M2945" s="21" t="s">
        <v>3034</v>
      </c>
      <c r="O2945" s="21">
        <v>1985</v>
      </c>
      <c r="Q2945" s="21" t="s">
        <v>3086</v>
      </c>
      <c r="T2945" s="21">
        <v>-20</v>
      </c>
      <c r="U2945" s="21" t="s">
        <v>1218</v>
      </c>
      <c r="V2945" s="9" t="s">
        <v>1247</v>
      </c>
      <c r="W2945" s="21">
        <v>56</v>
      </c>
      <c r="X2945" s="9" t="s">
        <v>3088</v>
      </c>
      <c r="Y2945" t="s">
        <v>3102</v>
      </c>
      <c r="Z2945" s="22">
        <v>8</v>
      </c>
      <c r="AD2945" s="22" t="s">
        <v>1165</v>
      </c>
      <c r="AF2945" s="24" t="s">
        <v>153</v>
      </c>
      <c r="AG2945" t="s">
        <v>1160</v>
      </c>
      <c r="AH2945">
        <f t="shared" si="31"/>
        <v>4320</v>
      </c>
      <c r="AI2945" s="21" t="s">
        <v>153</v>
      </c>
      <c r="AJ2945" s="21" t="s">
        <v>1148</v>
      </c>
      <c r="AK2945" s="21">
        <v>71</v>
      </c>
      <c r="AL2945" s="21" t="s">
        <v>1321</v>
      </c>
      <c r="AM2945" s="21"/>
      <c r="AN2945" s="21">
        <v>3</v>
      </c>
      <c r="AO2945" s="21">
        <v>50</v>
      </c>
      <c r="AP2945" s="21">
        <v>30</v>
      </c>
      <c r="AQ2945" s="22" t="s">
        <v>3016</v>
      </c>
      <c r="AR2945" s="21" t="s">
        <v>1298</v>
      </c>
      <c r="AS2945" t="s">
        <v>3085</v>
      </c>
    </row>
    <row r="2946" spans="1:45" x14ac:dyDescent="0.2">
      <c r="A2946" s="21" t="s">
        <v>1685</v>
      </c>
      <c r="B2946" s="21" t="s">
        <v>1146</v>
      </c>
      <c r="C2946" s="21" t="s">
        <v>1149</v>
      </c>
      <c r="D2946" s="21" t="s">
        <v>420</v>
      </c>
      <c r="E2946" s="21" t="s">
        <v>3083</v>
      </c>
      <c r="G2946" s="21" t="s">
        <v>153</v>
      </c>
      <c r="H2946" s="21" t="s">
        <v>1165</v>
      </c>
      <c r="I2946" s="21" t="s">
        <v>3084</v>
      </c>
      <c r="J2946" s="21">
        <v>49.133333333333297</v>
      </c>
      <c r="K2946">
        <v>-122.75</v>
      </c>
      <c r="L2946">
        <v>1415</v>
      </c>
      <c r="M2946" s="21" t="s">
        <v>3034</v>
      </c>
      <c r="O2946" s="21">
        <v>1985</v>
      </c>
      <c r="Q2946" s="21" t="s">
        <v>3086</v>
      </c>
      <c r="T2946" s="21">
        <v>-20</v>
      </c>
      <c r="U2946" s="21" t="s">
        <v>1218</v>
      </c>
      <c r="V2946" s="9" t="s">
        <v>1247</v>
      </c>
      <c r="W2946" s="21">
        <v>56</v>
      </c>
      <c r="X2946" s="9" t="s">
        <v>3088</v>
      </c>
      <c r="Y2946" t="s">
        <v>3102</v>
      </c>
      <c r="Z2946" s="22">
        <v>8</v>
      </c>
      <c r="AD2946" s="22" t="s">
        <v>1165</v>
      </c>
      <c r="AF2946" s="24" t="s">
        <v>153</v>
      </c>
      <c r="AG2946" t="s">
        <v>1160</v>
      </c>
      <c r="AH2946">
        <f t="shared" si="31"/>
        <v>4320</v>
      </c>
      <c r="AI2946" s="21" t="s">
        <v>153</v>
      </c>
      <c r="AJ2946" s="21" t="s">
        <v>1278</v>
      </c>
      <c r="AK2946" s="21">
        <v>43</v>
      </c>
      <c r="AL2946" s="21" t="s">
        <v>1321</v>
      </c>
      <c r="AM2946" s="21"/>
      <c r="AN2946" s="21">
        <v>3</v>
      </c>
      <c r="AO2946" s="21">
        <v>50</v>
      </c>
      <c r="AP2946" s="21">
        <v>30</v>
      </c>
      <c r="AQ2946" s="22" t="s">
        <v>3016</v>
      </c>
      <c r="AR2946" s="21" t="s">
        <v>1298</v>
      </c>
      <c r="AS2946" t="s">
        <v>3085</v>
      </c>
    </row>
    <row r="2947" spans="1:45" x14ac:dyDescent="0.2">
      <c r="A2947" s="21" t="s">
        <v>1685</v>
      </c>
      <c r="B2947" s="21" t="s">
        <v>1146</v>
      </c>
      <c r="C2947" s="21" t="s">
        <v>1149</v>
      </c>
      <c r="D2947" s="21" t="s">
        <v>420</v>
      </c>
      <c r="E2947" s="21" t="s">
        <v>3083</v>
      </c>
      <c r="G2947" s="21" t="s">
        <v>153</v>
      </c>
      <c r="H2947" s="21" t="s">
        <v>1165</v>
      </c>
      <c r="I2947" s="21" t="s">
        <v>3084</v>
      </c>
      <c r="J2947" s="21">
        <v>49.133333333333297</v>
      </c>
      <c r="K2947">
        <v>-122.75</v>
      </c>
      <c r="L2947">
        <v>1415</v>
      </c>
      <c r="M2947" s="21" t="s">
        <v>3034</v>
      </c>
      <c r="O2947" s="21">
        <v>1985</v>
      </c>
      <c r="Q2947" s="21" t="s">
        <v>3086</v>
      </c>
      <c r="T2947" s="21">
        <v>-20</v>
      </c>
      <c r="U2947" s="21" t="s">
        <v>1218</v>
      </c>
      <c r="V2947" s="9" t="s">
        <v>1247</v>
      </c>
      <c r="W2947" s="21">
        <v>84</v>
      </c>
      <c r="X2947" s="9" t="s">
        <v>3088</v>
      </c>
      <c r="Y2947" t="s">
        <v>3102</v>
      </c>
      <c r="Z2947" s="22">
        <v>8</v>
      </c>
      <c r="AD2947" s="22" t="s">
        <v>1165</v>
      </c>
      <c r="AF2947" s="24" t="s">
        <v>153</v>
      </c>
      <c r="AG2947" t="s">
        <v>1160</v>
      </c>
      <c r="AH2947">
        <f t="shared" si="31"/>
        <v>4320</v>
      </c>
      <c r="AI2947" s="21" t="s">
        <v>153</v>
      </c>
      <c r="AJ2947" s="21" t="s">
        <v>1148</v>
      </c>
      <c r="AK2947" s="21">
        <v>55</v>
      </c>
      <c r="AL2947" s="21" t="s">
        <v>1321</v>
      </c>
      <c r="AM2947" s="21"/>
      <c r="AN2947" s="21">
        <v>3</v>
      </c>
      <c r="AO2947" s="21">
        <v>50</v>
      </c>
      <c r="AP2947" s="21">
        <v>30</v>
      </c>
      <c r="AQ2947" s="22" t="s">
        <v>3016</v>
      </c>
      <c r="AR2947" s="21" t="s">
        <v>1298</v>
      </c>
      <c r="AS2947" t="s">
        <v>3085</v>
      </c>
    </row>
    <row r="2948" spans="1:45" x14ac:dyDescent="0.2">
      <c r="A2948" s="21" t="s">
        <v>1685</v>
      </c>
      <c r="B2948" s="21" t="s">
        <v>1146</v>
      </c>
      <c r="C2948" s="21" t="s">
        <v>1149</v>
      </c>
      <c r="D2948" s="21" t="s">
        <v>420</v>
      </c>
      <c r="E2948" s="21" t="s">
        <v>3083</v>
      </c>
      <c r="G2948" s="21" t="s">
        <v>153</v>
      </c>
      <c r="H2948" s="21" t="s">
        <v>1165</v>
      </c>
      <c r="I2948" s="21" t="s">
        <v>3084</v>
      </c>
      <c r="J2948" s="21">
        <v>49.133333333333297</v>
      </c>
      <c r="K2948">
        <v>-122.75</v>
      </c>
      <c r="L2948">
        <v>1415</v>
      </c>
      <c r="M2948" s="21" t="s">
        <v>3034</v>
      </c>
      <c r="O2948" s="21">
        <v>1985</v>
      </c>
      <c r="Q2948" s="21" t="s">
        <v>3086</v>
      </c>
      <c r="T2948" s="21">
        <v>-20</v>
      </c>
      <c r="U2948" s="21" t="s">
        <v>1218</v>
      </c>
      <c r="V2948" s="9" t="s">
        <v>1247</v>
      </c>
      <c r="W2948" s="21">
        <v>84</v>
      </c>
      <c r="X2948" s="9" t="s">
        <v>3088</v>
      </c>
      <c r="Y2948" t="s">
        <v>3102</v>
      </c>
      <c r="Z2948" s="22">
        <v>8</v>
      </c>
      <c r="AD2948" s="22" t="s">
        <v>1165</v>
      </c>
      <c r="AF2948" s="24" t="s">
        <v>153</v>
      </c>
      <c r="AG2948" t="s">
        <v>1160</v>
      </c>
      <c r="AH2948">
        <f t="shared" si="31"/>
        <v>4320</v>
      </c>
      <c r="AI2948" s="21" t="s">
        <v>153</v>
      </c>
      <c r="AJ2948" s="21" t="s">
        <v>1278</v>
      </c>
      <c r="AK2948" s="21">
        <v>28</v>
      </c>
      <c r="AL2948" s="21" t="s">
        <v>1321</v>
      </c>
      <c r="AM2948" s="21"/>
      <c r="AN2948" s="21">
        <v>3</v>
      </c>
      <c r="AO2948" s="21">
        <v>50</v>
      </c>
      <c r="AP2948" s="21">
        <v>30</v>
      </c>
      <c r="AQ2948" s="22" t="s">
        <v>3016</v>
      </c>
      <c r="AR2948" s="21" t="s">
        <v>1298</v>
      </c>
      <c r="AS2948" t="s">
        <v>3085</v>
      </c>
    </row>
    <row r="2949" spans="1:45" x14ac:dyDescent="0.2">
      <c r="A2949" s="21" t="s">
        <v>1685</v>
      </c>
      <c r="B2949" s="21" t="s">
        <v>1146</v>
      </c>
      <c r="C2949" s="21" t="s">
        <v>1149</v>
      </c>
      <c r="D2949" s="21" t="s">
        <v>420</v>
      </c>
      <c r="E2949" s="21" t="s">
        <v>3083</v>
      </c>
      <c r="G2949" s="21" t="s">
        <v>153</v>
      </c>
      <c r="H2949" s="21" t="s">
        <v>1165</v>
      </c>
      <c r="I2949" s="21" t="s">
        <v>3084</v>
      </c>
      <c r="J2949" s="21">
        <v>49.133333333333297</v>
      </c>
      <c r="K2949">
        <v>-122.75</v>
      </c>
      <c r="L2949">
        <v>1415</v>
      </c>
      <c r="M2949" s="21" t="s">
        <v>3034</v>
      </c>
      <c r="O2949" s="21">
        <v>1985</v>
      </c>
      <c r="Q2949" s="21" t="s">
        <v>3086</v>
      </c>
      <c r="T2949" s="21">
        <v>-20</v>
      </c>
      <c r="U2949" s="21" t="s">
        <v>1147</v>
      </c>
      <c r="W2949" s="21"/>
      <c r="X2949" s="9" t="s">
        <v>3088</v>
      </c>
      <c r="Z2949" s="22">
        <v>8</v>
      </c>
      <c r="AD2949" s="22" t="s">
        <v>1165</v>
      </c>
      <c r="AF2949" s="24" t="s">
        <v>153</v>
      </c>
      <c r="AG2949" t="s">
        <v>1160</v>
      </c>
      <c r="AH2949">
        <f t="shared" si="31"/>
        <v>4320</v>
      </c>
      <c r="AI2949" s="21" t="s">
        <v>153</v>
      </c>
      <c r="AJ2949" s="21" t="s">
        <v>1148</v>
      </c>
      <c r="AK2949" s="21">
        <v>3</v>
      </c>
      <c r="AL2949" s="21" t="s">
        <v>1321</v>
      </c>
      <c r="AM2949" s="21"/>
      <c r="AN2949" s="21">
        <v>3</v>
      </c>
      <c r="AO2949" s="21">
        <v>50</v>
      </c>
      <c r="AP2949" s="21">
        <v>30</v>
      </c>
      <c r="AQ2949" s="22" t="s">
        <v>3016</v>
      </c>
      <c r="AR2949" s="21" t="s">
        <v>1298</v>
      </c>
      <c r="AS2949" t="s">
        <v>3085</v>
      </c>
    </row>
    <row r="2950" spans="1:45" x14ac:dyDescent="0.2">
      <c r="A2950" s="21" t="s">
        <v>1685</v>
      </c>
      <c r="B2950" s="21" t="s">
        <v>1146</v>
      </c>
      <c r="C2950" s="21" t="s">
        <v>1149</v>
      </c>
      <c r="D2950" s="21" t="s">
        <v>420</v>
      </c>
      <c r="E2950" s="21" t="s">
        <v>3083</v>
      </c>
      <c r="G2950" s="21" t="s">
        <v>153</v>
      </c>
      <c r="H2950" s="21" t="s">
        <v>1165</v>
      </c>
      <c r="I2950" s="21" t="s">
        <v>3084</v>
      </c>
      <c r="J2950" s="21">
        <v>49.133333333333297</v>
      </c>
      <c r="K2950">
        <v>-122.75</v>
      </c>
      <c r="L2950">
        <v>1415</v>
      </c>
      <c r="M2950" s="21" t="s">
        <v>3034</v>
      </c>
      <c r="O2950" s="21">
        <v>1985</v>
      </c>
      <c r="Q2950" s="21" t="s">
        <v>3086</v>
      </c>
      <c r="T2950" s="21">
        <v>-20</v>
      </c>
      <c r="U2950" s="21" t="s">
        <v>1147</v>
      </c>
      <c r="W2950" s="21"/>
      <c r="X2950" s="9" t="s">
        <v>3088</v>
      </c>
      <c r="Z2950" s="22">
        <v>8</v>
      </c>
      <c r="AD2950" s="22" t="s">
        <v>1165</v>
      </c>
      <c r="AF2950" s="24" t="s">
        <v>153</v>
      </c>
      <c r="AG2950" t="s">
        <v>1160</v>
      </c>
      <c r="AH2950">
        <f t="shared" si="31"/>
        <v>4320</v>
      </c>
      <c r="AI2950" s="21" t="s">
        <v>153</v>
      </c>
      <c r="AJ2950" s="21" t="s">
        <v>1278</v>
      </c>
      <c r="AK2950" s="21">
        <v>0.5</v>
      </c>
      <c r="AL2950" s="21" t="s">
        <v>1321</v>
      </c>
      <c r="AM2950" s="21"/>
      <c r="AN2950" s="21">
        <v>3</v>
      </c>
      <c r="AO2950" s="21">
        <v>50</v>
      </c>
      <c r="AP2950" s="21">
        <v>30</v>
      </c>
      <c r="AQ2950" s="22" t="s">
        <v>3016</v>
      </c>
      <c r="AR2950" s="21" t="s">
        <v>1298</v>
      </c>
      <c r="AS2950" t="s">
        <v>3085</v>
      </c>
    </row>
    <row r="2951" spans="1:45" x14ac:dyDescent="0.2">
      <c r="A2951" s="21" t="s">
        <v>1685</v>
      </c>
      <c r="B2951" s="21" t="s">
        <v>1146</v>
      </c>
      <c r="C2951" s="21" t="s">
        <v>1149</v>
      </c>
      <c r="D2951" s="21" t="s">
        <v>420</v>
      </c>
      <c r="E2951" s="21" t="s">
        <v>3083</v>
      </c>
      <c r="G2951" s="21" t="s">
        <v>153</v>
      </c>
      <c r="H2951" s="21" t="s">
        <v>1165</v>
      </c>
      <c r="I2951" s="21" t="s">
        <v>3084</v>
      </c>
      <c r="J2951" s="21">
        <v>49.133333333333297</v>
      </c>
      <c r="K2951">
        <v>-122.75</v>
      </c>
      <c r="L2951">
        <v>1415</v>
      </c>
      <c r="M2951" s="21" t="s">
        <v>3034</v>
      </c>
      <c r="O2951" s="21">
        <v>1985</v>
      </c>
      <c r="Q2951" s="21" t="s">
        <v>3086</v>
      </c>
      <c r="T2951" s="21">
        <v>-20</v>
      </c>
      <c r="U2951" s="21" t="s">
        <v>1147</v>
      </c>
      <c r="W2951" s="21"/>
      <c r="X2951" s="9" t="s">
        <v>3088</v>
      </c>
      <c r="Z2951" s="22">
        <v>8</v>
      </c>
      <c r="AD2951" s="22" t="s">
        <v>1165</v>
      </c>
      <c r="AF2951" s="24" t="s">
        <v>153</v>
      </c>
      <c r="AG2951" t="s">
        <v>1160</v>
      </c>
      <c r="AH2951">
        <f t="shared" si="31"/>
        <v>4320</v>
      </c>
      <c r="AI2951" s="21" t="s">
        <v>153</v>
      </c>
      <c r="AJ2951" s="21" t="s">
        <v>1148</v>
      </c>
      <c r="AK2951" s="21">
        <v>3</v>
      </c>
      <c r="AL2951" s="21" t="s">
        <v>1321</v>
      </c>
      <c r="AM2951" s="21"/>
      <c r="AN2951" s="21">
        <v>3</v>
      </c>
      <c r="AO2951" s="21">
        <v>50</v>
      </c>
      <c r="AP2951" s="21">
        <v>30</v>
      </c>
      <c r="AQ2951" s="22" t="s">
        <v>3016</v>
      </c>
      <c r="AR2951" s="21" t="s">
        <v>1298</v>
      </c>
      <c r="AS2951" t="s">
        <v>3085</v>
      </c>
    </row>
    <row r="2952" spans="1:45" x14ac:dyDescent="0.2">
      <c r="A2952" s="21" t="s">
        <v>1685</v>
      </c>
      <c r="B2952" s="21" t="s">
        <v>1146</v>
      </c>
      <c r="C2952" s="21" t="s">
        <v>1149</v>
      </c>
      <c r="D2952" s="21" t="s">
        <v>420</v>
      </c>
      <c r="E2952" s="21" t="s">
        <v>3083</v>
      </c>
      <c r="G2952" s="21" t="s">
        <v>153</v>
      </c>
      <c r="H2952" s="21" t="s">
        <v>1165</v>
      </c>
      <c r="I2952" s="21" t="s">
        <v>3084</v>
      </c>
      <c r="J2952" s="21">
        <v>49.133333333333297</v>
      </c>
      <c r="K2952">
        <v>-122.75</v>
      </c>
      <c r="L2952">
        <v>1415</v>
      </c>
      <c r="M2952" s="21" t="s">
        <v>3034</v>
      </c>
      <c r="O2952" s="21">
        <v>1985</v>
      </c>
      <c r="Q2952" s="21" t="s">
        <v>3086</v>
      </c>
      <c r="T2952" s="21">
        <v>-20</v>
      </c>
      <c r="U2952" s="21" t="s">
        <v>1147</v>
      </c>
      <c r="W2952" s="21"/>
      <c r="X2952" s="9" t="s">
        <v>3088</v>
      </c>
      <c r="Z2952" s="22">
        <v>8</v>
      </c>
      <c r="AD2952" s="22" t="s">
        <v>1165</v>
      </c>
      <c r="AF2952" s="24" t="s">
        <v>153</v>
      </c>
      <c r="AG2952" t="s">
        <v>1160</v>
      </c>
      <c r="AH2952">
        <f t="shared" si="31"/>
        <v>4320</v>
      </c>
      <c r="AI2952" s="21" t="s">
        <v>153</v>
      </c>
      <c r="AJ2952" s="21" t="s">
        <v>1278</v>
      </c>
      <c r="AK2952" s="21">
        <v>0.5</v>
      </c>
      <c r="AL2952" s="21" t="s">
        <v>1321</v>
      </c>
      <c r="AM2952" s="21"/>
      <c r="AN2952" s="21">
        <v>3</v>
      </c>
      <c r="AO2952" s="21">
        <v>50</v>
      </c>
      <c r="AP2952" s="21">
        <v>30</v>
      </c>
      <c r="AQ2952" s="22" t="s">
        <v>3016</v>
      </c>
      <c r="AR2952" s="21" t="s">
        <v>1298</v>
      </c>
      <c r="AS2952" t="s">
        <v>3085</v>
      </c>
    </row>
    <row r="2953" spans="1:45" x14ac:dyDescent="0.2">
      <c r="A2953" s="21" t="s">
        <v>1685</v>
      </c>
      <c r="B2953" s="21" t="s">
        <v>1146</v>
      </c>
      <c r="C2953" s="21" t="s">
        <v>1149</v>
      </c>
      <c r="D2953" s="21" t="s">
        <v>420</v>
      </c>
      <c r="E2953" s="21" t="s">
        <v>3083</v>
      </c>
      <c r="G2953" s="21" t="s">
        <v>153</v>
      </c>
      <c r="H2953" s="21" t="s">
        <v>1165</v>
      </c>
      <c r="I2953" s="21" t="s">
        <v>3084</v>
      </c>
      <c r="J2953" s="21">
        <v>49.133333333333297</v>
      </c>
      <c r="K2953">
        <v>-122.75</v>
      </c>
      <c r="L2953">
        <v>1415</v>
      </c>
      <c r="M2953" s="21" t="s">
        <v>3034</v>
      </c>
      <c r="O2953" s="21">
        <v>1985</v>
      </c>
      <c r="Q2953" s="21" t="s">
        <v>3086</v>
      </c>
      <c r="T2953" s="21">
        <v>-20</v>
      </c>
      <c r="U2953" s="21" t="s">
        <v>1147</v>
      </c>
      <c r="W2953" s="21"/>
      <c r="X2953" s="9" t="s">
        <v>3088</v>
      </c>
      <c r="Z2953" s="22">
        <v>8</v>
      </c>
      <c r="AD2953" s="22" t="s">
        <v>1165</v>
      </c>
      <c r="AF2953" s="24" t="s">
        <v>153</v>
      </c>
      <c r="AG2953" t="s">
        <v>1160</v>
      </c>
      <c r="AH2953">
        <f t="shared" si="31"/>
        <v>4320</v>
      </c>
      <c r="AI2953" s="21" t="s">
        <v>153</v>
      </c>
      <c r="AJ2953" s="21" t="s">
        <v>1148</v>
      </c>
      <c r="AK2953" s="21">
        <v>3</v>
      </c>
      <c r="AL2953" s="21" t="s">
        <v>1321</v>
      </c>
      <c r="AM2953" s="21"/>
      <c r="AN2953" s="21">
        <v>3</v>
      </c>
      <c r="AO2953" s="21">
        <v>50</v>
      </c>
      <c r="AP2953" s="21">
        <v>30</v>
      </c>
      <c r="AQ2953" s="22" t="s">
        <v>3016</v>
      </c>
      <c r="AR2953" s="21" t="s">
        <v>1298</v>
      </c>
      <c r="AS2953" t="s">
        <v>3085</v>
      </c>
    </row>
    <row r="2954" spans="1:45" x14ac:dyDescent="0.2">
      <c r="A2954" s="21" t="s">
        <v>1685</v>
      </c>
      <c r="B2954" s="21" t="s">
        <v>1146</v>
      </c>
      <c r="C2954" s="21" t="s">
        <v>1149</v>
      </c>
      <c r="D2954" s="21" t="s">
        <v>420</v>
      </c>
      <c r="E2954" s="21" t="s">
        <v>3083</v>
      </c>
      <c r="G2954" s="21" t="s">
        <v>153</v>
      </c>
      <c r="H2954" s="21" t="s">
        <v>1165</v>
      </c>
      <c r="I2954" s="21" t="s">
        <v>3084</v>
      </c>
      <c r="J2954" s="21">
        <v>49.133333333333297</v>
      </c>
      <c r="K2954">
        <v>-122.75</v>
      </c>
      <c r="L2954">
        <v>1415</v>
      </c>
      <c r="M2954" s="21" t="s">
        <v>3034</v>
      </c>
      <c r="O2954" s="21">
        <v>1985</v>
      </c>
      <c r="Q2954" s="21" t="s">
        <v>3086</v>
      </c>
      <c r="T2954" s="21">
        <v>-20</v>
      </c>
      <c r="U2954" s="21" t="s">
        <v>1147</v>
      </c>
      <c r="W2954" s="21"/>
      <c r="X2954" s="9" t="s">
        <v>3088</v>
      </c>
      <c r="Z2954" s="22">
        <v>8</v>
      </c>
      <c r="AD2954" s="22" t="s">
        <v>1165</v>
      </c>
      <c r="AF2954" s="24" t="s">
        <v>153</v>
      </c>
      <c r="AG2954" t="s">
        <v>1160</v>
      </c>
      <c r="AH2954">
        <f t="shared" si="31"/>
        <v>4320</v>
      </c>
      <c r="AI2954" s="21" t="s">
        <v>153</v>
      </c>
      <c r="AJ2954" s="21" t="s">
        <v>1278</v>
      </c>
      <c r="AK2954" s="21">
        <v>0.5</v>
      </c>
      <c r="AL2954" s="21" t="s">
        <v>1321</v>
      </c>
      <c r="AM2954" s="21"/>
      <c r="AN2954" s="21">
        <v>3</v>
      </c>
      <c r="AO2954" s="21">
        <v>50</v>
      </c>
      <c r="AP2954" s="21">
        <v>30</v>
      </c>
      <c r="AQ2954" s="22" t="s">
        <v>3016</v>
      </c>
      <c r="AR2954" s="21" t="s">
        <v>1298</v>
      </c>
      <c r="AS2954" t="s">
        <v>3085</v>
      </c>
    </row>
    <row r="2955" spans="1:45" x14ac:dyDescent="0.2">
      <c r="A2955" s="21" t="s">
        <v>1685</v>
      </c>
      <c r="B2955" s="21" t="s">
        <v>1146</v>
      </c>
      <c r="C2955" s="21" t="s">
        <v>1149</v>
      </c>
      <c r="D2955" s="21" t="s">
        <v>420</v>
      </c>
      <c r="E2955" s="21" t="s">
        <v>3093</v>
      </c>
      <c r="G2955" s="21" t="s">
        <v>153</v>
      </c>
      <c r="H2955" s="21" t="s">
        <v>1165</v>
      </c>
      <c r="I2955" s="21" t="s">
        <v>3087</v>
      </c>
      <c r="J2955" s="21">
        <v>55.266666666666602</v>
      </c>
      <c r="K2955">
        <v>-128.4</v>
      </c>
      <c r="L2955">
        <v>1100</v>
      </c>
      <c r="M2955" s="21" t="s">
        <v>3034</v>
      </c>
      <c r="O2955" s="21">
        <v>1992</v>
      </c>
      <c r="Q2955" s="21" t="s">
        <v>3086</v>
      </c>
      <c r="T2955" s="21">
        <v>-20</v>
      </c>
      <c r="U2955" s="21" t="s">
        <v>1218</v>
      </c>
      <c r="V2955" s="9" t="s">
        <v>1247</v>
      </c>
      <c r="W2955" s="21">
        <v>28</v>
      </c>
      <c r="X2955" s="9" t="s">
        <v>3088</v>
      </c>
      <c r="Z2955" s="22">
        <v>8</v>
      </c>
      <c r="AD2955" s="22" t="s">
        <v>1165</v>
      </c>
      <c r="AF2955" s="24" t="s">
        <v>153</v>
      </c>
      <c r="AG2955" t="s">
        <v>1160</v>
      </c>
      <c r="AH2955">
        <f t="shared" si="31"/>
        <v>4320</v>
      </c>
      <c r="AI2955" s="21" t="s">
        <v>153</v>
      </c>
      <c r="AJ2955" s="21" t="s">
        <v>1148</v>
      </c>
      <c r="AK2955" s="21">
        <v>41</v>
      </c>
      <c r="AL2955" s="21" t="s">
        <v>1321</v>
      </c>
      <c r="AN2955" s="21">
        <v>3</v>
      </c>
      <c r="AO2955" s="21">
        <v>50</v>
      </c>
      <c r="AP2955" s="21">
        <v>30</v>
      </c>
      <c r="AQ2955" s="22" t="s">
        <v>3016</v>
      </c>
      <c r="AR2955" s="21" t="s">
        <v>1298</v>
      </c>
      <c r="AS2955" t="s">
        <v>3085</v>
      </c>
    </row>
    <row r="2956" spans="1:45" x14ac:dyDescent="0.2">
      <c r="A2956" s="21" t="s">
        <v>1685</v>
      </c>
      <c r="B2956" s="21" t="s">
        <v>1146</v>
      </c>
      <c r="C2956" s="21" t="s">
        <v>1149</v>
      </c>
      <c r="D2956" s="21" t="s">
        <v>420</v>
      </c>
      <c r="E2956" s="21" t="s">
        <v>3093</v>
      </c>
      <c r="G2956" s="21" t="s">
        <v>153</v>
      </c>
      <c r="H2956" s="21" t="s">
        <v>1165</v>
      </c>
      <c r="I2956" s="21" t="s">
        <v>3087</v>
      </c>
      <c r="J2956" s="21">
        <v>55.266666666666602</v>
      </c>
      <c r="K2956">
        <v>-128.4</v>
      </c>
      <c r="L2956">
        <v>1100</v>
      </c>
      <c r="M2956" s="21" t="s">
        <v>3034</v>
      </c>
      <c r="O2956" s="21">
        <v>1992</v>
      </c>
      <c r="Q2956" s="21" t="s">
        <v>3086</v>
      </c>
      <c r="T2956" s="21">
        <v>-20</v>
      </c>
      <c r="U2956" s="21" t="s">
        <v>1218</v>
      </c>
      <c r="V2956" s="9" t="s">
        <v>1247</v>
      </c>
      <c r="W2956" s="21">
        <v>28</v>
      </c>
      <c r="X2956" s="9" t="s">
        <v>3088</v>
      </c>
      <c r="Z2956" s="22">
        <v>8</v>
      </c>
      <c r="AD2956" s="22" t="s">
        <v>1165</v>
      </c>
      <c r="AF2956" s="24" t="s">
        <v>153</v>
      </c>
      <c r="AG2956" t="s">
        <v>1160</v>
      </c>
      <c r="AH2956">
        <f t="shared" si="31"/>
        <v>4320</v>
      </c>
      <c r="AI2956" s="21" t="s">
        <v>153</v>
      </c>
      <c r="AJ2956" s="21" t="s">
        <v>1278</v>
      </c>
      <c r="AK2956" s="21">
        <v>12</v>
      </c>
      <c r="AL2956" s="21" t="s">
        <v>1321</v>
      </c>
      <c r="AN2956" s="21">
        <v>3</v>
      </c>
      <c r="AO2956" s="21">
        <v>50</v>
      </c>
      <c r="AP2956" s="21">
        <v>30</v>
      </c>
      <c r="AQ2956" s="22" t="s">
        <v>3016</v>
      </c>
      <c r="AR2956" s="21" t="s">
        <v>1298</v>
      </c>
      <c r="AS2956" t="s">
        <v>3085</v>
      </c>
    </row>
    <row r="2957" spans="1:45" x14ac:dyDescent="0.2">
      <c r="A2957" s="21" t="s">
        <v>1685</v>
      </c>
      <c r="B2957" s="21" t="s">
        <v>1146</v>
      </c>
      <c r="C2957" s="21" t="s">
        <v>1149</v>
      </c>
      <c r="D2957" s="21" t="s">
        <v>420</v>
      </c>
      <c r="E2957" s="21" t="s">
        <v>3093</v>
      </c>
      <c r="G2957" s="21" t="s">
        <v>153</v>
      </c>
      <c r="H2957" s="21" t="s">
        <v>1165</v>
      </c>
      <c r="I2957" s="21" t="s">
        <v>3087</v>
      </c>
      <c r="J2957" s="21">
        <v>55.266666666666602</v>
      </c>
      <c r="K2957">
        <v>-128.4</v>
      </c>
      <c r="L2957">
        <v>1100</v>
      </c>
      <c r="M2957" s="21" t="s">
        <v>3034</v>
      </c>
      <c r="O2957" s="21">
        <v>1992</v>
      </c>
      <c r="Q2957" s="21" t="s">
        <v>3086</v>
      </c>
      <c r="T2957" s="21">
        <v>-20</v>
      </c>
      <c r="U2957" s="21" t="s">
        <v>1218</v>
      </c>
      <c r="V2957" s="9" t="s">
        <v>1247</v>
      </c>
      <c r="W2957" s="21">
        <v>56</v>
      </c>
      <c r="X2957" s="9" t="s">
        <v>3088</v>
      </c>
      <c r="Z2957" s="22">
        <v>8</v>
      </c>
      <c r="AD2957" s="22" t="s">
        <v>1165</v>
      </c>
      <c r="AF2957" s="24" t="s">
        <v>153</v>
      </c>
      <c r="AG2957" t="s">
        <v>1160</v>
      </c>
      <c r="AH2957">
        <f t="shared" si="31"/>
        <v>4320</v>
      </c>
      <c r="AI2957" s="21" t="s">
        <v>153</v>
      </c>
      <c r="AJ2957" s="21" t="s">
        <v>1148</v>
      </c>
      <c r="AK2957" s="21">
        <v>58</v>
      </c>
      <c r="AL2957" s="21" t="s">
        <v>1321</v>
      </c>
      <c r="AN2957" s="21">
        <v>3</v>
      </c>
      <c r="AO2957" s="21">
        <v>50</v>
      </c>
      <c r="AP2957" s="21">
        <v>30</v>
      </c>
      <c r="AQ2957" s="22" t="s">
        <v>3016</v>
      </c>
      <c r="AR2957" s="21" t="s">
        <v>1298</v>
      </c>
      <c r="AS2957" t="s">
        <v>3085</v>
      </c>
    </row>
    <row r="2958" spans="1:45" x14ac:dyDescent="0.2">
      <c r="A2958" s="21" t="s">
        <v>1685</v>
      </c>
      <c r="B2958" s="21" t="s">
        <v>1146</v>
      </c>
      <c r="C2958" s="21" t="s">
        <v>1149</v>
      </c>
      <c r="D2958" s="21" t="s">
        <v>420</v>
      </c>
      <c r="E2958" s="21" t="s">
        <v>3093</v>
      </c>
      <c r="G2958" s="21" t="s">
        <v>153</v>
      </c>
      <c r="H2958" s="21" t="s">
        <v>1165</v>
      </c>
      <c r="I2958" s="21" t="s">
        <v>3087</v>
      </c>
      <c r="J2958" s="21">
        <v>55.266666666666602</v>
      </c>
      <c r="K2958">
        <v>-128.4</v>
      </c>
      <c r="L2958">
        <v>1100</v>
      </c>
      <c r="M2958" s="21" t="s">
        <v>3034</v>
      </c>
      <c r="O2958" s="21">
        <v>1992</v>
      </c>
      <c r="Q2958" s="21" t="s">
        <v>3086</v>
      </c>
      <c r="T2958" s="21">
        <v>-20</v>
      </c>
      <c r="U2958" s="21" t="s">
        <v>1218</v>
      </c>
      <c r="V2958" s="9" t="s">
        <v>1247</v>
      </c>
      <c r="W2958" s="21">
        <v>56</v>
      </c>
      <c r="X2958" s="9" t="s">
        <v>3088</v>
      </c>
      <c r="Z2958" s="22">
        <v>8</v>
      </c>
      <c r="AD2958" s="22" t="s">
        <v>1165</v>
      </c>
      <c r="AF2958" s="24" t="s">
        <v>153</v>
      </c>
      <c r="AG2958" t="s">
        <v>1160</v>
      </c>
      <c r="AH2958">
        <f t="shared" si="31"/>
        <v>4320</v>
      </c>
      <c r="AI2958" s="21" t="s">
        <v>153</v>
      </c>
      <c r="AJ2958" s="21" t="s">
        <v>1278</v>
      </c>
      <c r="AK2958" s="21">
        <v>35</v>
      </c>
      <c r="AL2958" s="21" t="s">
        <v>1321</v>
      </c>
      <c r="AN2958" s="21">
        <v>3</v>
      </c>
      <c r="AO2958" s="21">
        <v>50</v>
      </c>
      <c r="AP2958" s="21">
        <v>30</v>
      </c>
      <c r="AQ2958" s="22" t="s">
        <v>3016</v>
      </c>
      <c r="AR2958" s="21" t="s">
        <v>1298</v>
      </c>
      <c r="AS2958" t="s">
        <v>3085</v>
      </c>
    </row>
    <row r="2959" spans="1:45" x14ac:dyDescent="0.2">
      <c r="A2959" s="21" t="s">
        <v>1685</v>
      </c>
      <c r="B2959" s="21" t="s">
        <v>1146</v>
      </c>
      <c r="C2959" s="21" t="s">
        <v>1149</v>
      </c>
      <c r="D2959" s="21" t="s">
        <v>420</v>
      </c>
      <c r="E2959" s="21" t="s">
        <v>3093</v>
      </c>
      <c r="G2959" s="21" t="s">
        <v>153</v>
      </c>
      <c r="H2959" s="21" t="s">
        <v>1165</v>
      </c>
      <c r="I2959" s="21" t="s">
        <v>3087</v>
      </c>
      <c r="J2959" s="21">
        <v>55.266666666666602</v>
      </c>
      <c r="K2959">
        <v>-128.4</v>
      </c>
      <c r="L2959">
        <v>1100</v>
      </c>
      <c r="M2959" s="21" t="s">
        <v>3034</v>
      </c>
      <c r="O2959" s="21">
        <v>1992</v>
      </c>
      <c r="Q2959" s="21" t="s">
        <v>3086</v>
      </c>
      <c r="T2959" s="21">
        <v>-20</v>
      </c>
      <c r="U2959" s="21" t="s">
        <v>1218</v>
      </c>
      <c r="V2959" s="9" t="s">
        <v>1247</v>
      </c>
      <c r="W2959" s="21">
        <f>7*12</f>
        <v>84</v>
      </c>
      <c r="X2959" s="9" t="s">
        <v>3088</v>
      </c>
      <c r="Z2959" s="22">
        <v>8</v>
      </c>
      <c r="AD2959" s="22" t="s">
        <v>1165</v>
      </c>
      <c r="AF2959" s="24" t="s">
        <v>153</v>
      </c>
      <c r="AG2959" t="s">
        <v>1160</v>
      </c>
      <c r="AH2959">
        <f t="shared" si="31"/>
        <v>4320</v>
      </c>
      <c r="AI2959" s="21" t="s">
        <v>153</v>
      </c>
      <c r="AJ2959" s="21" t="s">
        <v>1148</v>
      </c>
      <c r="AK2959" s="21">
        <v>63</v>
      </c>
      <c r="AL2959" s="21" t="s">
        <v>1321</v>
      </c>
      <c r="AN2959" s="21">
        <v>3</v>
      </c>
      <c r="AO2959" s="21">
        <v>50</v>
      </c>
      <c r="AP2959" s="21">
        <v>30</v>
      </c>
      <c r="AQ2959" s="22" t="s">
        <v>3016</v>
      </c>
      <c r="AR2959" s="21" t="s">
        <v>1298</v>
      </c>
      <c r="AS2959" t="s">
        <v>3085</v>
      </c>
    </row>
    <row r="2960" spans="1:45" x14ac:dyDescent="0.2">
      <c r="A2960" s="21" t="s">
        <v>1685</v>
      </c>
      <c r="B2960" s="21" t="s">
        <v>1146</v>
      </c>
      <c r="C2960" s="21" t="s">
        <v>1149</v>
      </c>
      <c r="D2960" s="21" t="s">
        <v>420</v>
      </c>
      <c r="E2960" s="21" t="s">
        <v>3093</v>
      </c>
      <c r="G2960" s="21" t="s">
        <v>153</v>
      </c>
      <c r="H2960" s="21" t="s">
        <v>1165</v>
      </c>
      <c r="I2960" s="21" t="s">
        <v>3087</v>
      </c>
      <c r="J2960" s="21">
        <v>55.266666666666602</v>
      </c>
      <c r="K2960">
        <v>-128.4</v>
      </c>
      <c r="L2960">
        <v>1100</v>
      </c>
      <c r="M2960" s="21" t="s">
        <v>3034</v>
      </c>
      <c r="O2960" s="21">
        <v>1992</v>
      </c>
      <c r="Q2960" s="21" t="s">
        <v>3086</v>
      </c>
      <c r="T2960" s="21">
        <v>-20</v>
      </c>
      <c r="U2960" s="21" t="s">
        <v>1218</v>
      </c>
      <c r="V2960" s="9" t="s">
        <v>1247</v>
      </c>
      <c r="W2960" s="21">
        <v>84</v>
      </c>
      <c r="X2960" s="9" t="s">
        <v>3088</v>
      </c>
      <c r="Z2960" s="22">
        <v>8</v>
      </c>
      <c r="AD2960" s="22" t="s">
        <v>1165</v>
      </c>
      <c r="AF2960" s="24" t="s">
        <v>153</v>
      </c>
      <c r="AG2960" t="s">
        <v>1160</v>
      </c>
      <c r="AH2960">
        <f t="shared" si="31"/>
        <v>4320</v>
      </c>
      <c r="AI2960" s="21" t="s">
        <v>153</v>
      </c>
      <c r="AJ2960" s="21" t="s">
        <v>1278</v>
      </c>
      <c r="AK2960" s="21">
        <v>28</v>
      </c>
      <c r="AL2960" s="21" t="s">
        <v>1321</v>
      </c>
      <c r="AN2960" s="21">
        <v>3</v>
      </c>
      <c r="AO2960" s="21">
        <v>50</v>
      </c>
      <c r="AP2960" s="21">
        <v>30</v>
      </c>
      <c r="AQ2960" s="22" t="s">
        <v>3016</v>
      </c>
      <c r="AR2960" s="21" t="s">
        <v>1298</v>
      </c>
      <c r="AS2960" t="s">
        <v>3085</v>
      </c>
    </row>
    <row r="2961" spans="1:45" x14ac:dyDescent="0.2">
      <c r="A2961" s="21" t="s">
        <v>1685</v>
      </c>
      <c r="B2961" s="21" t="s">
        <v>1146</v>
      </c>
      <c r="C2961" s="21" t="s">
        <v>1149</v>
      </c>
      <c r="D2961" s="21" t="s">
        <v>420</v>
      </c>
      <c r="E2961" s="21" t="s">
        <v>3093</v>
      </c>
      <c r="G2961" s="21" t="s">
        <v>153</v>
      </c>
      <c r="H2961" s="21" t="s">
        <v>1165</v>
      </c>
      <c r="I2961" s="21" t="s">
        <v>3087</v>
      </c>
      <c r="J2961" s="21">
        <v>55.266666666666602</v>
      </c>
      <c r="K2961">
        <v>-128.4</v>
      </c>
      <c r="L2961">
        <v>1100</v>
      </c>
      <c r="M2961" s="21" t="s">
        <v>3034</v>
      </c>
      <c r="O2961" s="21">
        <v>1992</v>
      </c>
      <c r="Q2961" s="21" t="s">
        <v>3086</v>
      </c>
      <c r="T2961" s="21">
        <v>-20</v>
      </c>
      <c r="U2961" s="21" t="s">
        <v>1218</v>
      </c>
      <c r="V2961" s="9" t="s">
        <v>1247</v>
      </c>
      <c r="W2961" s="21">
        <v>28</v>
      </c>
      <c r="X2961" s="9" t="s">
        <v>3088</v>
      </c>
      <c r="Y2961" t="s">
        <v>3097</v>
      </c>
      <c r="Z2961" s="22">
        <v>8</v>
      </c>
      <c r="AD2961" s="22" t="s">
        <v>1165</v>
      </c>
      <c r="AF2961" s="24" t="s">
        <v>153</v>
      </c>
      <c r="AG2961" t="s">
        <v>1160</v>
      </c>
      <c r="AH2961">
        <f t="shared" si="31"/>
        <v>4320</v>
      </c>
      <c r="AI2961" s="21" t="s">
        <v>153</v>
      </c>
      <c r="AJ2961" s="21" t="s">
        <v>1148</v>
      </c>
      <c r="AK2961" s="21">
        <v>65</v>
      </c>
      <c r="AL2961" s="21" t="s">
        <v>1321</v>
      </c>
      <c r="AM2961" s="21"/>
      <c r="AN2961" s="21">
        <v>3</v>
      </c>
      <c r="AO2961" s="21">
        <v>50</v>
      </c>
      <c r="AP2961" s="21">
        <v>30</v>
      </c>
      <c r="AQ2961" s="22" t="s">
        <v>3016</v>
      </c>
      <c r="AR2961" s="21" t="s">
        <v>1298</v>
      </c>
      <c r="AS2961" t="s">
        <v>3085</v>
      </c>
    </row>
    <row r="2962" spans="1:45" x14ac:dyDescent="0.2">
      <c r="A2962" s="21" t="s">
        <v>1685</v>
      </c>
      <c r="B2962" s="21" t="s">
        <v>1146</v>
      </c>
      <c r="C2962" s="21" t="s">
        <v>1149</v>
      </c>
      <c r="D2962" s="21" t="s">
        <v>420</v>
      </c>
      <c r="E2962" s="21" t="s">
        <v>3093</v>
      </c>
      <c r="G2962" s="21" t="s">
        <v>153</v>
      </c>
      <c r="H2962" s="21" t="s">
        <v>1165</v>
      </c>
      <c r="I2962" s="21" t="s">
        <v>3087</v>
      </c>
      <c r="J2962" s="21">
        <v>55.266666666666602</v>
      </c>
      <c r="K2962">
        <v>-128.4</v>
      </c>
      <c r="L2962">
        <v>1100</v>
      </c>
      <c r="M2962" s="21" t="s">
        <v>3034</v>
      </c>
      <c r="O2962" s="21">
        <v>1992</v>
      </c>
      <c r="Q2962" s="21" t="s">
        <v>3086</v>
      </c>
      <c r="T2962" s="21">
        <v>-20</v>
      </c>
      <c r="U2962" s="21" t="s">
        <v>1218</v>
      </c>
      <c r="V2962" s="9" t="s">
        <v>1247</v>
      </c>
      <c r="W2962" s="21">
        <v>28</v>
      </c>
      <c r="X2962" s="9" t="s">
        <v>3088</v>
      </c>
      <c r="Y2962" t="s">
        <v>3097</v>
      </c>
      <c r="Z2962" s="22">
        <v>8</v>
      </c>
      <c r="AD2962" s="22" t="s">
        <v>1165</v>
      </c>
      <c r="AF2962" s="24" t="s">
        <v>153</v>
      </c>
      <c r="AG2962" t="s">
        <v>1160</v>
      </c>
      <c r="AH2962">
        <f t="shared" si="31"/>
        <v>4320</v>
      </c>
      <c r="AI2962" s="21" t="s">
        <v>153</v>
      </c>
      <c r="AJ2962" s="21" t="s">
        <v>1278</v>
      </c>
      <c r="AK2962" s="21">
        <v>28</v>
      </c>
      <c r="AL2962" s="21" t="s">
        <v>1321</v>
      </c>
      <c r="AM2962" s="21"/>
      <c r="AN2962" s="21">
        <v>3</v>
      </c>
      <c r="AO2962" s="21">
        <v>50</v>
      </c>
      <c r="AP2962" s="21">
        <v>30</v>
      </c>
      <c r="AQ2962" s="22" t="s">
        <v>3016</v>
      </c>
      <c r="AR2962" s="21" t="s">
        <v>1298</v>
      </c>
      <c r="AS2962" t="s">
        <v>3085</v>
      </c>
    </row>
    <row r="2963" spans="1:45" x14ac:dyDescent="0.2">
      <c r="A2963" s="21" t="s">
        <v>1685</v>
      </c>
      <c r="B2963" s="21" t="s">
        <v>1146</v>
      </c>
      <c r="C2963" s="21" t="s">
        <v>1149</v>
      </c>
      <c r="D2963" s="21" t="s">
        <v>420</v>
      </c>
      <c r="E2963" s="21" t="s">
        <v>3093</v>
      </c>
      <c r="G2963" s="21" t="s">
        <v>153</v>
      </c>
      <c r="H2963" s="21" t="s">
        <v>1165</v>
      </c>
      <c r="I2963" s="21" t="s">
        <v>3087</v>
      </c>
      <c r="J2963" s="21">
        <v>55.266666666666602</v>
      </c>
      <c r="K2963">
        <v>-128.4</v>
      </c>
      <c r="L2963">
        <v>1100</v>
      </c>
      <c r="M2963" s="21" t="s">
        <v>3034</v>
      </c>
      <c r="O2963" s="21">
        <v>1992</v>
      </c>
      <c r="Q2963" s="21" t="s">
        <v>3086</v>
      </c>
      <c r="T2963" s="21">
        <v>-20</v>
      </c>
      <c r="U2963" s="21" t="s">
        <v>1218</v>
      </c>
      <c r="V2963" s="9" t="s">
        <v>1247</v>
      </c>
      <c r="W2963" s="21">
        <v>56</v>
      </c>
      <c r="X2963" s="9" t="s">
        <v>3088</v>
      </c>
      <c r="Y2963" t="s">
        <v>3097</v>
      </c>
      <c r="Z2963" s="22">
        <v>8</v>
      </c>
      <c r="AD2963" s="22" t="s">
        <v>1165</v>
      </c>
      <c r="AF2963" s="24" t="s">
        <v>153</v>
      </c>
      <c r="AG2963" t="s">
        <v>1160</v>
      </c>
      <c r="AH2963">
        <f t="shared" si="31"/>
        <v>4320</v>
      </c>
      <c r="AI2963" s="21" t="s">
        <v>153</v>
      </c>
      <c r="AJ2963" s="21" t="s">
        <v>1148</v>
      </c>
      <c r="AK2963" s="21">
        <v>74</v>
      </c>
      <c r="AL2963" s="21" t="s">
        <v>1321</v>
      </c>
      <c r="AM2963" s="21"/>
      <c r="AN2963" s="21">
        <v>3</v>
      </c>
      <c r="AO2963" s="21">
        <v>50</v>
      </c>
      <c r="AP2963" s="21">
        <v>30</v>
      </c>
      <c r="AQ2963" s="22" t="s">
        <v>3016</v>
      </c>
      <c r="AR2963" s="21" t="s">
        <v>1298</v>
      </c>
      <c r="AS2963" t="s">
        <v>3085</v>
      </c>
    </row>
    <row r="2964" spans="1:45" x14ac:dyDescent="0.2">
      <c r="A2964" s="21" t="s">
        <v>1685</v>
      </c>
      <c r="B2964" s="21" t="s">
        <v>1146</v>
      </c>
      <c r="C2964" s="21" t="s">
        <v>1149</v>
      </c>
      <c r="D2964" s="21" t="s">
        <v>420</v>
      </c>
      <c r="E2964" s="21" t="s">
        <v>3093</v>
      </c>
      <c r="G2964" s="21" t="s">
        <v>153</v>
      </c>
      <c r="H2964" s="21" t="s">
        <v>1165</v>
      </c>
      <c r="I2964" s="21" t="s">
        <v>3087</v>
      </c>
      <c r="J2964" s="21">
        <v>55.266666666666602</v>
      </c>
      <c r="K2964">
        <v>-128.4</v>
      </c>
      <c r="L2964">
        <v>1100</v>
      </c>
      <c r="M2964" s="21" t="s">
        <v>3034</v>
      </c>
      <c r="O2964" s="21">
        <v>1992</v>
      </c>
      <c r="Q2964" s="21" t="s">
        <v>3086</v>
      </c>
      <c r="T2964" s="21">
        <v>-20</v>
      </c>
      <c r="U2964" s="21" t="s">
        <v>1218</v>
      </c>
      <c r="V2964" s="9" t="s">
        <v>1247</v>
      </c>
      <c r="W2964" s="21">
        <v>56</v>
      </c>
      <c r="X2964" s="9" t="s">
        <v>3088</v>
      </c>
      <c r="Y2964" t="s">
        <v>3097</v>
      </c>
      <c r="Z2964" s="22">
        <v>8</v>
      </c>
      <c r="AD2964" s="22" t="s">
        <v>1165</v>
      </c>
      <c r="AF2964" s="24" t="s">
        <v>153</v>
      </c>
      <c r="AG2964" t="s">
        <v>1160</v>
      </c>
      <c r="AH2964">
        <f t="shared" si="31"/>
        <v>4320</v>
      </c>
      <c r="AI2964" s="21" t="s">
        <v>153</v>
      </c>
      <c r="AJ2964" s="21" t="s">
        <v>1278</v>
      </c>
      <c r="AK2964" s="21">
        <v>51</v>
      </c>
      <c r="AL2964" s="21" t="s">
        <v>1321</v>
      </c>
      <c r="AM2964" s="21"/>
      <c r="AN2964" s="21">
        <v>3</v>
      </c>
      <c r="AO2964" s="21">
        <v>50</v>
      </c>
      <c r="AP2964" s="21">
        <v>30</v>
      </c>
      <c r="AQ2964" s="22" t="s">
        <v>3016</v>
      </c>
      <c r="AR2964" s="21" t="s">
        <v>1298</v>
      </c>
      <c r="AS2964" t="s">
        <v>3085</v>
      </c>
    </row>
    <row r="2965" spans="1:45" x14ac:dyDescent="0.2">
      <c r="A2965" s="21" t="s">
        <v>1685</v>
      </c>
      <c r="B2965" s="21" t="s">
        <v>1146</v>
      </c>
      <c r="C2965" s="21" t="s">
        <v>1149</v>
      </c>
      <c r="D2965" s="21" t="s">
        <v>420</v>
      </c>
      <c r="E2965" s="21" t="s">
        <v>3093</v>
      </c>
      <c r="G2965" s="21" t="s">
        <v>153</v>
      </c>
      <c r="H2965" s="21" t="s">
        <v>1165</v>
      </c>
      <c r="I2965" s="21" t="s">
        <v>3087</v>
      </c>
      <c r="J2965" s="21">
        <v>55.266666666666602</v>
      </c>
      <c r="K2965">
        <v>-128.4</v>
      </c>
      <c r="L2965">
        <v>1100</v>
      </c>
      <c r="M2965" s="21" t="s">
        <v>3034</v>
      </c>
      <c r="O2965" s="21">
        <v>1992</v>
      </c>
      <c r="Q2965" s="21" t="s">
        <v>3086</v>
      </c>
      <c r="T2965" s="21">
        <v>-20</v>
      </c>
      <c r="U2965" s="21" t="s">
        <v>1218</v>
      </c>
      <c r="V2965" s="9" t="s">
        <v>1247</v>
      </c>
      <c r="W2965" s="21">
        <v>84</v>
      </c>
      <c r="X2965" s="9" t="s">
        <v>3088</v>
      </c>
      <c r="Y2965" t="s">
        <v>3097</v>
      </c>
      <c r="Z2965" s="22">
        <v>8</v>
      </c>
      <c r="AD2965" s="22" t="s">
        <v>1165</v>
      </c>
      <c r="AF2965" s="24" t="s">
        <v>153</v>
      </c>
      <c r="AG2965" t="s">
        <v>1160</v>
      </c>
      <c r="AH2965">
        <f t="shared" si="31"/>
        <v>4320</v>
      </c>
      <c r="AI2965" s="21" t="s">
        <v>153</v>
      </c>
      <c r="AJ2965" s="21" t="s">
        <v>1148</v>
      </c>
      <c r="AK2965" s="21">
        <v>63</v>
      </c>
      <c r="AL2965" s="21" t="s">
        <v>1321</v>
      </c>
      <c r="AM2965" s="21"/>
      <c r="AN2965" s="21">
        <v>3</v>
      </c>
      <c r="AO2965" s="21">
        <v>50</v>
      </c>
      <c r="AP2965" s="21">
        <v>30</v>
      </c>
      <c r="AQ2965" s="22" t="s">
        <v>3016</v>
      </c>
      <c r="AR2965" s="21" t="s">
        <v>1298</v>
      </c>
      <c r="AS2965" t="s">
        <v>3085</v>
      </c>
    </row>
    <row r="2966" spans="1:45" x14ac:dyDescent="0.2">
      <c r="A2966" s="21" t="s">
        <v>1685</v>
      </c>
      <c r="B2966" s="21" t="s">
        <v>1146</v>
      </c>
      <c r="C2966" s="21" t="s">
        <v>1149</v>
      </c>
      <c r="D2966" s="21" t="s">
        <v>420</v>
      </c>
      <c r="E2966" s="21" t="s">
        <v>3093</v>
      </c>
      <c r="G2966" s="21" t="s">
        <v>153</v>
      </c>
      <c r="H2966" s="21" t="s">
        <v>1165</v>
      </c>
      <c r="I2966" s="21" t="s">
        <v>3087</v>
      </c>
      <c r="J2966" s="21">
        <v>55.266666666666602</v>
      </c>
      <c r="K2966">
        <v>-128.4</v>
      </c>
      <c r="L2966">
        <v>1100</v>
      </c>
      <c r="M2966" s="21" t="s">
        <v>3034</v>
      </c>
      <c r="O2966" s="21">
        <v>1992</v>
      </c>
      <c r="Q2966" s="21" t="s">
        <v>3086</v>
      </c>
      <c r="T2966" s="21">
        <v>-20</v>
      </c>
      <c r="U2966" s="21" t="s">
        <v>1218</v>
      </c>
      <c r="V2966" s="9" t="s">
        <v>1247</v>
      </c>
      <c r="W2966" s="21">
        <v>84</v>
      </c>
      <c r="X2966" s="9" t="s">
        <v>3088</v>
      </c>
      <c r="Y2966" t="s">
        <v>3097</v>
      </c>
      <c r="Z2966" s="22">
        <v>8</v>
      </c>
      <c r="AD2966" s="22" t="s">
        <v>1165</v>
      </c>
      <c r="AF2966" s="24" t="s">
        <v>153</v>
      </c>
      <c r="AG2966" t="s">
        <v>1160</v>
      </c>
      <c r="AH2966">
        <f t="shared" si="31"/>
        <v>4320</v>
      </c>
      <c r="AI2966" s="21" t="s">
        <v>153</v>
      </c>
      <c r="AJ2966" s="21" t="s">
        <v>1278</v>
      </c>
      <c r="AK2966" s="21">
        <v>35</v>
      </c>
      <c r="AL2966" s="21" t="s">
        <v>1321</v>
      </c>
      <c r="AM2966" s="21"/>
      <c r="AN2966" s="21">
        <v>3</v>
      </c>
      <c r="AO2966" s="21">
        <v>50</v>
      </c>
      <c r="AP2966" s="21">
        <v>30</v>
      </c>
      <c r="AQ2966" s="22" t="s">
        <v>3016</v>
      </c>
      <c r="AR2966" s="21" t="s">
        <v>1298</v>
      </c>
      <c r="AS2966" t="s">
        <v>3085</v>
      </c>
    </row>
    <row r="2967" spans="1:45" x14ac:dyDescent="0.2">
      <c r="A2967" s="21" t="s">
        <v>1685</v>
      </c>
      <c r="B2967" s="21" t="s">
        <v>1146</v>
      </c>
      <c r="C2967" s="21" t="s">
        <v>1149</v>
      </c>
      <c r="D2967" s="21" t="s">
        <v>420</v>
      </c>
      <c r="E2967" s="21" t="s">
        <v>3093</v>
      </c>
      <c r="G2967" s="21" t="s">
        <v>153</v>
      </c>
      <c r="H2967" s="21" t="s">
        <v>1165</v>
      </c>
      <c r="I2967" s="21" t="s">
        <v>3087</v>
      </c>
      <c r="J2967" s="21">
        <v>55.266666666666602</v>
      </c>
      <c r="K2967">
        <v>-128.4</v>
      </c>
      <c r="L2967">
        <v>1100</v>
      </c>
      <c r="M2967" s="21" t="s">
        <v>3034</v>
      </c>
      <c r="O2967" s="21">
        <v>1992</v>
      </c>
      <c r="Q2967" s="21" t="s">
        <v>3086</v>
      </c>
      <c r="T2967" s="21">
        <v>-20</v>
      </c>
      <c r="U2967" s="21" t="s">
        <v>1218</v>
      </c>
      <c r="V2967" s="9" t="s">
        <v>1247</v>
      </c>
      <c r="W2967" s="21">
        <v>28</v>
      </c>
      <c r="X2967" s="9" t="s">
        <v>3088</v>
      </c>
      <c r="Y2967" t="s">
        <v>3098</v>
      </c>
      <c r="Z2967" s="22">
        <v>8</v>
      </c>
      <c r="AD2967" s="22" t="s">
        <v>1165</v>
      </c>
      <c r="AF2967" s="24" t="s">
        <v>153</v>
      </c>
      <c r="AG2967" t="s">
        <v>1160</v>
      </c>
      <c r="AH2967">
        <f t="shared" si="31"/>
        <v>4320</v>
      </c>
      <c r="AI2967" s="21" t="s">
        <v>153</v>
      </c>
      <c r="AJ2967" s="21" t="s">
        <v>1148</v>
      </c>
      <c r="AK2967" s="21">
        <v>63</v>
      </c>
      <c r="AL2967" s="21" t="s">
        <v>1321</v>
      </c>
      <c r="AM2967" s="21"/>
      <c r="AN2967" s="21">
        <v>3</v>
      </c>
      <c r="AO2967" s="21">
        <v>50</v>
      </c>
      <c r="AP2967" s="21">
        <v>30</v>
      </c>
      <c r="AQ2967" s="22" t="s">
        <v>3016</v>
      </c>
      <c r="AR2967" s="21" t="s">
        <v>1298</v>
      </c>
      <c r="AS2967" t="s">
        <v>3085</v>
      </c>
    </row>
    <row r="2968" spans="1:45" x14ac:dyDescent="0.2">
      <c r="A2968" s="21" t="s">
        <v>1685</v>
      </c>
      <c r="B2968" s="21" t="s">
        <v>1146</v>
      </c>
      <c r="C2968" s="21" t="s">
        <v>1149</v>
      </c>
      <c r="D2968" s="21" t="s">
        <v>420</v>
      </c>
      <c r="E2968" s="21" t="s">
        <v>3093</v>
      </c>
      <c r="G2968" s="21" t="s">
        <v>153</v>
      </c>
      <c r="H2968" s="21" t="s">
        <v>1165</v>
      </c>
      <c r="I2968" s="21" t="s">
        <v>3087</v>
      </c>
      <c r="J2968" s="21">
        <v>55.266666666666602</v>
      </c>
      <c r="K2968">
        <v>-128.4</v>
      </c>
      <c r="L2968">
        <v>1100</v>
      </c>
      <c r="M2968" s="21" t="s">
        <v>3034</v>
      </c>
      <c r="O2968" s="21">
        <v>1992</v>
      </c>
      <c r="Q2968" s="21" t="s">
        <v>3086</v>
      </c>
      <c r="T2968" s="21">
        <v>-20</v>
      </c>
      <c r="U2968" s="21" t="s">
        <v>1218</v>
      </c>
      <c r="V2968" s="9" t="s">
        <v>1247</v>
      </c>
      <c r="W2968" s="21">
        <v>28</v>
      </c>
      <c r="X2968" s="9" t="s">
        <v>3088</v>
      </c>
      <c r="Y2968" t="s">
        <v>3098</v>
      </c>
      <c r="Z2968" s="22">
        <v>8</v>
      </c>
      <c r="AD2968" s="22" t="s">
        <v>1165</v>
      </c>
      <c r="AF2968" s="24" t="s">
        <v>153</v>
      </c>
      <c r="AG2968" t="s">
        <v>1160</v>
      </c>
      <c r="AH2968">
        <f t="shared" si="31"/>
        <v>4320</v>
      </c>
      <c r="AI2968" s="21" t="s">
        <v>153</v>
      </c>
      <c r="AJ2968" s="21" t="s">
        <v>1278</v>
      </c>
      <c r="AK2968" s="21">
        <v>29</v>
      </c>
      <c r="AL2968" s="21" t="s">
        <v>1321</v>
      </c>
      <c r="AM2968" s="21"/>
      <c r="AN2968" s="21">
        <v>3</v>
      </c>
      <c r="AO2968" s="21">
        <v>50</v>
      </c>
      <c r="AP2968" s="21">
        <v>30</v>
      </c>
      <c r="AQ2968" s="22" t="s">
        <v>3016</v>
      </c>
      <c r="AR2968" s="21" t="s">
        <v>1298</v>
      </c>
      <c r="AS2968" t="s">
        <v>3085</v>
      </c>
    </row>
    <row r="2969" spans="1:45" x14ac:dyDescent="0.2">
      <c r="A2969" s="21" t="s">
        <v>1685</v>
      </c>
      <c r="B2969" s="21" t="s">
        <v>1146</v>
      </c>
      <c r="C2969" s="21" t="s">
        <v>1149</v>
      </c>
      <c r="D2969" s="21" t="s">
        <v>420</v>
      </c>
      <c r="E2969" s="21" t="s">
        <v>3093</v>
      </c>
      <c r="G2969" s="21" t="s">
        <v>153</v>
      </c>
      <c r="H2969" s="21" t="s">
        <v>1165</v>
      </c>
      <c r="I2969" s="21" t="s">
        <v>3087</v>
      </c>
      <c r="J2969" s="21">
        <v>55.266666666666602</v>
      </c>
      <c r="K2969">
        <v>-128.4</v>
      </c>
      <c r="L2969">
        <v>1100</v>
      </c>
      <c r="M2969" s="21" t="s">
        <v>3034</v>
      </c>
      <c r="O2969" s="21">
        <v>1992</v>
      </c>
      <c r="Q2969" s="21" t="s">
        <v>3086</v>
      </c>
      <c r="T2969" s="21">
        <v>-20</v>
      </c>
      <c r="U2969" s="21" t="s">
        <v>1218</v>
      </c>
      <c r="V2969" s="9" t="s">
        <v>1247</v>
      </c>
      <c r="W2969" s="21">
        <v>56</v>
      </c>
      <c r="X2969" s="9" t="s">
        <v>3088</v>
      </c>
      <c r="Y2969" t="s">
        <v>3098</v>
      </c>
      <c r="Z2969" s="22">
        <v>8</v>
      </c>
      <c r="AD2969" s="22" t="s">
        <v>1165</v>
      </c>
      <c r="AF2969" s="24" t="s">
        <v>153</v>
      </c>
      <c r="AG2969" t="s">
        <v>1160</v>
      </c>
      <c r="AH2969">
        <f t="shared" si="31"/>
        <v>4320</v>
      </c>
      <c r="AI2969" s="21" t="s">
        <v>153</v>
      </c>
      <c r="AJ2969" s="21" t="s">
        <v>1148</v>
      </c>
      <c r="AK2969" s="21">
        <v>83</v>
      </c>
      <c r="AL2969" s="21" t="s">
        <v>1321</v>
      </c>
      <c r="AM2969" s="21"/>
      <c r="AN2969" s="21">
        <v>3</v>
      </c>
      <c r="AO2969" s="21">
        <v>50</v>
      </c>
      <c r="AP2969" s="21">
        <v>30</v>
      </c>
      <c r="AQ2969" s="22" t="s">
        <v>3016</v>
      </c>
      <c r="AR2969" s="21" t="s">
        <v>1298</v>
      </c>
      <c r="AS2969" t="s">
        <v>3085</v>
      </c>
    </row>
    <row r="2970" spans="1:45" x14ac:dyDescent="0.2">
      <c r="A2970" s="21" t="s">
        <v>1685</v>
      </c>
      <c r="B2970" s="21" t="s">
        <v>1146</v>
      </c>
      <c r="C2970" s="21" t="s">
        <v>1149</v>
      </c>
      <c r="D2970" s="21" t="s">
        <v>420</v>
      </c>
      <c r="E2970" s="21" t="s">
        <v>3093</v>
      </c>
      <c r="G2970" s="21" t="s">
        <v>153</v>
      </c>
      <c r="H2970" s="21" t="s">
        <v>1165</v>
      </c>
      <c r="I2970" s="21" t="s">
        <v>3087</v>
      </c>
      <c r="J2970" s="21">
        <v>55.266666666666602</v>
      </c>
      <c r="K2970">
        <v>-128.4</v>
      </c>
      <c r="L2970">
        <v>1100</v>
      </c>
      <c r="M2970" s="21" t="s">
        <v>3034</v>
      </c>
      <c r="O2970" s="21">
        <v>1992</v>
      </c>
      <c r="Q2970" s="21" t="s">
        <v>3086</v>
      </c>
      <c r="T2970" s="21">
        <v>-20</v>
      </c>
      <c r="U2970" s="21" t="s">
        <v>1218</v>
      </c>
      <c r="V2970" s="9" t="s">
        <v>1247</v>
      </c>
      <c r="W2970" s="21">
        <v>56</v>
      </c>
      <c r="X2970" s="9" t="s">
        <v>3088</v>
      </c>
      <c r="Y2970" t="s">
        <v>3098</v>
      </c>
      <c r="Z2970" s="22">
        <v>8</v>
      </c>
      <c r="AD2970" s="22" t="s">
        <v>1165</v>
      </c>
      <c r="AF2970" s="24" t="s">
        <v>153</v>
      </c>
      <c r="AG2970" t="s">
        <v>1160</v>
      </c>
      <c r="AH2970">
        <f t="shared" si="31"/>
        <v>4320</v>
      </c>
      <c r="AI2970" s="21" t="s">
        <v>153</v>
      </c>
      <c r="AJ2970" s="21" t="s">
        <v>1278</v>
      </c>
      <c r="AK2970" s="21">
        <v>56</v>
      </c>
      <c r="AL2970" s="21" t="s">
        <v>1321</v>
      </c>
      <c r="AM2970" s="21"/>
      <c r="AN2970" s="21">
        <v>3</v>
      </c>
      <c r="AO2970" s="21">
        <v>50</v>
      </c>
      <c r="AP2970" s="21">
        <v>30</v>
      </c>
      <c r="AQ2970" s="22" t="s">
        <v>3016</v>
      </c>
      <c r="AR2970" s="21" t="s">
        <v>1298</v>
      </c>
      <c r="AS2970" t="s">
        <v>3085</v>
      </c>
    </row>
    <row r="2971" spans="1:45" x14ac:dyDescent="0.2">
      <c r="A2971" s="21" t="s">
        <v>1685</v>
      </c>
      <c r="B2971" s="21" t="s">
        <v>1146</v>
      </c>
      <c r="C2971" s="21" t="s">
        <v>1149</v>
      </c>
      <c r="D2971" s="21" t="s">
        <v>420</v>
      </c>
      <c r="E2971" s="21" t="s">
        <v>3093</v>
      </c>
      <c r="G2971" s="21" t="s">
        <v>153</v>
      </c>
      <c r="H2971" s="21" t="s">
        <v>1165</v>
      </c>
      <c r="I2971" s="21" t="s">
        <v>3087</v>
      </c>
      <c r="J2971" s="21">
        <v>55.266666666666602</v>
      </c>
      <c r="K2971">
        <v>-128.4</v>
      </c>
      <c r="L2971">
        <v>1100</v>
      </c>
      <c r="M2971" s="21" t="s">
        <v>3034</v>
      </c>
      <c r="O2971" s="21">
        <v>1992</v>
      </c>
      <c r="Q2971" s="21" t="s">
        <v>3086</v>
      </c>
      <c r="T2971" s="21">
        <v>-20</v>
      </c>
      <c r="U2971" s="21" t="s">
        <v>1218</v>
      </c>
      <c r="V2971" s="9" t="s">
        <v>1247</v>
      </c>
      <c r="W2971" s="21">
        <v>84</v>
      </c>
      <c r="X2971" s="9" t="s">
        <v>3088</v>
      </c>
      <c r="Y2971" t="s">
        <v>3098</v>
      </c>
      <c r="Z2971" s="22">
        <v>8</v>
      </c>
      <c r="AD2971" s="22" t="s">
        <v>1165</v>
      </c>
      <c r="AF2971" s="24" t="s">
        <v>153</v>
      </c>
      <c r="AG2971" t="s">
        <v>1160</v>
      </c>
      <c r="AH2971">
        <f t="shared" si="31"/>
        <v>4320</v>
      </c>
      <c r="AI2971" s="21" t="s">
        <v>153</v>
      </c>
      <c r="AJ2971" s="21" t="s">
        <v>1148</v>
      </c>
      <c r="AK2971" s="21">
        <v>70</v>
      </c>
      <c r="AL2971" s="21" t="s">
        <v>1321</v>
      </c>
      <c r="AM2971" s="21"/>
      <c r="AN2971" s="21">
        <v>3</v>
      </c>
      <c r="AO2971" s="21">
        <v>50</v>
      </c>
      <c r="AP2971" s="21">
        <v>30</v>
      </c>
      <c r="AQ2971" s="22" t="s">
        <v>3016</v>
      </c>
      <c r="AR2971" s="21" t="s">
        <v>1298</v>
      </c>
      <c r="AS2971" t="s">
        <v>3085</v>
      </c>
    </row>
    <row r="2972" spans="1:45" x14ac:dyDescent="0.2">
      <c r="A2972" s="21" t="s">
        <v>1685</v>
      </c>
      <c r="B2972" s="21" t="s">
        <v>1146</v>
      </c>
      <c r="C2972" s="21" t="s">
        <v>1149</v>
      </c>
      <c r="D2972" s="21" t="s">
        <v>420</v>
      </c>
      <c r="E2972" s="21" t="s">
        <v>3093</v>
      </c>
      <c r="G2972" s="21" t="s">
        <v>153</v>
      </c>
      <c r="H2972" s="21" t="s">
        <v>1165</v>
      </c>
      <c r="I2972" s="21" t="s">
        <v>3087</v>
      </c>
      <c r="J2972" s="21">
        <v>55.266666666666602</v>
      </c>
      <c r="K2972">
        <v>-128.4</v>
      </c>
      <c r="L2972">
        <v>1100</v>
      </c>
      <c r="M2972" s="21" t="s">
        <v>3034</v>
      </c>
      <c r="O2972" s="21">
        <v>1992</v>
      </c>
      <c r="Q2972" s="21" t="s">
        <v>3086</v>
      </c>
      <c r="T2972" s="21">
        <v>-20</v>
      </c>
      <c r="U2972" s="21" t="s">
        <v>1218</v>
      </c>
      <c r="V2972" s="9" t="s">
        <v>1247</v>
      </c>
      <c r="W2972" s="21">
        <v>84</v>
      </c>
      <c r="X2972" s="9" t="s">
        <v>3088</v>
      </c>
      <c r="Y2972" t="s">
        <v>3098</v>
      </c>
      <c r="Z2972" s="22">
        <v>8</v>
      </c>
      <c r="AD2972" s="22" t="s">
        <v>1165</v>
      </c>
      <c r="AF2972" s="24" t="s">
        <v>153</v>
      </c>
      <c r="AG2972" t="s">
        <v>1160</v>
      </c>
      <c r="AH2972">
        <f t="shared" si="31"/>
        <v>4320</v>
      </c>
      <c r="AI2972" s="21" t="s">
        <v>153</v>
      </c>
      <c r="AJ2972" s="21" t="s">
        <v>1278</v>
      </c>
      <c r="AK2972" s="21">
        <v>44</v>
      </c>
      <c r="AL2972" s="21" t="s">
        <v>1321</v>
      </c>
      <c r="AM2972" s="21"/>
      <c r="AN2972" s="21">
        <v>3</v>
      </c>
      <c r="AO2972" s="21">
        <v>50</v>
      </c>
      <c r="AP2972" s="21">
        <v>30</v>
      </c>
      <c r="AQ2972" s="22" t="s">
        <v>3016</v>
      </c>
      <c r="AR2972" s="21" t="s">
        <v>1298</v>
      </c>
      <c r="AS2972" t="s">
        <v>3085</v>
      </c>
    </row>
    <row r="2973" spans="1:45" x14ac:dyDescent="0.2">
      <c r="A2973" s="21" t="s">
        <v>1685</v>
      </c>
      <c r="B2973" s="21" t="s">
        <v>1146</v>
      </c>
      <c r="C2973" s="21" t="s">
        <v>1149</v>
      </c>
      <c r="D2973" s="21" t="s">
        <v>420</v>
      </c>
      <c r="E2973" s="21" t="s">
        <v>3093</v>
      </c>
      <c r="G2973" s="21" t="s">
        <v>153</v>
      </c>
      <c r="H2973" s="21" t="s">
        <v>1165</v>
      </c>
      <c r="I2973" s="21" t="s">
        <v>3087</v>
      </c>
      <c r="J2973" s="21">
        <v>55.266666666666602</v>
      </c>
      <c r="K2973">
        <v>-128.4</v>
      </c>
      <c r="L2973">
        <v>1100</v>
      </c>
      <c r="M2973" s="21" t="s">
        <v>3034</v>
      </c>
      <c r="O2973" s="21">
        <v>1992</v>
      </c>
      <c r="Q2973" s="21" t="s">
        <v>3086</v>
      </c>
      <c r="T2973" s="21">
        <v>-20</v>
      </c>
      <c r="U2973" s="21" t="s">
        <v>1218</v>
      </c>
      <c r="V2973" s="9" t="s">
        <v>1247</v>
      </c>
      <c r="W2973" s="21">
        <v>28</v>
      </c>
      <c r="X2973" s="9" t="s">
        <v>3088</v>
      </c>
      <c r="Y2973" t="s">
        <v>3099</v>
      </c>
      <c r="Z2973" s="22">
        <v>8</v>
      </c>
      <c r="AD2973" s="22" t="s">
        <v>1165</v>
      </c>
      <c r="AF2973" s="24" t="s">
        <v>153</v>
      </c>
      <c r="AG2973" t="s">
        <v>1160</v>
      </c>
      <c r="AH2973">
        <f t="shared" si="31"/>
        <v>4320</v>
      </c>
      <c r="AI2973" s="21" t="s">
        <v>153</v>
      </c>
      <c r="AJ2973" s="21" t="s">
        <v>1148</v>
      </c>
      <c r="AK2973" s="21">
        <v>51</v>
      </c>
      <c r="AL2973" s="21" t="s">
        <v>1321</v>
      </c>
      <c r="AM2973" s="21"/>
      <c r="AN2973" s="21">
        <v>3</v>
      </c>
      <c r="AO2973" s="21">
        <v>50</v>
      </c>
      <c r="AP2973" s="21">
        <v>30</v>
      </c>
      <c r="AQ2973" s="22" t="s">
        <v>3016</v>
      </c>
      <c r="AR2973" s="21" t="s">
        <v>1298</v>
      </c>
      <c r="AS2973" t="s">
        <v>3085</v>
      </c>
    </row>
    <row r="2974" spans="1:45" x14ac:dyDescent="0.2">
      <c r="A2974" s="21" t="s">
        <v>1685</v>
      </c>
      <c r="B2974" s="21" t="s">
        <v>1146</v>
      </c>
      <c r="C2974" s="21" t="s">
        <v>1149</v>
      </c>
      <c r="D2974" s="21" t="s">
        <v>420</v>
      </c>
      <c r="E2974" s="21" t="s">
        <v>3093</v>
      </c>
      <c r="G2974" s="21" t="s">
        <v>153</v>
      </c>
      <c r="H2974" s="21" t="s">
        <v>1165</v>
      </c>
      <c r="I2974" s="21" t="s">
        <v>3087</v>
      </c>
      <c r="J2974" s="21">
        <v>55.266666666666602</v>
      </c>
      <c r="K2974">
        <v>-128.4</v>
      </c>
      <c r="L2974">
        <v>1100</v>
      </c>
      <c r="M2974" s="21" t="s">
        <v>3034</v>
      </c>
      <c r="O2974" s="21">
        <v>1992</v>
      </c>
      <c r="Q2974" s="21" t="s">
        <v>3086</v>
      </c>
      <c r="T2974" s="21">
        <v>-20</v>
      </c>
      <c r="U2974" s="21" t="s">
        <v>1218</v>
      </c>
      <c r="V2974" s="9" t="s">
        <v>1247</v>
      </c>
      <c r="W2974" s="21">
        <v>28</v>
      </c>
      <c r="X2974" s="9" t="s">
        <v>3088</v>
      </c>
      <c r="Y2974" t="s">
        <v>3099</v>
      </c>
      <c r="Z2974" s="22">
        <v>8</v>
      </c>
      <c r="AD2974" s="22" t="s">
        <v>1165</v>
      </c>
      <c r="AF2974" s="24" t="s">
        <v>153</v>
      </c>
      <c r="AG2974" t="s">
        <v>1160</v>
      </c>
      <c r="AH2974">
        <f t="shared" si="31"/>
        <v>4320</v>
      </c>
      <c r="AI2974" s="21" t="s">
        <v>153</v>
      </c>
      <c r="AJ2974" s="21" t="s">
        <v>1278</v>
      </c>
      <c r="AK2974" s="21">
        <v>21</v>
      </c>
      <c r="AL2974" s="21" t="s">
        <v>1321</v>
      </c>
      <c r="AM2974" s="21"/>
      <c r="AN2974" s="21">
        <v>3</v>
      </c>
      <c r="AO2974" s="21">
        <v>50</v>
      </c>
      <c r="AP2974" s="21">
        <v>30</v>
      </c>
      <c r="AQ2974" s="22" t="s">
        <v>3016</v>
      </c>
      <c r="AR2974" s="21" t="s">
        <v>1298</v>
      </c>
      <c r="AS2974" t="s">
        <v>3085</v>
      </c>
    </row>
    <row r="2975" spans="1:45" x14ac:dyDescent="0.2">
      <c r="A2975" s="21" t="s">
        <v>1685</v>
      </c>
      <c r="B2975" s="21" t="s">
        <v>1146</v>
      </c>
      <c r="C2975" s="21" t="s">
        <v>1149</v>
      </c>
      <c r="D2975" s="21" t="s">
        <v>420</v>
      </c>
      <c r="E2975" s="21" t="s">
        <v>3093</v>
      </c>
      <c r="G2975" s="21" t="s">
        <v>153</v>
      </c>
      <c r="H2975" s="21" t="s">
        <v>1165</v>
      </c>
      <c r="I2975" s="21" t="s">
        <v>3087</v>
      </c>
      <c r="J2975" s="21">
        <v>55.266666666666602</v>
      </c>
      <c r="K2975">
        <v>-128.4</v>
      </c>
      <c r="L2975">
        <v>1100</v>
      </c>
      <c r="M2975" s="21" t="s">
        <v>3034</v>
      </c>
      <c r="O2975" s="21">
        <v>1992</v>
      </c>
      <c r="Q2975" s="21" t="s">
        <v>3086</v>
      </c>
      <c r="T2975" s="21">
        <v>-20</v>
      </c>
      <c r="U2975" s="21" t="s">
        <v>1218</v>
      </c>
      <c r="V2975" s="9" t="s">
        <v>1247</v>
      </c>
      <c r="W2975" s="21">
        <v>56</v>
      </c>
      <c r="X2975" s="9" t="s">
        <v>3088</v>
      </c>
      <c r="Y2975" t="s">
        <v>3099</v>
      </c>
      <c r="Z2975" s="22">
        <v>8</v>
      </c>
      <c r="AD2975" s="22" t="s">
        <v>1165</v>
      </c>
      <c r="AF2975" s="24" t="s">
        <v>153</v>
      </c>
      <c r="AG2975" t="s">
        <v>1160</v>
      </c>
      <c r="AH2975">
        <f t="shared" si="31"/>
        <v>4320</v>
      </c>
      <c r="AI2975" s="21" t="s">
        <v>153</v>
      </c>
      <c r="AJ2975" s="21" t="s">
        <v>1148</v>
      </c>
      <c r="AK2975" s="21">
        <v>71</v>
      </c>
      <c r="AL2975" s="21" t="s">
        <v>1321</v>
      </c>
      <c r="AM2975" s="21"/>
      <c r="AN2975" s="21">
        <v>3</v>
      </c>
      <c r="AO2975" s="21">
        <v>50</v>
      </c>
      <c r="AP2975" s="21">
        <v>30</v>
      </c>
      <c r="AQ2975" s="22" t="s">
        <v>3016</v>
      </c>
      <c r="AR2975" s="21" t="s">
        <v>1298</v>
      </c>
      <c r="AS2975" t="s">
        <v>3085</v>
      </c>
    </row>
    <row r="2976" spans="1:45" x14ac:dyDescent="0.2">
      <c r="A2976" s="21" t="s">
        <v>1685</v>
      </c>
      <c r="B2976" s="21" t="s">
        <v>1146</v>
      </c>
      <c r="C2976" s="21" t="s">
        <v>1149</v>
      </c>
      <c r="D2976" s="21" t="s">
        <v>420</v>
      </c>
      <c r="E2976" s="21" t="s">
        <v>3093</v>
      </c>
      <c r="G2976" s="21" t="s">
        <v>153</v>
      </c>
      <c r="H2976" s="21" t="s">
        <v>1165</v>
      </c>
      <c r="I2976" s="21" t="s">
        <v>3087</v>
      </c>
      <c r="J2976" s="21">
        <v>55.266666666666602</v>
      </c>
      <c r="K2976">
        <v>-128.4</v>
      </c>
      <c r="L2976">
        <v>1100</v>
      </c>
      <c r="M2976" s="21" t="s">
        <v>3034</v>
      </c>
      <c r="O2976" s="21">
        <v>1992</v>
      </c>
      <c r="Q2976" s="21" t="s">
        <v>3086</v>
      </c>
      <c r="T2976" s="21">
        <v>-20</v>
      </c>
      <c r="U2976" s="21" t="s">
        <v>1218</v>
      </c>
      <c r="V2976" s="9" t="s">
        <v>1247</v>
      </c>
      <c r="W2976" s="21">
        <v>56</v>
      </c>
      <c r="X2976" s="9" t="s">
        <v>3088</v>
      </c>
      <c r="Y2976" t="s">
        <v>3099</v>
      </c>
      <c r="Z2976" s="22">
        <v>8</v>
      </c>
      <c r="AD2976" s="22" t="s">
        <v>1165</v>
      </c>
      <c r="AF2976" s="24" t="s">
        <v>153</v>
      </c>
      <c r="AG2976" t="s">
        <v>1160</v>
      </c>
      <c r="AH2976">
        <f t="shared" si="31"/>
        <v>4320</v>
      </c>
      <c r="AI2976" s="21" t="s">
        <v>153</v>
      </c>
      <c r="AJ2976" s="21" t="s">
        <v>1278</v>
      </c>
      <c r="AK2976" s="21">
        <v>41</v>
      </c>
      <c r="AL2976" s="21" t="s">
        <v>1321</v>
      </c>
      <c r="AM2976" s="21"/>
      <c r="AN2976" s="21">
        <v>3</v>
      </c>
      <c r="AO2976" s="21">
        <v>50</v>
      </c>
      <c r="AP2976" s="21">
        <v>30</v>
      </c>
      <c r="AQ2976" s="22" t="s">
        <v>3016</v>
      </c>
      <c r="AR2976" s="21" t="s">
        <v>1298</v>
      </c>
      <c r="AS2976" t="s">
        <v>3085</v>
      </c>
    </row>
    <row r="2977" spans="1:45" x14ac:dyDescent="0.2">
      <c r="A2977" s="21" t="s">
        <v>1685</v>
      </c>
      <c r="B2977" s="21" t="s">
        <v>1146</v>
      </c>
      <c r="C2977" s="21" t="s">
        <v>1149</v>
      </c>
      <c r="D2977" s="21" t="s">
        <v>420</v>
      </c>
      <c r="E2977" s="21" t="s">
        <v>3093</v>
      </c>
      <c r="G2977" s="21" t="s">
        <v>153</v>
      </c>
      <c r="H2977" s="21" t="s">
        <v>1165</v>
      </c>
      <c r="I2977" s="21" t="s">
        <v>3087</v>
      </c>
      <c r="J2977" s="21">
        <v>55.266666666666602</v>
      </c>
      <c r="K2977">
        <v>-128.4</v>
      </c>
      <c r="L2977">
        <v>1100</v>
      </c>
      <c r="M2977" s="21" t="s">
        <v>3034</v>
      </c>
      <c r="O2977" s="21">
        <v>1992</v>
      </c>
      <c r="Q2977" s="21" t="s">
        <v>3086</v>
      </c>
      <c r="T2977" s="21">
        <v>-20</v>
      </c>
      <c r="U2977" s="21" t="s">
        <v>1218</v>
      </c>
      <c r="V2977" s="9" t="s">
        <v>1247</v>
      </c>
      <c r="W2977" s="21">
        <v>84</v>
      </c>
      <c r="X2977" s="9" t="s">
        <v>3088</v>
      </c>
      <c r="Y2977" t="s">
        <v>3099</v>
      </c>
      <c r="Z2977" s="22">
        <v>8</v>
      </c>
      <c r="AD2977" s="22" t="s">
        <v>1165</v>
      </c>
      <c r="AF2977" s="24" t="s">
        <v>153</v>
      </c>
      <c r="AG2977" t="s">
        <v>1160</v>
      </c>
      <c r="AH2977">
        <f t="shared" si="31"/>
        <v>4320</v>
      </c>
      <c r="AI2977" s="21" t="s">
        <v>153</v>
      </c>
      <c r="AJ2977" s="21" t="s">
        <v>1148</v>
      </c>
      <c r="AK2977" s="21">
        <v>62</v>
      </c>
      <c r="AL2977" s="21" t="s">
        <v>1321</v>
      </c>
      <c r="AM2977" s="21"/>
      <c r="AN2977" s="21">
        <v>3</v>
      </c>
      <c r="AO2977" s="21">
        <v>50</v>
      </c>
      <c r="AP2977" s="21">
        <v>30</v>
      </c>
      <c r="AQ2977" s="22" t="s">
        <v>3016</v>
      </c>
      <c r="AR2977" s="21" t="s">
        <v>1298</v>
      </c>
      <c r="AS2977" t="s">
        <v>3085</v>
      </c>
    </row>
    <row r="2978" spans="1:45" x14ac:dyDescent="0.2">
      <c r="A2978" s="21" t="s">
        <v>1685</v>
      </c>
      <c r="B2978" s="21" t="s">
        <v>1146</v>
      </c>
      <c r="C2978" s="21" t="s">
        <v>1149</v>
      </c>
      <c r="D2978" s="21" t="s">
        <v>420</v>
      </c>
      <c r="E2978" s="21" t="s">
        <v>3093</v>
      </c>
      <c r="G2978" s="21" t="s">
        <v>153</v>
      </c>
      <c r="H2978" s="21" t="s">
        <v>1165</v>
      </c>
      <c r="I2978" s="21" t="s">
        <v>3087</v>
      </c>
      <c r="J2978" s="21">
        <v>55.266666666666602</v>
      </c>
      <c r="K2978">
        <v>-128.4</v>
      </c>
      <c r="L2978">
        <v>1100</v>
      </c>
      <c r="M2978" s="21" t="s">
        <v>3034</v>
      </c>
      <c r="O2978" s="21">
        <v>1992</v>
      </c>
      <c r="Q2978" s="21" t="s">
        <v>3086</v>
      </c>
      <c r="T2978" s="21">
        <v>-20</v>
      </c>
      <c r="U2978" s="21" t="s">
        <v>1218</v>
      </c>
      <c r="V2978" s="9" t="s">
        <v>1247</v>
      </c>
      <c r="W2978" s="21">
        <v>84</v>
      </c>
      <c r="X2978" s="9" t="s">
        <v>3088</v>
      </c>
      <c r="Y2978" t="s">
        <v>3099</v>
      </c>
      <c r="Z2978" s="22">
        <v>8</v>
      </c>
      <c r="AD2978" s="22" t="s">
        <v>1165</v>
      </c>
      <c r="AF2978" s="24" t="s">
        <v>153</v>
      </c>
      <c r="AG2978" t="s">
        <v>1160</v>
      </c>
      <c r="AH2978">
        <f t="shared" si="31"/>
        <v>4320</v>
      </c>
      <c r="AI2978" s="21" t="s">
        <v>153</v>
      </c>
      <c r="AJ2978" s="21" t="s">
        <v>1278</v>
      </c>
      <c r="AK2978" s="21">
        <v>33</v>
      </c>
      <c r="AL2978" s="21" t="s">
        <v>1321</v>
      </c>
      <c r="AM2978" s="21"/>
      <c r="AN2978" s="21">
        <v>3</v>
      </c>
      <c r="AO2978" s="21">
        <v>50</v>
      </c>
      <c r="AP2978" s="21">
        <v>30</v>
      </c>
      <c r="AQ2978" s="22" t="s">
        <v>3016</v>
      </c>
      <c r="AR2978" s="21" t="s">
        <v>1298</v>
      </c>
      <c r="AS2978" t="s">
        <v>3085</v>
      </c>
    </row>
    <row r="2979" spans="1:45" x14ac:dyDescent="0.2">
      <c r="A2979" s="21" t="s">
        <v>1685</v>
      </c>
      <c r="B2979" s="21" t="s">
        <v>1146</v>
      </c>
      <c r="C2979" s="21" t="s">
        <v>1149</v>
      </c>
      <c r="D2979" s="21" t="s">
        <v>420</v>
      </c>
      <c r="E2979" s="21" t="s">
        <v>3093</v>
      </c>
      <c r="G2979" s="21" t="s">
        <v>153</v>
      </c>
      <c r="H2979" s="21" t="s">
        <v>1165</v>
      </c>
      <c r="I2979" s="21" t="s">
        <v>3087</v>
      </c>
      <c r="J2979" s="21">
        <v>55.266666666666602</v>
      </c>
      <c r="K2979">
        <v>-128.4</v>
      </c>
      <c r="L2979">
        <v>1100</v>
      </c>
      <c r="M2979" s="21" t="s">
        <v>3034</v>
      </c>
      <c r="O2979" s="21">
        <v>1992</v>
      </c>
      <c r="Q2979" s="21" t="s">
        <v>3086</v>
      </c>
      <c r="T2979" s="21">
        <v>-20</v>
      </c>
      <c r="U2979" s="21" t="s">
        <v>1218</v>
      </c>
      <c r="V2979" s="9" t="s">
        <v>1247</v>
      </c>
      <c r="W2979" s="21">
        <v>28</v>
      </c>
      <c r="X2979" s="9" t="s">
        <v>3088</v>
      </c>
      <c r="Y2979" t="s">
        <v>3100</v>
      </c>
      <c r="Z2979" s="22">
        <v>8</v>
      </c>
      <c r="AD2979" s="22" t="s">
        <v>1165</v>
      </c>
      <c r="AF2979" s="24" t="s">
        <v>153</v>
      </c>
      <c r="AG2979" t="s">
        <v>1160</v>
      </c>
      <c r="AH2979">
        <f t="shared" si="31"/>
        <v>4320</v>
      </c>
      <c r="AI2979" s="21" t="s">
        <v>153</v>
      </c>
      <c r="AJ2979" s="21" t="s">
        <v>1148</v>
      </c>
      <c r="AK2979" s="21">
        <v>48</v>
      </c>
      <c r="AL2979" s="21" t="s">
        <v>1321</v>
      </c>
      <c r="AM2979" s="21"/>
      <c r="AN2979" s="21">
        <v>3</v>
      </c>
      <c r="AO2979" s="21">
        <v>50</v>
      </c>
      <c r="AP2979" s="21">
        <v>30</v>
      </c>
      <c r="AQ2979" s="22" t="s">
        <v>3016</v>
      </c>
      <c r="AR2979" s="21" t="s">
        <v>1298</v>
      </c>
      <c r="AS2979" t="s">
        <v>3085</v>
      </c>
    </row>
    <row r="2980" spans="1:45" x14ac:dyDescent="0.2">
      <c r="A2980" s="21" t="s">
        <v>1685</v>
      </c>
      <c r="B2980" s="21" t="s">
        <v>1146</v>
      </c>
      <c r="C2980" s="21" t="s">
        <v>1149</v>
      </c>
      <c r="D2980" s="21" t="s">
        <v>420</v>
      </c>
      <c r="E2980" s="21" t="s">
        <v>3093</v>
      </c>
      <c r="G2980" s="21" t="s">
        <v>153</v>
      </c>
      <c r="H2980" s="21" t="s">
        <v>1165</v>
      </c>
      <c r="I2980" s="21" t="s">
        <v>3087</v>
      </c>
      <c r="J2980" s="21">
        <v>55.266666666666602</v>
      </c>
      <c r="K2980">
        <v>-128.4</v>
      </c>
      <c r="L2980">
        <v>1100</v>
      </c>
      <c r="M2980" s="21" t="s">
        <v>3034</v>
      </c>
      <c r="O2980" s="21">
        <v>1992</v>
      </c>
      <c r="Q2980" s="21" t="s">
        <v>3086</v>
      </c>
      <c r="T2980" s="21">
        <v>-20</v>
      </c>
      <c r="U2980" s="21" t="s">
        <v>1218</v>
      </c>
      <c r="V2980" s="9" t="s">
        <v>1247</v>
      </c>
      <c r="W2980" s="21">
        <v>28</v>
      </c>
      <c r="X2980" s="9" t="s">
        <v>3088</v>
      </c>
      <c r="Y2980" t="s">
        <v>3100</v>
      </c>
      <c r="Z2980" s="22">
        <v>8</v>
      </c>
      <c r="AD2980" s="22" t="s">
        <v>1165</v>
      </c>
      <c r="AF2980" s="24" t="s">
        <v>153</v>
      </c>
      <c r="AG2980" t="s">
        <v>1160</v>
      </c>
      <c r="AH2980">
        <f t="shared" si="31"/>
        <v>4320</v>
      </c>
      <c r="AI2980" s="21" t="s">
        <v>153</v>
      </c>
      <c r="AJ2980" s="21" t="s">
        <v>1278</v>
      </c>
      <c r="AK2980" s="21">
        <v>18</v>
      </c>
      <c r="AL2980" s="21" t="s">
        <v>1321</v>
      </c>
      <c r="AM2980" s="21"/>
      <c r="AN2980" s="21">
        <v>3</v>
      </c>
      <c r="AO2980" s="21">
        <v>50</v>
      </c>
      <c r="AP2980" s="21">
        <v>30</v>
      </c>
      <c r="AQ2980" s="22" t="s">
        <v>3016</v>
      </c>
      <c r="AR2980" s="21" t="s">
        <v>1298</v>
      </c>
      <c r="AS2980" t="s">
        <v>3085</v>
      </c>
    </row>
    <row r="2981" spans="1:45" x14ac:dyDescent="0.2">
      <c r="A2981" s="21" t="s">
        <v>1685</v>
      </c>
      <c r="B2981" s="21" t="s">
        <v>1146</v>
      </c>
      <c r="C2981" s="21" t="s">
        <v>1149</v>
      </c>
      <c r="D2981" s="21" t="s">
        <v>420</v>
      </c>
      <c r="E2981" s="21" t="s">
        <v>3093</v>
      </c>
      <c r="G2981" s="21" t="s">
        <v>153</v>
      </c>
      <c r="H2981" s="21" t="s">
        <v>1165</v>
      </c>
      <c r="I2981" s="21" t="s">
        <v>3087</v>
      </c>
      <c r="J2981" s="21">
        <v>55.266666666666602</v>
      </c>
      <c r="K2981">
        <v>-128.4</v>
      </c>
      <c r="L2981">
        <v>1100</v>
      </c>
      <c r="M2981" s="21" t="s">
        <v>3034</v>
      </c>
      <c r="O2981" s="21">
        <v>1992</v>
      </c>
      <c r="Q2981" s="21" t="s">
        <v>3086</v>
      </c>
      <c r="T2981" s="21">
        <v>-20</v>
      </c>
      <c r="U2981" s="21" t="s">
        <v>1218</v>
      </c>
      <c r="V2981" s="9" t="s">
        <v>1247</v>
      </c>
      <c r="W2981" s="21">
        <v>56</v>
      </c>
      <c r="X2981" s="9" t="s">
        <v>3088</v>
      </c>
      <c r="Y2981" t="s">
        <v>3100</v>
      </c>
      <c r="Z2981" s="22">
        <v>8</v>
      </c>
      <c r="AD2981" s="22" t="s">
        <v>1165</v>
      </c>
      <c r="AF2981" s="24" t="s">
        <v>153</v>
      </c>
      <c r="AG2981" t="s">
        <v>1160</v>
      </c>
      <c r="AH2981">
        <f t="shared" si="31"/>
        <v>4320</v>
      </c>
      <c r="AI2981" s="21" t="s">
        <v>153</v>
      </c>
      <c r="AJ2981" s="21" t="s">
        <v>1148</v>
      </c>
      <c r="AK2981" s="21">
        <v>73</v>
      </c>
      <c r="AL2981" s="21" t="s">
        <v>1321</v>
      </c>
      <c r="AM2981" s="21"/>
      <c r="AN2981" s="21">
        <v>3</v>
      </c>
      <c r="AO2981" s="21">
        <v>50</v>
      </c>
      <c r="AP2981" s="21">
        <v>30</v>
      </c>
      <c r="AQ2981" s="22" t="s">
        <v>3016</v>
      </c>
      <c r="AR2981" s="21" t="s">
        <v>1298</v>
      </c>
      <c r="AS2981" t="s">
        <v>3085</v>
      </c>
    </row>
    <row r="2982" spans="1:45" x14ac:dyDescent="0.2">
      <c r="A2982" s="21" t="s">
        <v>1685</v>
      </c>
      <c r="B2982" s="21" t="s">
        <v>1146</v>
      </c>
      <c r="C2982" s="21" t="s">
        <v>1149</v>
      </c>
      <c r="D2982" s="21" t="s">
        <v>420</v>
      </c>
      <c r="E2982" s="21" t="s">
        <v>3093</v>
      </c>
      <c r="G2982" s="21" t="s">
        <v>153</v>
      </c>
      <c r="H2982" s="21" t="s">
        <v>1165</v>
      </c>
      <c r="I2982" s="21" t="s">
        <v>3087</v>
      </c>
      <c r="J2982" s="21">
        <v>55.266666666666602</v>
      </c>
      <c r="K2982">
        <v>-128.4</v>
      </c>
      <c r="L2982">
        <v>1100</v>
      </c>
      <c r="M2982" s="21" t="s">
        <v>3034</v>
      </c>
      <c r="O2982" s="21">
        <v>1992</v>
      </c>
      <c r="Q2982" s="21" t="s">
        <v>3086</v>
      </c>
      <c r="T2982" s="21">
        <v>-20</v>
      </c>
      <c r="U2982" s="21" t="s">
        <v>1218</v>
      </c>
      <c r="V2982" s="9" t="s">
        <v>1247</v>
      </c>
      <c r="W2982" s="21">
        <v>56</v>
      </c>
      <c r="X2982" s="9" t="s">
        <v>3088</v>
      </c>
      <c r="Y2982" t="s">
        <v>3100</v>
      </c>
      <c r="Z2982" s="22">
        <v>8</v>
      </c>
      <c r="AD2982" s="22" t="s">
        <v>1165</v>
      </c>
      <c r="AF2982" s="24" t="s">
        <v>153</v>
      </c>
      <c r="AG2982" t="s">
        <v>1160</v>
      </c>
      <c r="AH2982">
        <f t="shared" si="31"/>
        <v>4320</v>
      </c>
      <c r="AI2982" s="21" t="s">
        <v>153</v>
      </c>
      <c r="AJ2982" s="21" t="s">
        <v>1278</v>
      </c>
      <c r="AK2982" s="21">
        <v>42</v>
      </c>
      <c r="AL2982" s="21" t="s">
        <v>1321</v>
      </c>
      <c r="AM2982" s="21"/>
      <c r="AN2982" s="21">
        <v>3</v>
      </c>
      <c r="AO2982" s="21">
        <v>50</v>
      </c>
      <c r="AP2982" s="21">
        <v>30</v>
      </c>
      <c r="AQ2982" s="22" t="s">
        <v>3016</v>
      </c>
      <c r="AR2982" s="21" t="s">
        <v>1298</v>
      </c>
      <c r="AS2982" t="s">
        <v>3085</v>
      </c>
    </row>
    <row r="2983" spans="1:45" x14ac:dyDescent="0.2">
      <c r="A2983" s="21" t="s">
        <v>1685</v>
      </c>
      <c r="B2983" s="21" t="s">
        <v>1146</v>
      </c>
      <c r="C2983" s="21" t="s">
        <v>1149</v>
      </c>
      <c r="D2983" s="21" t="s">
        <v>420</v>
      </c>
      <c r="E2983" s="21" t="s">
        <v>3093</v>
      </c>
      <c r="G2983" s="21" t="s">
        <v>153</v>
      </c>
      <c r="H2983" s="21" t="s">
        <v>1165</v>
      </c>
      <c r="I2983" s="21" t="s">
        <v>3087</v>
      </c>
      <c r="J2983" s="21">
        <v>55.266666666666602</v>
      </c>
      <c r="K2983">
        <v>-128.4</v>
      </c>
      <c r="L2983">
        <v>1100</v>
      </c>
      <c r="M2983" s="21" t="s">
        <v>3034</v>
      </c>
      <c r="O2983" s="21">
        <v>1992</v>
      </c>
      <c r="Q2983" s="21" t="s">
        <v>3086</v>
      </c>
      <c r="T2983" s="21">
        <v>-20</v>
      </c>
      <c r="U2983" s="21" t="s">
        <v>1218</v>
      </c>
      <c r="V2983" s="9" t="s">
        <v>1247</v>
      </c>
      <c r="W2983" s="21">
        <v>84</v>
      </c>
      <c r="X2983" s="9" t="s">
        <v>3088</v>
      </c>
      <c r="Y2983" t="s">
        <v>3100</v>
      </c>
      <c r="Z2983" s="22">
        <v>8</v>
      </c>
      <c r="AD2983" s="22" t="s">
        <v>1165</v>
      </c>
      <c r="AF2983" s="24" t="s">
        <v>153</v>
      </c>
      <c r="AG2983" t="s">
        <v>1160</v>
      </c>
      <c r="AH2983">
        <f t="shared" si="31"/>
        <v>4320</v>
      </c>
      <c r="AI2983" s="21" t="s">
        <v>153</v>
      </c>
      <c r="AJ2983" s="21" t="s">
        <v>1148</v>
      </c>
      <c r="AK2983" s="21">
        <v>65</v>
      </c>
      <c r="AL2983" s="21" t="s">
        <v>1321</v>
      </c>
      <c r="AM2983" s="21"/>
      <c r="AN2983" s="21">
        <v>3</v>
      </c>
      <c r="AO2983" s="21">
        <v>50</v>
      </c>
      <c r="AP2983" s="21">
        <v>30</v>
      </c>
      <c r="AQ2983" s="22" t="s">
        <v>3016</v>
      </c>
      <c r="AR2983" s="21" t="s">
        <v>1298</v>
      </c>
      <c r="AS2983" t="s">
        <v>3085</v>
      </c>
    </row>
    <row r="2984" spans="1:45" x14ac:dyDescent="0.2">
      <c r="A2984" s="21" t="s">
        <v>1685</v>
      </c>
      <c r="B2984" s="21" t="s">
        <v>1146</v>
      </c>
      <c r="C2984" s="21" t="s">
        <v>1149</v>
      </c>
      <c r="D2984" s="21" t="s">
        <v>420</v>
      </c>
      <c r="E2984" s="21" t="s">
        <v>3093</v>
      </c>
      <c r="G2984" s="21" t="s">
        <v>153</v>
      </c>
      <c r="H2984" s="21" t="s">
        <v>1165</v>
      </c>
      <c r="I2984" s="21" t="s">
        <v>3087</v>
      </c>
      <c r="J2984" s="21">
        <v>55.266666666666602</v>
      </c>
      <c r="K2984">
        <v>-128.4</v>
      </c>
      <c r="L2984">
        <v>1100</v>
      </c>
      <c r="M2984" s="21" t="s">
        <v>3034</v>
      </c>
      <c r="O2984" s="21">
        <v>1992</v>
      </c>
      <c r="Q2984" s="21" t="s">
        <v>3086</v>
      </c>
      <c r="T2984" s="21">
        <v>-20</v>
      </c>
      <c r="U2984" s="21" t="s">
        <v>1218</v>
      </c>
      <c r="V2984" s="9" t="s">
        <v>1247</v>
      </c>
      <c r="W2984" s="21">
        <v>84</v>
      </c>
      <c r="X2984" s="9" t="s">
        <v>3088</v>
      </c>
      <c r="Y2984" t="s">
        <v>3100</v>
      </c>
      <c r="Z2984" s="22">
        <v>8</v>
      </c>
      <c r="AD2984" s="22" t="s">
        <v>1165</v>
      </c>
      <c r="AF2984" s="24" t="s">
        <v>153</v>
      </c>
      <c r="AG2984" t="s">
        <v>1160</v>
      </c>
      <c r="AH2984">
        <f t="shared" si="31"/>
        <v>4320</v>
      </c>
      <c r="AI2984" s="21" t="s">
        <v>153</v>
      </c>
      <c r="AJ2984" s="21" t="s">
        <v>1278</v>
      </c>
      <c r="AK2984" s="21">
        <v>35</v>
      </c>
      <c r="AL2984" s="21" t="s">
        <v>1321</v>
      </c>
      <c r="AM2984" s="21"/>
      <c r="AN2984" s="21">
        <v>3</v>
      </c>
      <c r="AO2984" s="21">
        <v>50</v>
      </c>
      <c r="AP2984" s="21">
        <v>30</v>
      </c>
      <c r="AQ2984" s="22" t="s">
        <v>3016</v>
      </c>
      <c r="AR2984" s="21" t="s">
        <v>1298</v>
      </c>
      <c r="AS2984" t="s">
        <v>3085</v>
      </c>
    </row>
    <row r="2985" spans="1:45" x14ac:dyDescent="0.2">
      <c r="A2985" s="21" t="s">
        <v>1685</v>
      </c>
      <c r="B2985" s="21" t="s">
        <v>1146</v>
      </c>
      <c r="C2985" s="21" t="s">
        <v>1149</v>
      </c>
      <c r="D2985" s="21" t="s">
        <v>420</v>
      </c>
      <c r="E2985" s="21" t="s">
        <v>3093</v>
      </c>
      <c r="G2985" s="21" t="s">
        <v>153</v>
      </c>
      <c r="H2985" s="21" t="s">
        <v>1165</v>
      </c>
      <c r="I2985" s="21" t="s">
        <v>3087</v>
      </c>
      <c r="J2985" s="21">
        <v>55.266666666666602</v>
      </c>
      <c r="K2985">
        <v>-128.4</v>
      </c>
      <c r="L2985">
        <v>1100</v>
      </c>
      <c r="M2985" s="21" t="s">
        <v>3034</v>
      </c>
      <c r="O2985" s="21">
        <v>1992</v>
      </c>
      <c r="Q2985" s="21" t="s">
        <v>3086</v>
      </c>
      <c r="T2985" s="21">
        <v>-20</v>
      </c>
      <c r="U2985" s="21" t="s">
        <v>1218</v>
      </c>
      <c r="V2985" s="9" t="s">
        <v>1247</v>
      </c>
      <c r="W2985" s="21">
        <v>28</v>
      </c>
      <c r="X2985" s="9" t="s">
        <v>3088</v>
      </c>
      <c r="Y2985" t="s">
        <v>3101</v>
      </c>
      <c r="Z2985" s="22">
        <v>8</v>
      </c>
      <c r="AD2985" s="22" t="s">
        <v>1165</v>
      </c>
      <c r="AF2985" s="24" t="s">
        <v>153</v>
      </c>
      <c r="AG2985" t="s">
        <v>1160</v>
      </c>
      <c r="AH2985">
        <f t="shared" si="31"/>
        <v>4320</v>
      </c>
      <c r="AI2985" s="21" t="s">
        <v>153</v>
      </c>
      <c r="AJ2985" s="21" t="s">
        <v>1148</v>
      </c>
      <c r="AK2985" s="21">
        <v>55</v>
      </c>
      <c r="AL2985" s="21" t="s">
        <v>1321</v>
      </c>
      <c r="AM2985" s="21"/>
      <c r="AN2985" s="21">
        <v>3</v>
      </c>
      <c r="AO2985" s="21">
        <v>50</v>
      </c>
      <c r="AP2985" s="21">
        <v>30</v>
      </c>
      <c r="AQ2985" s="22" t="s">
        <v>3016</v>
      </c>
      <c r="AR2985" s="21" t="s">
        <v>1298</v>
      </c>
      <c r="AS2985" t="s">
        <v>3085</v>
      </c>
    </row>
    <row r="2986" spans="1:45" x14ac:dyDescent="0.2">
      <c r="A2986" s="21" t="s">
        <v>1685</v>
      </c>
      <c r="B2986" s="21" t="s">
        <v>1146</v>
      </c>
      <c r="C2986" s="21" t="s">
        <v>1149</v>
      </c>
      <c r="D2986" s="21" t="s">
        <v>420</v>
      </c>
      <c r="E2986" s="21" t="s">
        <v>3093</v>
      </c>
      <c r="G2986" s="21" t="s">
        <v>153</v>
      </c>
      <c r="H2986" s="21" t="s">
        <v>1165</v>
      </c>
      <c r="I2986" s="21" t="s">
        <v>3087</v>
      </c>
      <c r="J2986" s="21">
        <v>55.266666666666602</v>
      </c>
      <c r="K2986">
        <v>-128.4</v>
      </c>
      <c r="L2986">
        <v>1100</v>
      </c>
      <c r="M2986" s="21" t="s">
        <v>3034</v>
      </c>
      <c r="O2986" s="21">
        <v>1992</v>
      </c>
      <c r="Q2986" s="21" t="s">
        <v>3086</v>
      </c>
      <c r="T2986" s="21">
        <v>-20</v>
      </c>
      <c r="U2986" s="21" t="s">
        <v>1218</v>
      </c>
      <c r="V2986" s="9" t="s">
        <v>1247</v>
      </c>
      <c r="W2986" s="21">
        <v>28</v>
      </c>
      <c r="X2986" s="9" t="s">
        <v>3088</v>
      </c>
      <c r="Y2986" t="s">
        <v>3101</v>
      </c>
      <c r="Z2986" s="22">
        <v>8</v>
      </c>
      <c r="AD2986" s="22" t="s">
        <v>1165</v>
      </c>
      <c r="AF2986" s="24" t="s">
        <v>153</v>
      </c>
      <c r="AG2986" t="s">
        <v>1160</v>
      </c>
      <c r="AH2986">
        <f t="shared" si="31"/>
        <v>4320</v>
      </c>
      <c r="AI2986" s="21" t="s">
        <v>153</v>
      </c>
      <c r="AJ2986" s="21" t="s">
        <v>1278</v>
      </c>
      <c r="AK2986" s="21">
        <v>19</v>
      </c>
      <c r="AL2986" s="21" t="s">
        <v>1321</v>
      </c>
      <c r="AM2986" s="21"/>
      <c r="AN2986" s="21">
        <v>3</v>
      </c>
      <c r="AO2986" s="21">
        <v>50</v>
      </c>
      <c r="AP2986" s="21">
        <v>30</v>
      </c>
      <c r="AQ2986" s="22" t="s">
        <v>3016</v>
      </c>
      <c r="AR2986" s="21" t="s">
        <v>1298</v>
      </c>
      <c r="AS2986" t="s">
        <v>3085</v>
      </c>
    </row>
    <row r="2987" spans="1:45" x14ac:dyDescent="0.2">
      <c r="A2987" s="21" t="s">
        <v>1685</v>
      </c>
      <c r="B2987" s="21" t="s">
        <v>1146</v>
      </c>
      <c r="C2987" s="21" t="s">
        <v>1149</v>
      </c>
      <c r="D2987" s="21" t="s">
        <v>420</v>
      </c>
      <c r="E2987" s="21" t="s">
        <v>3093</v>
      </c>
      <c r="G2987" s="21" t="s">
        <v>153</v>
      </c>
      <c r="H2987" s="21" t="s">
        <v>1165</v>
      </c>
      <c r="I2987" s="21" t="s">
        <v>3087</v>
      </c>
      <c r="J2987" s="21">
        <v>55.266666666666602</v>
      </c>
      <c r="K2987">
        <v>-128.4</v>
      </c>
      <c r="L2987">
        <v>1100</v>
      </c>
      <c r="M2987" s="21" t="s">
        <v>3034</v>
      </c>
      <c r="O2987" s="21">
        <v>1992</v>
      </c>
      <c r="Q2987" s="21" t="s">
        <v>3086</v>
      </c>
      <c r="T2987" s="21">
        <v>-20</v>
      </c>
      <c r="U2987" s="21" t="s">
        <v>1218</v>
      </c>
      <c r="V2987" s="9" t="s">
        <v>1247</v>
      </c>
      <c r="W2987" s="21">
        <v>56</v>
      </c>
      <c r="X2987" s="9" t="s">
        <v>3088</v>
      </c>
      <c r="Y2987" t="s">
        <v>3101</v>
      </c>
      <c r="Z2987" s="22">
        <v>8</v>
      </c>
      <c r="AD2987" s="22" t="s">
        <v>1165</v>
      </c>
      <c r="AF2987" s="24" t="s">
        <v>153</v>
      </c>
      <c r="AG2987" t="s">
        <v>1160</v>
      </c>
      <c r="AH2987">
        <f t="shared" si="31"/>
        <v>4320</v>
      </c>
      <c r="AI2987" s="21" t="s">
        <v>153</v>
      </c>
      <c r="AJ2987" s="21" t="s">
        <v>1148</v>
      </c>
      <c r="AK2987" s="21">
        <v>71</v>
      </c>
      <c r="AL2987" s="21" t="s">
        <v>1321</v>
      </c>
      <c r="AM2987" s="21"/>
      <c r="AN2987" s="21">
        <v>3</v>
      </c>
      <c r="AO2987" s="21">
        <v>50</v>
      </c>
      <c r="AP2987" s="21">
        <v>30</v>
      </c>
      <c r="AQ2987" s="22" t="s">
        <v>3016</v>
      </c>
      <c r="AR2987" s="21" t="s">
        <v>1298</v>
      </c>
      <c r="AS2987" t="s">
        <v>3085</v>
      </c>
    </row>
    <row r="2988" spans="1:45" x14ac:dyDescent="0.2">
      <c r="A2988" s="21" t="s">
        <v>1685</v>
      </c>
      <c r="B2988" s="21" t="s">
        <v>1146</v>
      </c>
      <c r="C2988" s="21" t="s">
        <v>1149</v>
      </c>
      <c r="D2988" s="21" t="s">
        <v>420</v>
      </c>
      <c r="E2988" s="21" t="s">
        <v>3093</v>
      </c>
      <c r="G2988" s="21" t="s">
        <v>153</v>
      </c>
      <c r="H2988" s="21" t="s">
        <v>1165</v>
      </c>
      <c r="I2988" s="21" t="s">
        <v>3087</v>
      </c>
      <c r="J2988" s="21">
        <v>55.266666666666602</v>
      </c>
      <c r="K2988">
        <v>-128.4</v>
      </c>
      <c r="L2988">
        <v>1100</v>
      </c>
      <c r="M2988" s="21" t="s">
        <v>3034</v>
      </c>
      <c r="O2988" s="21">
        <v>1992</v>
      </c>
      <c r="Q2988" s="21" t="s">
        <v>3086</v>
      </c>
      <c r="T2988" s="21">
        <v>-20</v>
      </c>
      <c r="U2988" s="21" t="s">
        <v>1218</v>
      </c>
      <c r="V2988" s="9" t="s">
        <v>1247</v>
      </c>
      <c r="W2988" s="21">
        <v>56</v>
      </c>
      <c r="X2988" s="9" t="s">
        <v>3088</v>
      </c>
      <c r="Y2988" t="s">
        <v>3101</v>
      </c>
      <c r="Z2988" s="22">
        <v>8</v>
      </c>
      <c r="AD2988" s="22" t="s">
        <v>1165</v>
      </c>
      <c r="AF2988" s="24" t="s">
        <v>153</v>
      </c>
      <c r="AG2988" t="s">
        <v>1160</v>
      </c>
      <c r="AH2988">
        <f t="shared" si="31"/>
        <v>4320</v>
      </c>
      <c r="AI2988" s="21" t="s">
        <v>153</v>
      </c>
      <c r="AJ2988" s="21" t="s">
        <v>1278</v>
      </c>
      <c r="AK2988" s="21">
        <v>39</v>
      </c>
      <c r="AL2988" s="21" t="s">
        <v>1321</v>
      </c>
      <c r="AM2988" s="21"/>
      <c r="AN2988" s="21">
        <v>3</v>
      </c>
      <c r="AO2988" s="21">
        <v>50</v>
      </c>
      <c r="AP2988" s="21">
        <v>30</v>
      </c>
      <c r="AQ2988" s="22" t="s">
        <v>3016</v>
      </c>
      <c r="AR2988" s="21" t="s">
        <v>1298</v>
      </c>
      <c r="AS2988" t="s">
        <v>3085</v>
      </c>
    </row>
    <row r="2989" spans="1:45" x14ac:dyDescent="0.2">
      <c r="A2989" s="21" t="s">
        <v>1685</v>
      </c>
      <c r="B2989" s="21" t="s">
        <v>1146</v>
      </c>
      <c r="C2989" s="21" t="s">
        <v>1149</v>
      </c>
      <c r="D2989" s="21" t="s">
        <v>420</v>
      </c>
      <c r="E2989" s="21" t="s">
        <v>3093</v>
      </c>
      <c r="G2989" s="21" t="s">
        <v>153</v>
      </c>
      <c r="H2989" s="21" t="s">
        <v>1165</v>
      </c>
      <c r="I2989" s="21" t="s">
        <v>3087</v>
      </c>
      <c r="J2989" s="21">
        <v>55.266666666666602</v>
      </c>
      <c r="K2989">
        <v>-128.4</v>
      </c>
      <c r="L2989">
        <v>1100</v>
      </c>
      <c r="M2989" s="21" t="s">
        <v>3034</v>
      </c>
      <c r="O2989" s="21">
        <v>1992</v>
      </c>
      <c r="Q2989" s="21" t="s">
        <v>3086</v>
      </c>
      <c r="T2989" s="21">
        <v>-20</v>
      </c>
      <c r="U2989" s="21" t="s">
        <v>1218</v>
      </c>
      <c r="V2989" s="9" t="s">
        <v>1247</v>
      </c>
      <c r="W2989" s="21">
        <v>84</v>
      </c>
      <c r="X2989" s="9" t="s">
        <v>3088</v>
      </c>
      <c r="Y2989" t="s">
        <v>3101</v>
      </c>
      <c r="Z2989" s="22">
        <v>8</v>
      </c>
      <c r="AD2989" s="22" t="s">
        <v>1165</v>
      </c>
      <c r="AF2989" s="24" t="s">
        <v>153</v>
      </c>
      <c r="AG2989" t="s">
        <v>1160</v>
      </c>
      <c r="AH2989">
        <f t="shared" si="31"/>
        <v>4320</v>
      </c>
      <c r="AI2989" s="21" t="s">
        <v>153</v>
      </c>
      <c r="AJ2989" s="21" t="s">
        <v>1148</v>
      </c>
      <c r="AK2989" s="21">
        <v>68</v>
      </c>
      <c r="AL2989" s="21" t="s">
        <v>1321</v>
      </c>
      <c r="AM2989" s="21"/>
      <c r="AN2989" s="21">
        <v>3</v>
      </c>
      <c r="AO2989" s="21">
        <v>50</v>
      </c>
      <c r="AP2989" s="21">
        <v>30</v>
      </c>
      <c r="AQ2989" s="22" t="s">
        <v>3016</v>
      </c>
      <c r="AR2989" s="21" t="s">
        <v>1298</v>
      </c>
      <c r="AS2989" t="s">
        <v>3085</v>
      </c>
    </row>
    <row r="2990" spans="1:45" x14ac:dyDescent="0.2">
      <c r="A2990" s="21" t="s">
        <v>1685</v>
      </c>
      <c r="B2990" s="21" t="s">
        <v>1146</v>
      </c>
      <c r="C2990" s="21" t="s">
        <v>1149</v>
      </c>
      <c r="D2990" s="21" t="s">
        <v>420</v>
      </c>
      <c r="E2990" s="21" t="s">
        <v>3093</v>
      </c>
      <c r="G2990" s="21" t="s">
        <v>153</v>
      </c>
      <c r="H2990" s="21" t="s">
        <v>1165</v>
      </c>
      <c r="I2990" s="21" t="s">
        <v>3087</v>
      </c>
      <c r="J2990" s="21">
        <v>55.266666666666602</v>
      </c>
      <c r="K2990">
        <v>-128.4</v>
      </c>
      <c r="L2990">
        <v>1100</v>
      </c>
      <c r="M2990" s="21" t="s">
        <v>3034</v>
      </c>
      <c r="O2990" s="21">
        <v>1992</v>
      </c>
      <c r="Q2990" s="21" t="s">
        <v>3086</v>
      </c>
      <c r="T2990" s="21">
        <v>-20</v>
      </c>
      <c r="U2990" s="21" t="s">
        <v>1218</v>
      </c>
      <c r="V2990" s="9" t="s">
        <v>1247</v>
      </c>
      <c r="W2990" s="21">
        <v>84</v>
      </c>
      <c r="X2990" s="9" t="s">
        <v>3088</v>
      </c>
      <c r="Y2990" t="s">
        <v>3101</v>
      </c>
      <c r="Z2990" s="22">
        <v>8</v>
      </c>
      <c r="AD2990" s="22" t="s">
        <v>1165</v>
      </c>
      <c r="AF2990" s="24" t="s">
        <v>153</v>
      </c>
      <c r="AG2990" t="s">
        <v>1160</v>
      </c>
      <c r="AH2990">
        <f t="shared" si="31"/>
        <v>4320</v>
      </c>
      <c r="AI2990" s="21" t="s">
        <v>153</v>
      </c>
      <c r="AJ2990" s="21" t="s">
        <v>1278</v>
      </c>
      <c r="AK2990" s="21">
        <v>36</v>
      </c>
      <c r="AL2990" s="21" t="s">
        <v>1321</v>
      </c>
      <c r="AM2990" s="21"/>
      <c r="AN2990" s="21">
        <v>3</v>
      </c>
      <c r="AO2990" s="21">
        <v>50</v>
      </c>
      <c r="AP2990" s="21">
        <v>30</v>
      </c>
      <c r="AQ2990" s="22" t="s">
        <v>3016</v>
      </c>
      <c r="AR2990" s="21" t="s">
        <v>1298</v>
      </c>
      <c r="AS2990" t="s">
        <v>3085</v>
      </c>
    </row>
    <row r="2991" spans="1:45" x14ac:dyDescent="0.2">
      <c r="A2991" s="21" t="s">
        <v>1685</v>
      </c>
      <c r="B2991" s="21" t="s">
        <v>1146</v>
      </c>
      <c r="C2991" s="21" t="s">
        <v>1149</v>
      </c>
      <c r="D2991" s="21" t="s">
        <v>420</v>
      </c>
      <c r="E2991" s="21" t="s">
        <v>3093</v>
      </c>
      <c r="G2991" s="21" t="s">
        <v>153</v>
      </c>
      <c r="H2991" s="21" t="s">
        <v>1165</v>
      </c>
      <c r="I2991" s="21" t="s">
        <v>3087</v>
      </c>
      <c r="J2991" s="21">
        <v>55.266666666666602</v>
      </c>
      <c r="K2991">
        <v>-128.4</v>
      </c>
      <c r="L2991">
        <v>1100</v>
      </c>
      <c r="M2991" s="21" t="s">
        <v>3034</v>
      </c>
      <c r="O2991" s="21">
        <v>1992</v>
      </c>
      <c r="Q2991" s="21" t="s">
        <v>3086</v>
      </c>
      <c r="T2991" s="21">
        <v>-20</v>
      </c>
      <c r="U2991" s="21" t="s">
        <v>1218</v>
      </c>
      <c r="V2991" s="9" t="s">
        <v>1247</v>
      </c>
      <c r="W2991" s="21">
        <v>28</v>
      </c>
      <c r="X2991" s="9" t="s">
        <v>3088</v>
      </c>
      <c r="Y2991" t="s">
        <v>3102</v>
      </c>
      <c r="Z2991" s="22">
        <v>8</v>
      </c>
      <c r="AD2991" s="22" t="s">
        <v>1165</v>
      </c>
      <c r="AF2991" s="24" t="s">
        <v>153</v>
      </c>
      <c r="AG2991" t="s">
        <v>1160</v>
      </c>
      <c r="AH2991">
        <f t="shared" si="31"/>
        <v>4320</v>
      </c>
      <c r="AI2991" s="21" t="s">
        <v>153</v>
      </c>
      <c r="AJ2991" s="21" t="s">
        <v>1148</v>
      </c>
      <c r="AK2991" s="21">
        <v>47</v>
      </c>
      <c r="AL2991" s="21" t="s">
        <v>1321</v>
      </c>
      <c r="AM2991" s="21"/>
      <c r="AN2991" s="21">
        <v>3</v>
      </c>
      <c r="AO2991" s="21">
        <v>50</v>
      </c>
      <c r="AP2991" s="21">
        <v>30</v>
      </c>
      <c r="AQ2991" s="22" t="s">
        <v>3016</v>
      </c>
      <c r="AR2991" s="21" t="s">
        <v>1298</v>
      </c>
      <c r="AS2991" t="s">
        <v>3085</v>
      </c>
    </row>
    <row r="2992" spans="1:45" x14ac:dyDescent="0.2">
      <c r="A2992" s="21" t="s">
        <v>1685</v>
      </c>
      <c r="B2992" s="21" t="s">
        <v>1146</v>
      </c>
      <c r="C2992" s="21" t="s">
        <v>1149</v>
      </c>
      <c r="D2992" s="21" t="s">
        <v>420</v>
      </c>
      <c r="E2992" s="21" t="s">
        <v>3093</v>
      </c>
      <c r="G2992" s="21" t="s">
        <v>153</v>
      </c>
      <c r="H2992" s="21" t="s">
        <v>1165</v>
      </c>
      <c r="I2992" s="21" t="s">
        <v>3087</v>
      </c>
      <c r="J2992" s="21">
        <v>55.266666666666602</v>
      </c>
      <c r="K2992">
        <v>-128.4</v>
      </c>
      <c r="L2992">
        <v>1100</v>
      </c>
      <c r="M2992" s="21" t="s">
        <v>3034</v>
      </c>
      <c r="O2992" s="21">
        <v>1992</v>
      </c>
      <c r="Q2992" s="21" t="s">
        <v>3086</v>
      </c>
      <c r="T2992" s="21">
        <v>-20</v>
      </c>
      <c r="U2992" s="21" t="s">
        <v>1218</v>
      </c>
      <c r="V2992" s="9" t="s">
        <v>1247</v>
      </c>
      <c r="W2992" s="21">
        <v>28</v>
      </c>
      <c r="X2992" s="9" t="s">
        <v>3088</v>
      </c>
      <c r="Y2992" t="s">
        <v>3102</v>
      </c>
      <c r="Z2992" s="22">
        <v>8</v>
      </c>
      <c r="AD2992" s="22" t="s">
        <v>1165</v>
      </c>
      <c r="AF2992" s="24" t="s">
        <v>153</v>
      </c>
      <c r="AG2992" t="s">
        <v>1160</v>
      </c>
      <c r="AH2992">
        <f t="shared" ref="AH2992:AH3055" si="32">24*60*3</f>
        <v>4320</v>
      </c>
      <c r="AI2992" s="21" t="s">
        <v>153</v>
      </c>
      <c r="AJ2992" s="21" t="s">
        <v>1278</v>
      </c>
      <c r="AK2992" s="21">
        <v>21</v>
      </c>
      <c r="AL2992" s="21" t="s">
        <v>1321</v>
      </c>
      <c r="AM2992" s="21"/>
      <c r="AN2992" s="21">
        <v>3</v>
      </c>
      <c r="AO2992" s="21">
        <v>50</v>
      </c>
      <c r="AP2992" s="21">
        <v>30</v>
      </c>
      <c r="AQ2992" s="22" t="s">
        <v>3016</v>
      </c>
      <c r="AR2992" s="21" t="s">
        <v>1298</v>
      </c>
      <c r="AS2992" t="s">
        <v>3085</v>
      </c>
    </row>
    <row r="2993" spans="1:45" x14ac:dyDescent="0.2">
      <c r="A2993" s="21" t="s">
        <v>1685</v>
      </c>
      <c r="B2993" s="21" t="s">
        <v>1146</v>
      </c>
      <c r="C2993" s="21" t="s">
        <v>1149</v>
      </c>
      <c r="D2993" s="21" t="s">
        <v>420</v>
      </c>
      <c r="E2993" s="21" t="s">
        <v>3093</v>
      </c>
      <c r="G2993" s="21" t="s">
        <v>153</v>
      </c>
      <c r="H2993" s="21" t="s">
        <v>1165</v>
      </c>
      <c r="I2993" s="21" t="s">
        <v>3087</v>
      </c>
      <c r="J2993" s="21">
        <v>55.266666666666602</v>
      </c>
      <c r="K2993">
        <v>-128.4</v>
      </c>
      <c r="L2993">
        <v>1100</v>
      </c>
      <c r="M2993" s="21" t="s">
        <v>3034</v>
      </c>
      <c r="O2993" s="21">
        <v>1992</v>
      </c>
      <c r="Q2993" s="21" t="s">
        <v>3086</v>
      </c>
      <c r="T2993" s="21">
        <v>-20</v>
      </c>
      <c r="U2993" s="21" t="s">
        <v>1218</v>
      </c>
      <c r="V2993" s="9" t="s">
        <v>1247</v>
      </c>
      <c r="W2993" s="21">
        <v>56</v>
      </c>
      <c r="X2993" s="9" t="s">
        <v>3088</v>
      </c>
      <c r="Y2993" t="s">
        <v>3102</v>
      </c>
      <c r="Z2993" s="22">
        <v>8</v>
      </c>
      <c r="AD2993" s="22" t="s">
        <v>1165</v>
      </c>
      <c r="AF2993" s="24" t="s">
        <v>153</v>
      </c>
      <c r="AG2993" t="s">
        <v>1160</v>
      </c>
      <c r="AH2993">
        <f t="shared" si="32"/>
        <v>4320</v>
      </c>
      <c r="AI2993" s="21" t="s">
        <v>153</v>
      </c>
      <c r="AJ2993" s="21" t="s">
        <v>1148</v>
      </c>
      <c r="AK2993" s="21">
        <v>73</v>
      </c>
      <c r="AL2993" s="21" t="s">
        <v>1321</v>
      </c>
      <c r="AM2993" s="21"/>
      <c r="AN2993" s="21">
        <v>3</v>
      </c>
      <c r="AO2993" s="21">
        <v>50</v>
      </c>
      <c r="AP2993" s="21">
        <v>30</v>
      </c>
      <c r="AQ2993" s="22" t="s">
        <v>3016</v>
      </c>
      <c r="AR2993" s="21" t="s">
        <v>1298</v>
      </c>
      <c r="AS2993" t="s">
        <v>3085</v>
      </c>
    </row>
    <row r="2994" spans="1:45" x14ac:dyDescent="0.2">
      <c r="A2994" s="21" t="s">
        <v>1685</v>
      </c>
      <c r="B2994" s="21" t="s">
        <v>1146</v>
      </c>
      <c r="C2994" s="21" t="s">
        <v>1149</v>
      </c>
      <c r="D2994" s="21" t="s">
        <v>420</v>
      </c>
      <c r="E2994" s="21" t="s">
        <v>3093</v>
      </c>
      <c r="G2994" s="21" t="s">
        <v>153</v>
      </c>
      <c r="H2994" s="21" t="s">
        <v>1165</v>
      </c>
      <c r="I2994" s="21" t="s">
        <v>3087</v>
      </c>
      <c r="J2994" s="21">
        <v>55.266666666666602</v>
      </c>
      <c r="K2994">
        <v>-128.4</v>
      </c>
      <c r="L2994">
        <v>1100</v>
      </c>
      <c r="M2994" s="21" t="s">
        <v>3034</v>
      </c>
      <c r="O2994" s="21">
        <v>1992</v>
      </c>
      <c r="Q2994" s="21" t="s">
        <v>3086</v>
      </c>
      <c r="T2994" s="21">
        <v>-20</v>
      </c>
      <c r="U2994" s="21" t="s">
        <v>1218</v>
      </c>
      <c r="V2994" s="9" t="s">
        <v>1247</v>
      </c>
      <c r="W2994" s="21">
        <v>56</v>
      </c>
      <c r="X2994" s="9" t="s">
        <v>3088</v>
      </c>
      <c r="Y2994" t="s">
        <v>3102</v>
      </c>
      <c r="Z2994" s="22">
        <v>8</v>
      </c>
      <c r="AD2994" s="22" t="s">
        <v>1165</v>
      </c>
      <c r="AF2994" s="24" t="s">
        <v>153</v>
      </c>
      <c r="AG2994" t="s">
        <v>1160</v>
      </c>
      <c r="AH2994">
        <f t="shared" si="32"/>
        <v>4320</v>
      </c>
      <c r="AI2994" s="21" t="s">
        <v>153</v>
      </c>
      <c r="AJ2994" s="21" t="s">
        <v>1278</v>
      </c>
      <c r="AK2994" s="21">
        <v>44</v>
      </c>
      <c r="AL2994" s="21" t="s">
        <v>1321</v>
      </c>
      <c r="AM2994" s="21"/>
      <c r="AN2994" s="21">
        <v>3</v>
      </c>
      <c r="AO2994" s="21">
        <v>50</v>
      </c>
      <c r="AP2994" s="21">
        <v>30</v>
      </c>
      <c r="AQ2994" s="22" t="s">
        <v>3016</v>
      </c>
      <c r="AR2994" s="21" t="s">
        <v>1298</v>
      </c>
      <c r="AS2994" t="s">
        <v>3085</v>
      </c>
    </row>
    <row r="2995" spans="1:45" x14ac:dyDescent="0.2">
      <c r="A2995" s="21" t="s">
        <v>1685</v>
      </c>
      <c r="B2995" s="21" t="s">
        <v>1146</v>
      </c>
      <c r="C2995" s="21" t="s">
        <v>1149</v>
      </c>
      <c r="D2995" s="21" t="s">
        <v>420</v>
      </c>
      <c r="E2995" s="21" t="s">
        <v>3093</v>
      </c>
      <c r="G2995" s="21" t="s">
        <v>153</v>
      </c>
      <c r="H2995" s="21" t="s">
        <v>1165</v>
      </c>
      <c r="I2995" s="21" t="s">
        <v>3087</v>
      </c>
      <c r="J2995" s="21">
        <v>55.266666666666602</v>
      </c>
      <c r="K2995">
        <v>-128.4</v>
      </c>
      <c r="L2995">
        <v>1100</v>
      </c>
      <c r="M2995" s="21" t="s">
        <v>3034</v>
      </c>
      <c r="O2995" s="21">
        <v>1992</v>
      </c>
      <c r="Q2995" s="21" t="s">
        <v>3086</v>
      </c>
      <c r="T2995" s="21">
        <v>-20</v>
      </c>
      <c r="U2995" s="21" t="s">
        <v>1218</v>
      </c>
      <c r="V2995" s="9" t="s">
        <v>1247</v>
      </c>
      <c r="W2995" s="21">
        <v>84</v>
      </c>
      <c r="X2995" s="9" t="s">
        <v>3088</v>
      </c>
      <c r="Y2995" t="s">
        <v>3102</v>
      </c>
      <c r="Z2995" s="22">
        <v>8</v>
      </c>
      <c r="AD2995" s="22" t="s">
        <v>1165</v>
      </c>
      <c r="AF2995" s="24" t="s">
        <v>153</v>
      </c>
      <c r="AG2995" t="s">
        <v>1160</v>
      </c>
      <c r="AH2995">
        <f t="shared" si="32"/>
        <v>4320</v>
      </c>
      <c r="AI2995" s="21" t="s">
        <v>153</v>
      </c>
      <c r="AJ2995" s="21" t="s">
        <v>1148</v>
      </c>
      <c r="AK2995" s="21">
        <v>58</v>
      </c>
      <c r="AL2995" s="21" t="s">
        <v>1321</v>
      </c>
      <c r="AM2995" s="21"/>
      <c r="AN2995" s="21">
        <v>3</v>
      </c>
      <c r="AO2995" s="21">
        <v>50</v>
      </c>
      <c r="AP2995" s="21">
        <v>30</v>
      </c>
      <c r="AQ2995" s="22" t="s">
        <v>3016</v>
      </c>
      <c r="AR2995" s="21" t="s">
        <v>1298</v>
      </c>
      <c r="AS2995" t="s">
        <v>3085</v>
      </c>
    </row>
    <row r="2996" spans="1:45" x14ac:dyDescent="0.2">
      <c r="A2996" s="21" t="s">
        <v>1685</v>
      </c>
      <c r="B2996" s="21" t="s">
        <v>1146</v>
      </c>
      <c r="C2996" s="21" t="s">
        <v>1149</v>
      </c>
      <c r="D2996" s="21" t="s">
        <v>420</v>
      </c>
      <c r="E2996" s="21" t="s">
        <v>3093</v>
      </c>
      <c r="G2996" s="21" t="s">
        <v>153</v>
      </c>
      <c r="H2996" s="21" t="s">
        <v>1165</v>
      </c>
      <c r="I2996" s="21" t="s">
        <v>3087</v>
      </c>
      <c r="J2996" s="21">
        <v>55.266666666666602</v>
      </c>
      <c r="K2996">
        <v>-128.4</v>
      </c>
      <c r="L2996">
        <v>1100</v>
      </c>
      <c r="M2996" s="21" t="s">
        <v>3034</v>
      </c>
      <c r="O2996" s="21">
        <v>1992</v>
      </c>
      <c r="Q2996" s="21" t="s">
        <v>3086</v>
      </c>
      <c r="T2996" s="21">
        <v>-20</v>
      </c>
      <c r="U2996" s="21" t="s">
        <v>1218</v>
      </c>
      <c r="V2996" s="9" t="s">
        <v>1247</v>
      </c>
      <c r="W2996" s="21">
        <v>84</v>
      </c>
      <c r="X2996" s="9" t="s">
        <v>3088</v>
      </c>
      <c r="Y2996" t="s">
        <v>3102</v>
      </c>
      <c r="Z2996" s="22">
        <v>8</v>
      </c>
      <c r="AD2996" s="22" t="s">
        <v>1165</v>
      </c>
      <c r="AF2996" s="24" t="s">
        <v>153</v>
      </c>
      <c r="AG2996" t="s">
        <v>1160</v>
      </c>
      <c r="AH2996">
        <f t="shared" si="32"/>
        <v>4320</v>
      </c>
      <c r="AI2996" s="21" t="s">
        <v>153</v>
      </c>
      <c r="AJ2996" s="21" t="s">
        <v>1278</v>
      </c>
      <c r="AK2996" s="21">
        <v>31</v>
      </c>
      <c r="AL2996" s="21" t="s">
        <v>1321</v>
      </c>
      <c r="AM2996" s="21"/>
      <c r="AN2996" s="21">
        <v>3</v>
      </c>
      <c r="AO2996" s="21">
        <v>50</v>
      </c>
      <c r="AP2996" s="21">
        <v>30</v>
      </c>
      <c r="AQ2996" s="22" t="s">
        <v>3016</v>
      </c>
      <c r="AR2996" s="21" t="s">
        <v>1298</v>
      </c>
      <c r="AS2996" t="s">
        <v>3085</v>
      </c>
    </row>
    <row r="2997" spans="1:45" x14ac:dyDescent="0.2">
      <c r="A2997" s="21" t="s">
        <v>1685</v>
      </c>
      <c r="B2997" s="21" t="s">
        <v>1146</v>
      </c>
      <c r="C2997" s="21" t="s">
        <v>1149</v>
      </c>
      <c r="D2997" s="21" t="s">
        <v>420</v>
      </c>
      <c r="E2997" s="21" t="s">
        <v>3093</v>
      </c>
      <c r="G2997" s="21" t="s">
        <v>153</v>
      </c>
      <c r="H2997" s="21" t="s">
        <v>1165</v>
      </c>
      <c r="I2997" s="21" t="s">
        <v>3087</v>
      </c>
      <c r="J2997" s="21">
        <v>55.266666666666602</v>
      </c>
      <c r="K2997">
        <v>-128.4</v>
      </c>
      <c r="L2997">
        <v>1100</v>
      </c>
      <c r="M2997" s="21" t="s">
        <v>3034</v>
      </c>
      <c r="O2997" s="21">
        <v>1992</v>
      </c>
      <c r="Q2997" s="21" t="s">
        <v>3086</v>
      </c>
      <c r="T2997" s="21">
        <v>-20</v>
      </c>
      <c r="U2997" s="21" t="s">
        <v>1147</v>
      </c>
      <c r="W2997" s="21"/>
      <c r="X2997" s="9" t="s">
        <v>3088</v>
      </c>
      <c r="Z2997" s="22">
        <v>8</v>
      </c>
      <c r="AD2997" s="22" t="s">
        <v>1165</v>
      </c>
      <c r="AF2997" s="24" t="s">
        <v>153</v>
      </c>
      <c r="AG2997" t="s">
        <v>1160</v>
      </c>
      <c r="AH2997">
        <f t="shared" si="32"/>
        <v>4320</v>
      </c>
      <c r="AI2997" s="21" t="s">
        <v>153</v>
      </c>
      <c r="AJ2997" s="21" t="s">
        <v>1148</v>
      </c>
      <c r="AK2997" s="21">
        <v>12</v>
      </c>
      <c r="AL2997" s="21" t="s">
        <v>1321</v>
      </c>
      <c r="AM2997" s="21"/>
      <c r="AN2997" s="21">
        <v>3</v>
      </c>
      <c r="AO2997" s="21">
        <v>50</v>
      </c>
      <c r="AP2997" s="21">
        <v>30</v>
      </c>
      <c r="AQ2997" s="22" t="s">
        <v>3016</v>
      </c>
      <c r="AR2997" s="21" t="s">
        <v>1298</v>
      </c>
      <c r="AS2997" t="s">
        <v>3085</v>
      </c>
    </row>
    <row r="2998" spans="1:45" x14ac:dyDescent="0.2">
      <c r="A2998" s="21" t="s">
        <v>1685</v>
      </c>
      <c r="B2998" s="21" t="s">
        <v>1146</v>
      </c>
      <c r="C2998" s="21" t="s">
        <v>1149</v>
      </c>
      <c r="D2998" s="21" t="s">
        <v>420</v>
      </c>
      <c r="E2998" s="21" t="s">
        <v>3093</v>
      </c>
      <c r="G2998" s="21" t="s">
        <v>153</v>
      </c>
      <c r="H2998" s="21" t="s">
        <v>1165</v>
      </c>
      <c r="I2998" s="21" t="s">
        <v>3087</v>
      </c>
      <c r="J2998" s="21">
        <v>55.266666666666602</v>
      </c>
      <c r="K2998">
        <v>-128.4</v>
      </c>
      <c r="L2998">
        <v>1100</v>
      </c>
      <c r="M2998" s="21" t="s">
        <v>3034</v>
      </c>
      <c r="O2998" s="21">
        <v>1992</v>
      </c>
      <c r="Q2998" s="21" t="s">
        <v>3086</v>
      </c>
      <c r="T2998" s="21">
        <v>-20</v>
      </c>
      <c r="U2998" s="21" t="s">
        <v>1147</v>
      </c>
      <c r="W2998" s="21"/>
      <c r="X2998" s="9" t="s">
        <v>3088</v>
      </c>
      <c r="Z2998" s="22">
        <v>8</v>
      </c>
      <c r="AD2998" s="22" t="s">
        <v>1165</v>
      </c>
      <c r="AF2998" s="24" t="s">
        <v>153</v>
      </c>
      <c r="AG2998" t="s">
        <v>1160</v>
      </c>
      <c r="AH2998">
        <f t="shared" si="32"/>
        <v>4320</v>
      </c>
      <c r="AI2998" s="21" t="s">
        <v>153</v>
      </c>
      <c r="AJ2998" s="21" t="s">
        <v>1278</v>
      </c>
      <c r="AK2998" s="21">
        <v>6</v>
      </c>
      <c r="AL2998" s="21" t="s">
        <v>1321</v>
      </c>
      <c r="AM2998" s="21"/>
      <c r="AN2998" s="21">
        <v>3</v>
      </c>
      <c r="AO2998" s="21">
        <v>50</v>
      </c>
      <c r="AP2998" s="21">
        <v>30</v>
      </c>
      <c r="AQ2998" s="22" t="s">
        <v>3016</v>
      </c>
      <c r="AR2998" s="21" t="s">
        <v>1298</v>
      </c>
      <c r="AS2998" t="s">
        <v>3085</v>
      </c>
    </row>
    <row r="2999" spans="1:45" x14ac:dyDescent="0.2">
      <c r="A2999" s="21" t="s">
        <v>1685</v>
      </c>
      <c r="B2999" s="21" t="s">
        <v>1146</v>
      </c>
      <c r="C2999" s="21" t="s">
        <v>1149</v>
      </c>
      <c r="D2999" s="21" t="s">
        <v>420</v>
      </c>
      <c r="E2999" s="21" t="s">
        <v>3093</v>
      </c>
      <c r="G2999" s="21" t="s">
        <v>153</v>
      </c>
      <c r="H2999" s="21" t="s">
        <v>1165</v>
      </c>
      <c r="I2999" s="21" t="s">
        <v>3087</v>
      </c>
      <c r="J2999" s="21">
        <v>55.266666666666602</v>
      </c>
      <c r="K2999">
        <v>-128.4</v>
      </c>
      <c r="L2999">
        <v>1100</v>
      </c>
      <c r="M2999" s="21" t="s">
        <v>3034</v>
      </c>
      <c r="O2999" s="21">
        <v>1992</v>
      </c>
      <c r="Q2999" s="21" t="s">
        <v>3086</v>
      </c>
      <c r="T2999" s="21">
        <v>-20</v>
      </c>
      <c r="U2999" s="21" t="s">
        <v>1147</v>
      </c>
      <c r="W2999" s="21"/>
      <c r="X2999" s="9" t="s">
        <v>3088</v>
      </c>
      <c r="Z2999" s="22">
        <v>8</v>
      </c>
      <c r="AD2999" s="22" t="s">
        <v>1165</v>
      </c>
      <c r="AF2999" s="24" t="s">
        <v>153</v>
      </c>
      <c r="AG2999" t="s">
        <v>1160</v>
      </c>
      <c r="AH2999">
        <f t="shared" si="32"/>
        <v>4320</v>
      </c>
      <c r="AI2999" s="21" t="s">
        <v>153</v>
      </c>
      <c r="AJ2999" s="21" t="s">
        <v>1148</v>
      </c>
      <c r="AK2999" s="21">
        <v>12</v>
      </c>
      <c r="AL2999" s="21" t="s">
        <v>1321</v>
      </c>
      <c r="AM2999" s="21"/>
      <c r="AN2999" s="21">
        <v>3</v>
      </c>
      <c r="AO2999" s="21">
        <v>50</v>
      </c>
      <c r="AP2999" s="21">
        <v>30</v>
      </c>
      <c r="AQ2999" s="22" t="s">
        <v>3016</v>
      </c>
      <c r="AR2999" s="21" t="s">
        <v>1298</v>
      </c>
      <c r="AS2999" t="s">
        <v>3085</v>
      </c>
    </row>
    <row r="3000" spans="1:45" x14ac:dyDescent="0.2">
      <c r="A3000" s="21" t="s">
        <v>1685</v>
      </c>
      <c r="B3000" s="21" t="s">
        <v>1146</v>
      </c>
      <c r="C3000" s="21" t="s">
        <v>1149</v>
      </c>
      <c r="D3000" s="21" t="s">
        <v>420</v>
      </c>
      <c r="E3000" s="21" t="s">
        <v>3093</v>
      </c>
      <c r="G3000" s="21" t="s">
        <v>153</v>
      </c>
      <c r="H3000" s="21" t="s">
        <v>1165</v>
      </c>
      <c r="I3000" s="21" t="s">
        <v>3087</v>
      </c>
      <c r="J3000" s="21">
        <v>55.266666666666602</v>
      </c>
      <c r="K3000">
        <v>-128.4</v>
      </c>
      <c r="L3000">
        <v>1100</v>
      </c>
      <c r="M3000" s="21" t="s">
        <v>3034</v>
      </c>
      <c r="O3000" s="21">
        <v>1992</v>
      </c>
      <c r="Q3000" s="21" t="s">
        <v>3086</v>
      </c>
      <c r="T3000" s="21">
        <v>-20</v>
      </c>
      <c r="U3000" s="21" t="s">
        <v>1147</v>
      </c>
      <c r="W3000" s="21"/>
      <c r="X3000" s="9" t="s">
        <v>3088</v>
      </c>
      <c r="Z3000" s="22">
        <v>8</v>
      </c>
      <c r="AD3000" s="22" t="s">
        <v>1165</v>
      </c>
      <c r="AF3000" s="24" t="s">
        <v>153</v>
      </c>
      <c r="AG3000" t="s">
        <v>1160</v>
      </c>
      <c r="AH3000">
        <f t="shared" si="32"/>
        <v>4320</v>
      </c>
      <c r="AI3000" s="21" t="s">
        <v>153</v>
      </c>
      <c r="AJ3000" s="21" t="s">
        <v>1278</v>
      </c>
      <c r="AK3000" s="21">
        <v>6</v>
      </c>
      <c r="AL3000" s="21" t="s">
        <v>1321</v>
      </c>
      <c r="AM3000" s="21"/>
      <c r="AN3000" s="21">
        <v>3</v>
      </c>
      <c r="AO3000" s="21">
        <v>50</v>
      </c>
      <c r="AP3000" s="21">
        <v>30</v>
      </c>
      <c r="AQ3000" s="22" t="s">
        <v>3016</v>
      </c>
      <c r="AR3000" s="21" t="s">
        <v>1298</v>
      </c>
      <c r="AS3000" t="s">
        <v>3085</v>
      </c>
    </row>
    <row r="3001" spans="1:45" x14ac:dyDescent="0.2">
      <c r="A3001" s="21" t="s">
        <v>1685</v>
      </c>
      <c r="B3001" s="21" t="s">
        <v>1146</v>
      </c>
      <c r="C3001" s="21" t="s">
        <v>1149</v>
      </c>
      <c r="D3001" s="21" t="s">
        <v>420</v>
      </c>
      <c r="E3001" s="21" t="s">
        <v>3093</v>
      </c>
      <c r="G3001" s="21" t="s">
        <v>153</v>
      </c>
      <c r="H3001" s="21" t="s">
        <v>1165</v>
      </c>
      <c r="I3001" s="21" t="s">
        <v>3087</v>
      </c>
      <c r="J3001" s="21">
        <v>55.266666666666602</v>
      </c>
      <c r="K3001">
        <v>-128.4</v>
      </c>
      <c r="L3001">
        <v>1100</v>
      </c>
      <c r="M3001" s="21" t="s">
        <v>3034</v>
      </c>
      <c r="O3001" s="21">
        <v>1992</v>
      </c>
      <c r="Q3001" s="21" t="s">
        <v>3086</v>
      </c>
      <c r="T3001" s="21">
        <v>-20</v>
      </c>
      <c r="U3001" s="21" t="s">
        <v>1147</v>
      </c>
      <c r="W3001" s="21"/>
      <c r="X3001" s="9" t="s">
        <v>3088</v>
      </c>
      <c r="Z3001" s="22">
        <v>8</v>
      </c>
      <c r="AD3001" s="22" t="s">
        <v>1165</v>
      </c>
      <c r="AF3001" s="24" t="s">
        <v>153</v>
      </c>
      <c r="AG3001" t="s">
        <v>1160</v>
      </c>
      <c r="AH3001">
        <f t="shared" si="32"/>
        <v>4320</v>
      </c>
      <c r="AI3001" s="21" t="s">
        <v>153</v>
      </c>
      <c r="AJ3001" s="21" t="s">
        <v>1148</v>
      </c>
      <c r="AK3001" s="21">
        <v>12</v>
      </c>
      <c r="AL3001" s="21" t="s">
        <v>1321</v>
      </c>
      <c r="AM3001" s="21"/>
      <c r="AN3001" s="21">
        <v>3</v>
      </c>
      <c r="AO3001" s="21">
        <v>50</v>
      </c>
      <c r="AP3001" s="21">
        <v>30</v>
      </c>
      <c r="AQ3001" s="22" t="s">
        <v>3016</v>
      </c>
      <c r="AR3001" s="21" t="s">
        <v>1298</v>
      </c>
      <c r="AS3001" t="s">
        <v>3085</v>
      </c>
    </row>
    <row r="3002" spans="1:45" x14ac:dyDescent="0.2">
      <c r="A3002" s="21" t="s">
        <v>1685</v>
      </c>
      <c r="B3002" s="21" t="s">
        <v>1146</v>
      </c>
      <c r="C3002" s="21" t="s">
        <v>1149</v>
      </c>
      <c r="D3002" s="21" t="s">
        <v>420</v>
      </c>
      <c r="E3002" s="21" t="s">
        <v>3093</v>
      </c>
      <c r="G3002" s="21" t="s">
        <v>153</v>
      </c>
      <c r="H3002" s="21" t="s">
        <v>1165</v>
      </c>
      <c r="I3002" s="21" t="s">
        <v>3087</v>
      </c>
      <c r="J3002" s="21">
        <v>55.266666666666602</v>
      </c>
      <c r="K3002">
        <v>-128.4</v>
      </c>
      <c r="L3002">
        <v>1100</v>
      </c>
      <c r="M3002" s="21" t="s">
        <v>3034</v>
      </c>
      <c r="O3002" s="21">
        <v>1992</v>
      </c>
      <c r="Q3002" s="21" t="s">
        <v>3086</v>
      </c>
      <c r="T3002" s="21">
        <v>-20</v>
      </c>
      <c r="U3002" s="21" t="s">
        <v>1147</v>
      </c>
      <c r="W3002" s="21"/>
      <c r="X3002" s="9" t="s">
        <v>3088</v>
      </c>
      <c r="Z3002" s="22">
        <v>8</v>
      </c>
      <c r="AD3002" s="22" t="s">
        <v>1165</v>
      </c>
      <c r="AF3002" s="24" t="s">
        <v>153</v>
      </c>
      <c r="AG3002" t="s">
        <v>1160</v>
      </c>
      <c r="AH3002">
        <f t="shared" si="32"/>
        <v>4320</v>
      </c>
      <c r="AI3002" s="21" t="s">
        <v>153</v>
      </c>
      <c r="AJ3002" s="21" t="s">
        <v>1278</v>
      </c>
      <c r="AK3002" s="21">
        <v>6</v>
      </c>
      <c r="AL3002" s="21" t="s">
        <v>1321</v>
      </c>
      <c r="AM3002" s="21"/>
      <c r="AN3002" s="21">
        <v>3</v>
      </c>
      <c r="AO3002" s="21">
        <v>50</v>
      </c>
      <c r="AP3002" s="21">
        <v>30</v>
      </c>
      <c r="AQ3002" s="22" t="s">
        <v>3016</v>
      </c>
      <c r="AR3002" s="21" t="s">
        <v>1298</v>
      </c>
      <c r="AS3002" t="s">
        <v>3085</v>
      </c>
    </row>
    <row r="3003" spans="1:45" x14ac:dyDescent="0.2">
      <c r="A3003" s="21" t="s">
        <v>1685</v>
      </c>
      <c r="B3003" s="21" t="s">
        <v>1146</v>
      </c>
      <c r="C3003" s="21" t="s">
        <v>1149</v>
      </c>
      <c r="D3003" s="21" t="s">
        <v>420</v>
      </c>
      <c r="E3003" s="21" t="s">
        <v>2027</v>
      </c>
      <c r="G3003" s="21" t="s">
        <v>153</v>
      </c>
      <c r="H3003" s="21" t="s">
        <v>1165</v>
      </c>
      <c r="I3003" s="21" t="s">
        <v>3095</v>
      </c>
      <c r="J3003" s="21">
        <v>49.466666666666598</v>
      </c>
      <c r="K3003">
        <v>-124.8</v>
      </c>
      <c r="L3003">
        <v>40</v>
      </c>
      <c r="M3003" s="21" t="s">
        <v>3034</v>
      </c>
      <c r="O3003" s="21">
        <v>1981</v>
      </c>
      <c r="Q3003" s="21" t="s">
        <v>3086</v>
      </c>
      <c r="T3003" s="21">
        <v>-20</v>
      </c>
      <c r="U3003" s="21" t="s">
        <v>1218</v>
      </c>
      <c r="V3003" s="9" t="s">
        <v>1247</v>
      </c>
      <c r="W3003" s="21">
        <v>28</v>
      </c>
      <c r="X3003" s="9" t="s">
        <v>3088</v>
      </c>
      <c r="Z3003" s="22">
        <v>8</v>
      </c>
      <c r="AD3003" s="22" t="s">
        <v>1165</v>
      </c>
      <c r="AF3003" s="24" t="s">
        <v>153</v>
      </c>
      <c r="AG3003" t="s">
        <v>1160</v>
      </c>
      <c r="AH3003">
        <f t="shared" si="32"/>
        <v>4320</v>
      </c>
      <c r="AI3003" s="21" t="s">
        <v>153</v>
      </c>
      <c r="AJ3003" s="21" t="s">
        <v>1148</v>
      </c>
      <c r="AK3003" s="21">
        <v>53</v>
      </c>
      <c r="AL3003" s="21" t="s">
        <v>1321</v>
      </c>
      <c r="AN3003" s="21">
        <v>3</v>
      </c>
      <c r="AO3003" s="21">
        <v>50</v>
      </c>
      <c r="AP3003" s="21">
        <v>30</v>
      </c>
      <c r="AQ3003" s="22" t="s">
        <v>3016</v>
      </c>
      <c r="AR3003" s="21" t="s">
        <v>1298</v>
      </c>
      <c r="AS3003" t="s">
        <v>3085</v>
      </c>
    </row>
    <row r="3004" spans="1:45" x14ac:dyDescent="0.2">
      <c r="A3004" s="21" t="s">
        <v>1685</v>
      </c>
      <c r="B3004" s="21" t="s">
        <v>1146</v>
      </c>
      <c r="C3004" s="21" t="s">
        <v>1149</v>
      </c>
      <c r="D3004" s="21" t="s">
        <v>420</v>
      </c>
      <c r="E3004" s="21" t="s">
        <v>2027</v>
      </c>
      <c r="G3004" s="21" t="s">
        <v>153</v>
      </c>
      <c r="H3004" s="21" t="s">
        <v>1165</v>
      </c>
      <c r="I3004" s="21" t="s">
        <v>3095</v>
      </c>
      <c r="J3004" s="21">
        <v>49.466666666666598</v>
      </c>
      <c r="K3004">
        <v>-124.8</v>
      </c>
      <c r="L3004">
        <v>40</v>
      </c>
      <c r="M3004" s="21" t="s">
        <v>3034</v>
      </c>
      <c r="O3004" s="21">
        <v>1981</v>
      </c>
      <c r="Q3004" s="21" t="s">
        <v>3086</v>
      </c>
      <c r="T3004" s="21">
        <v>-20</v>
      </c>
      <c r="U3004" s="21" t="s">
        <v>1218</v>
      </c>
      <c r="V3004" s="9" t="s">
        <v>1247</v>
      </c>
      <c r="W3004" s="21">
        <v>28</v>
      </c>
      <c r="X3004" s="9" t="s">
        <v>3088</v>
      </c>
      <c r="Z3004" s="22">
        <v>8</v>
      </c>
      <c r="AD3004" s="22" t="s">
        <v>1165</v>
      </c>
      <c r="AF3004" s="24" t="s">
        <v>153</v>
      </c>
      <c r="AG3004" t="s">
        <v>1160</v>
      </c>
      <c r="AH3004">
        <f t="shared" si="32"/>
        <v>4320</v>
      </c>
      <c r="AI3004" s="21" t="s">
        <v>153</v>
      </c>
      <c r="AJ3004" s="21" t="s">
        <v>1278</v>
      </c>
      <c r="AK3004" s="21">
        <v>16</v>
      </c>
      <c r="AL3004" s="21" t="s">
        <v>1321</v>
      </c>
      <c r="AN3004" s="21">
        <v>3</v>
      </c>
      <c r="AO3004" s="21">
        <v>50</v>
      </c>
      <c r="AP3004" s="21">
        <v>30</v>
      </c>
      <c r="AQ3004" s="22" t="s">
        <v>3016</v>
      </c>
      <c r="AR3004" s="21" t="s">
        <v>1298</v>
      </c>
      <c r="AS3004" t="s">
        <v>3085</v>
      </c>
    </row>
    <row r="3005" spans="1:45" x14ac:dyDescent="0.2">
      <c r="A3005" s="21" t="s">
        <v>1685</v>
      </c>
      <c r="B3005" s="21" t="s">
        <v>1146</v>
      </c>
      <c r="C3005" s="21" t="s">
        <v>1149</v>
      </c>
      <c r="D3005" s="21" t="s">
        <v>420</v>
      </c>
      <c r="E3005" s="21" t="s">
        <v>2027</v>
      </c>
      <c r="G3005" s="21" t="s">
        <v>153</v>
      </c>
      <c r="H3005" s="21" t="s">
        <v>1165</v>
      </c>
      <c r="I3005" s="21" t="s">
        <v>3095</v>
      </c>
      <c r="J3005" s="21">
        <v>49.466666666666598</v>
      </c>
      <c r="K3005">
        <v>-124.8</v>
      </c>
      <c r="L3005">
        <v>40</v>
      </c>
      <c r="M3005" s="21" t="s">
        <v>3034</v>
      </c>
      <c r="O3005" s="21">
        <v>1981</v>
      </c>
      <c r="Q3005" s="21" t="s">
        <v>3086</v>
      </c>
      <c r="T3005" s="21">
        <v>-20</v>
      </c>
      <c r="U3005" s="21" t="s">
        <v>1218</v>
      </c>
      <c r="V3005" s="9" t="s">
        <v>1247</v>
      </c>
      <c r="W3005" s="21">
        <v>56</v>
      </c>
      <c r="X3005" s="9" t="s">
        <v>3088</v>
      </c>
      <c r="Z3005" s="22">
        <v>8</v>
      </c>
      <c r="AD3005" s="22" t="s">
        <v>1165</v>
      </c>
      <c r="AF3005" s="24" t="s">
        <v>153</v>
      </c>
      <c r="AG3005" t="s">
        <v>1160</v>
      </c>
      <c r="AH3005">
        <f t="shared" si="32"/>
        <v>4320</v>
      </c>
      <c r="AI3005" s="21" t="s">
        <v>153</v>
      </c>
      <c r="AJ3005" s="21" t="s">
        <v>1148</v>
      </c>
      <c r="AK3005" s="21">
        <v>79</v>
      </c>
      <c r="AL3005" s="21" t="s">
        <v>1321</v>
      </c>
      <c r="AN3005" s="21">
        <v>3</v>
      </c>
      <c r="AO3005" s="21">
        <v>50</v>
      </c>
      <c r="AP3005" s="21">
        <v>30</v>
      </c>
      <c r="AQ3005" s="22" t="s">
        <v>3016</v>
      </c>
      <c r="AR3005" s="21" t="s">
        <v>1298</v>
      </c>
      <c r="AS3005" t="s">
        <v>3085</v>
      </c>
    </row>
    <row r="3006" spans="1:45" x14ac:dyDescent="0.2">
      <c r="A3006" s="21" t="s">
        <v>1685</v>
      </c>
      <c r="B3006" s="21" t="s">
        <v>1146</v>
      </c>
      <c r="C3006" s="21" t="s">
        <v>1149</v>
      </c>
      <c r="D3006" s="21" t="s">
        <v>420</v>
      </c>
      <c r="E3006" s="21" t="s">
        <v>2027</v>
      </c>
      <c r="G3006" s="21" t="s">
        <v>153</v>
      </c>
      <c r="H3006" s="21" t="s">
        <v>1165</v>
      </c>
      <c r="I3006" s="21" t="s">
        <v>3095</v>
      </c>
      <c r="J3006" s="21">
        <v>49.466666666666598</v>
      </c>
      <c r="K3006">
        <v>-124.8</v>
      </c>
      <c r="L3006">
        <v>40</v>
      </c>
      <c r="M3006" s="21" t="s">
        <v>3034</v>
      </c>
      <c r="O3006" s="21">
        <v>1981</v>
      </c>
      <c r="Q3006" s="21" t="s">
        <v>3086</v>
      </c>
      <c r="T3006" s="21">
        <v>-20</v>
      </c>
      <c r="U3006" s="21" t="s">
        <v>1218</v>
      </c>
      <c r="V3006" s="9" t="s">
        <v>1247</v>
      </c>
      <c r="W3006" s="21">
        <v>56</v>
      </c>
      <c r="X3006" s="9" t="s">
        <v>3088</v>
      </c>
      <c r="Z3006" s="22">
        <v>8</v>
      </c>
      <c r="AD3006" s="22" t="s">
        <v>1165</v>
      </c>
      <c r="AF3006" s="24" t="s">
        <v>153</v>
      </c>
      <c r="AG3006" t="s">
        <v>1160</v>
      </c>
      <c r="AH3006">
        <f t="shared" si="32"/>
        <v>4320</v>
      </c>
      <c r="AI3006" s="21" t="s">
        <v>153</v>
      </c>
      <c r="AJ3006" s="21" t="s">
        <v>1278</v>
      </c>
      <c r="AK3006" s="21">
        <v>36</v>
      </c>
      <c r="AL3006" s="21" t="s">
        <v>1321</v>
      </c>
      <c r="AN3006" s="21">
        <v>3</v>
      </c>
      <c r="AO3006" s="21">
        <v>50</v>
      </c>
      <c r="AP3006" s="21">
        <v>30</v>
      </c>
      <c r="AQ3006" s="22" t="s">
        <v>3016</v>
      </c>
      <c r="AR3006" s="21" t="s">
        <v>1298</v>
      </c>
      <c r="AS3006" t="s">
        <v>3085</v>
      </c>
    </row>
    <row r="3007" spans="1:45" x14ac:dyDescent="0.2">
      <c r="A3007" s="21" t="s">
        <v>1685</v>
      </c>
      <c r="B3007" s="21" t="s">
        <v>1146</v>
      </c>
      <c r="C3007" s="21" t="s">
        <v>1149</v>
      </c>
      <c r="D3007" s="21" t="s">
        <v>420</v>
      </c>
      <c r="E3007" s="21" t="s">
        <v>2027</v>
      </c>
      <c r="G3007" s="21" t="s">
        <v>153</v>
      </c>
      <c r="H3007" s="21" t="s">
        <v>1165</v>
      </c>
      <c r="I3007" s="21" t="s">
        <v>3095</v>
      </c>
      <c r="J3007" s="21">
        <v>49.466666666666598</v>
      </c>
      <c r="K3007">
        <v>-124.8</v>
      </c>
      <c r="L3007">
        <v>40</v>
      </c>
      <c r="M3007" s="21" t="s">
        <v>3034</v>
      </c>
      <c r="O3007" s="21">
        <v>1981</v>
      </c>
      <c r="Q3007" s="21" t="s">
        <v>3086</v>
      </c>
      <c r="T3007" s="21">
        <v>-20</v>
      </c>
      <c r="U3007" s="21" t="s">
        <v>1218</v>
      </c>
      <c r="V3007" s="9" t="s">
        <v>1247</v>
      </c>
      <c r="W3007" s="21">
        <f>7*12</f>
        <v>84</v>
      </c>
      <c r="X3007" s="9" t="s">
        <v>3088</v>
      </c>
      <c r="Z3007" s="22">
        <v>8</v>
      </c>
      <c r="AD3007" s="22" t="s">
        <v>1165</v>
      </c>
      <c r="AF3007" s="24" t="s">
        <v>153</v>
      </c>
      <c r="AG3007" t="s">
        <v>1160</v>
      </c>
      <c r="AH3007">
        <f t="shared" si="32"/>
        <v>4320</v>
      </c>
      <c r="AI3007" s="21" t="s">
        <v>153</v>
      </c>
      <c r="AJ3007" s="21" t="s">
        <v>1148</v>
      </c>
      <c r="AK3007" s="21">
        <v>71</v>
      </c>
      <c r="AL3007" s="21" t="s">
        <v>1321</v>
      </c>
      <c r="AN3007" s="21">
        <v>3</v>
      </c>
      <c r="AO3007" s="21">
        <v>50</v>
      </c>
      <c r="AP3007" s="21">
        <v>30</v>
      </c>
      <c r="AQ3007" s="22" t="s">
        <v>3016</v>
      </c>
      <c r="AR3007" s="21" t="s">
        <v>1298</v>
      </c>
      <c r="AS3007" t="s">
        <v>3085</v>
      </c>
    </row>
    <row r="3008" spans="1:45" x14ac:dyDescent="0.2">
      <c r="A3008" s="21" t="s">
        <v>1685</v>
      </c>
      <c r="B3008" s="21" t="s">
        <v>1146</v>
      </c>
      <c r="C3008" s="21" t="s">
        <v>1149</v>
      </c>
      <c r="D3008" s="21" t="s">
        <v>420</v>
      </c>
      <c r="E3008" s="21" t="s">
        <v>2027</v>
      </c>
      <c r="G3008" s="21" t="s">
        <v>153</v>
      </c>
      <c r="H3008" s="21" t="s">
        <v>1165</v>
      </c>
      <c r="I3008" s="21" t="s">
        <v>3095</v>
      </c>
      <c r="J3008" s="21">
        <v>49.466666666666598</v>
      </c>
      <c r="K3008">
        <v>-124.8</v>
      </c>
      <c r="L3008">
        <v>40</v>
      </c>
      <c r="M3008" s="21" t="s">
        <v>3034</v>
      </c>
      <c r="O3008" s="21">
        <v>1981</v>
      </c>
      <c r="Q3008" s="21" t="s">
        <v>3086</v>
      </c>
      <c r="T3008" s="21">
        <v>-20</v>
      </c>
      <c r="U3008" s="21" t="s">
        <v>1218</v>
      </c>
      <c r="V3008" s="9" t="s">
        <v>1247</v>
      </c>
      <c r="W3008" s="21">
        <v>84</v>
      </c>
      <c r="X3008" s="9" t="s">
        <v>3088</v>
      </c>
      <c r="Z3008" s="22">
        <v>8</v>
      </c>
      <c r="AD3008" s="22" t="s">
        <v>1165</v>
      </c>
      <c r="AF3008" s="24" t="s">
        <v>153</v>
      </c>
      <c r="AG3008" t="s">
        <v>1160</v>
      </c>
      <c r="AH3008">
        <f t="shared" si="32"/>
        <v>4320</v>
      </c>
      <c r="AI3008" s="21" t="s">
        <v>153</v>
      </c>
      <c r="AJ3008" s="21" t="s">
        <v>1278</v>
      </c>
      <c r="AK3008" s="21">
        <v>41</v>
      </c>
      <c r="AL3008" s="21" t="s">
        <v>1321</v>
      </c>
      <c r="AN3008" s="21">
        <v>3</v>
      </c>
      <c r="AO3008" s="21">
        <v>50</v>
      </c>
      <c r="AP3008" s="21">
        <v>30</v>
      </c>
      <c r="AQ3008" s="22" t="s">
        <v>3016</v>
      </c>
      <c r="AR3008" s="21" t="s">
        <v>1298</v>
      </c>
      <c r="AS3008" t="s">
        <v>3085</v>
      </c>
    </row>
    <row r="3009" spans="1:45" x14ac:dyDescent="0.2">
      <c r="A3009" s="21" t="s">
        <v>1685</v>
      </c>
      <c r="B3009" s="21" t="s">
        <v>1146</v>
      </c>
      <c r="C3009" s="21" t="s">
        <v>1149</v>
      </c>
      <c r="D3009" s="21" t="s">
        <v>420</v>
      </c>
      <c r="E3009" s="21" t="s">
        <v>2027</v>
      </c>
      <c r="G3009" s="21" t="s">
        <v>153</v>
      </c>
      <c r="H3009" s="21" t="s">
        <v>1165</v>
      </c>
      <c r="I3009" s="21" t="s">
        <v>3095</v>
      </c>
      <c r="J3009" s="21">
        <v>49.466666666666598</v>
      </c>
      <c r="K3009">
        <v>-124.8</v>
      </c>
      <c r="L3009">
        <v>40</v>
      </c>
      <c r="M3009" s="21" t="s">
        <v>3034</v>
      </c>
      <c r="O3009" s="21">
        <v>1981</v>
      </c>
      <c r="Q3009" s="21" t="s">
        <v>3086</v>
      </c>
      <c r="T3009" s="21">
        <v>-20</v>
      </c>
      <c r="U3009" s="21" t="s">
        <v>1218</v>
      </c>
      <c r="V3009" s="9" t="s">
        <v>1247</v>
      </c>
      <c r="W3009" s="21">
        <v>28</v>
      </c>
      <c r="X3009" s="9" t="s">
        <v>3088</v>
      </c>
      <c r="Y3009" t="s">
        <v>3097</v>
      </c>
      <c r="Z3009" s="22">
        <v>8</v>
      </c>
      <c r="AD3009" s="22" t="s">
        <v>1165</v>
      </c>
      <c r="AF3009" s="24" t="s">
        <v>153</v>
      </c>
      <c r="AG3009" t="s">
        <v>1160</v>
      </c>
      <c r="AH3009">
        <f t="shared" si="32"/>
        <v>4320</v>
      </c>
      <c r="AI3009" s="21" t="s">
        <v>153</v>
      </c>
      <c r="AJ3009" s="21" t="s">
        <v>1148</v>
      </c>
      <c r="AK3009" s="21">
        <v>69</v>
      </c>
      <c r="AL3009" s="21" t="s">
        <v>1321</v>
      </c>
      <c r="AM3009" s="21"/>
      <c r="AN3009" s="21">
        <v>3</v>
      </c>
      <c r="AO3009" s="21">
        <v>50</v>
      </c>
      <c r="AP3009" s="21">
        <v>30</v>
      </c>
      <c r="AQ3009" s="22" t="s">
        <v>3016</v>
      </c>
      <c r="AR3009" s="21" t="s">
        <v>1298</v>
      </c>
      <c r="AS3009" t="s">
        <v>3085</v>
      </c>
    </row>
    <row r="3010" spans="1:45" x14ac:dyDescent="0.2">
      <c r="A3010" s="21" t="s">
        <v>1685</v>
      </c>
      <c r="B3010" s="21" t="s">
        <v>1146</v>
      </c>
      <c r="C3010" s="21" t="s">
        <v>1149</v>
      </c>
      <c r="D3010" s="21" t="s">
        <v>420</v>
      </c>
      <c r="E3010" s="21" t="s">
        <v>2027</v>
      </c>
      <c r="G3010" s="21" t="s">
        <v>153</v>
      </c>
      <c r="H3010" s="21" t="s">
        <v>1165</v>
      </c>
      <c r="I3010" s="21" t="s">
        <v>3095</v>
      </c>
      <c r="J3010" s="21">
        <v>49.466666666666598</v>
      </c>
      <c r="K3010">
        <v>-124.8</v>
      </c>
      <c r="L3010">
        <v>40</v>
      </c>
      <c r="M3010" s="21" t="s">
        <v>3034</v>
      </c>
      <c r="O3010" s="21">
        <v>1981</v>
      </c>
      <c r="Q3010" s="21" t="s">
        <v>3086</v>
      </c>
      <c r="T3010" s="21">
        <v>-20</v>
      </c>
      <c r="U3010" s="21" t="s">
        <v>1218</v>
      </c>
      <c r="V3010" s="9" t="s">
        <v>1247</v>
      </c>
      <c r="W3010" s="21">
        <v>28</v>
      </c>
      <c r="X3010" s="9" t="s">
        <v>3088</v>
      </c>
      <c r="Y3010" t="s">
        <v>3097</v>
      </c>
      <c r="Z3010" s="22">
        <v>8</v>
      </c>
      <c r="AD3010" s="22" t="s">
        <v>1165</v>
      </c>
      <c r="AF3010" s="24" t="s">
        <v>153</v>
      </c>
      <c r="AG3010" t="s">
        <v>1160</v>
      </c>
      <c r="AH3010">
        <f t="shared" si="32"/>
        <v>4320</v>
      </c>
      <c r="AI3010" s="21" t="s">
        <v>153</v>
      </c>
      <c r="AJ3010" s="21" t="s">
        <v>1278</v>
      </c>
      <c r="AK3010" s="21">
        <v>24</v>
      </c>
      <c r="AL3010" s="21" t="s">
        <v>1321</v>
      </c>
      <c r="AM3010" s="21"/>
      <c r="AN3010" s="21">
        <v>3</v>
      </c>
      <c r="AO3010" s="21">
        <v>50</v>
      </c>
      <c r="AP3010" s="21">
        <v>30</v>
      </c>
      <c r="AQ3010" s="22" t="s">
        <v>3016</v>
      </c>
      <c r="AR3010" s="21" t="s">
        <v>1298</v>
      </c>
      <c r="AS3010" t="s">
        <v>3085</v>
      </c>
    </row>
    <row r="3011" spans="1:45" x14ac:dyDescent="0.2">
      <c r="A3011" s="21" t="s">
        <v>1685</v>
      </c>
      <c r="B3011" s="21" t="s">
        <v>1146</v>
      </c>
      <c r="C3011" s="21" t="s">
        <v>1149</v>
      </c>
      <c r="D3011" s="21" t="s">
        <v>420</v>
      </c>
      <c r="E3011" s="21" t="s">
        <v>2027</v>
      </c>
      <c r="G3011" s="21" t="s">
        <v>153</v>
      </c>
      <c r="H3011" s="21" t="s">
        <v>1165</v>
      </c>
      <c r="I3011" s="21" t="s">
        <v>3095</v>
      </c>
      <c r="J3011" s="21">
        <v>49.466666666666598</v>
      </c>
      <c r="K3011">
        <v>-124.8</v>
      </c>
      <c r="L3011">
        <v>40</v>
      </c>
      <c r="M3011" s="21" t="s">
        <v>3034</v>
      </c>
      <c r="O3011" s="21">
        <v>1981</v>
      </c>
      <c r="Q3011" s="21" t="s">
        <v>3086</v>
      </c>
      <c r="T3011" s="21">
        <v>-20</v>
      </c>
      <c r="U3011" s="21" t="s">
        <v>1218</v>
      </c>
      <c r="V3011" s="9" t="s">
        <v>1247</v>
      </c>
      <c r="W3011" s="21">
        <v>56</v>
      </c>
      <c r="X3011" s="9" t="s">
        <v>3088</v>
      </c>
      <c r="Y3011" t="s">
        <v>3097</v>
      </c>
      <c r="Z3011" s="22">
        <v>8</v>
      </c>
      <c r="AD3011" s="22" t="s">
        <v>1165</v>
      </c>
      <c r="AF3011" s="24" t="s">
        <v>153</v>
      </c>
      <c r="AG3011" t="s">
        <v>1160</v>
      </c>
      <c r="AH3011">
        <f t="shared" si="32"/>
        <v>4320</v>
      </c>
      <c r="AI3011" s="21" t="s">
        <v>153</v>
      </c>
      <c r="AJ3011" s="21" t="s">
        <v>1148</v>
      </c>
      <c r="AK3011" s="21">
        <v>79</v>
      </c>
      <c r="AL3011" s="21" t="s">
        <v>1321</v>
      </c>
      <c r="AM3011" s="21"/>
      <c r="AN3011" s="21">
        <v>3</v>
      </c>
      <c r="AO3011" s="21">
        <v>50</v>
      </c>
      <c r="AP3011" s="21">
        <v>30</v>
      </c>
      <c r="AQ3011" s="22" t="s">
        <v>3016</v>
      </c>
      <c r="AR3011" s="21" t="s">
        <v>1298</v>
      </c>
      <c r="AS3011" t="s">
        <v>3085</v>
      </c>
    </row>
    <row r="3012" spans="1:45" x14ac:dyDescent="0.2">
      <c r="A3012" s="21" t="s">
        <v>1685</v>
      </c>
      <c r="B3012" s="21" t="s">
        <v>1146</v>
      </c>
      <c r="C3012" s="21" t="s">
        <v>1149</v>
      </c>
      <c r="D3012" s="21" t="s">
        <v>420</v>
      </c>
      <c r="E3012" s="21" t="s">
        <v>2027</v>
      </c>
      <c r="G3012" s="21" t="s">
        <v>153</v>
      </c>
      <c r="H3012" s="21" t="s">
        <v>1165</v>
      </c>
      <c r="I3012" s="21" t="s">
        <v>3095</v>
      </c>
      <c r="J3012" s="21">
        <v>49.466666666666598</v>
      </c>
      <c r="K3012">
        <v>-124.8</v>
      </c>
      <c r="L3012">
        <v>40</v>
      </c>
      <c r="M3012" s="21" t="s">
        <v>3034</v>
      </c>
      <c r="O3012" s="21">
        <v>1981</v>
      </c>
      <c r="Q3012" s="21" t="s">
        <v>3086</v>
      </c>
      <c r="T3012" s="21">
        <v>-20</v>
      </c>
      <c r="U3012" s="21" t="s">
        <v>1218</v>
      </c>
      <c r="V3012" s="9" t="s">
        <v>1247</v>
      </c>
      <c r="W3012" s="21">
        <v>56</v>
      </c>
      <c r="X3012" s="9" t="s">
        <v>3088</v>
      </c>
      <c r="Y3012" t="s">
        <v>3097</v>
      </c>
      <c r="Z3012" s="22">
        <v>8</v>
      </c>
      <c r="AD3012" s="22" t="s">
        <v>1165</v>
      </c>
      <c r="AF3012" s="24" t="s">
        <v>153</v>
      </c>
      <c r="AG3012" t="s">
        <v>1160</v>
      </c>
      <c r="AH3012">
        <f t="shared" si="32"/>
        <v>4320</v>
      </c>
      <c r="AI3012" s="21" t="s">
        <v>153</v>
      </c>
      <c r="AJ3012" s="21" t="s">
        <v>1278</v>
      </c>
      <c r="AK3012" s="21">
        <v>40</v>
      </c>
      <c r="AL3012" s="21" t="s">
        <v>1321</v>
      </c>
      <c r="AM3012" s="21"/>
      <c r="AN3012" s="21">
        <v>3</v>
      </c>
      <c r="AO3012" s="21">
        <v>50</v>
      </c>
      <c r="AP3012" s="21">
        <v>30</v>
      </c>
      <c r="AQ3012" s="22" t="s">
        <v>3016</v>
      </c>
      <c r="AR3012" s="21" t="s">
        <v>1298</v>
      </c>
      <c r="AS3012" t="s">
        <v>3085</v>
      </c>
    </row>
    <row r="3013" spans="1:45" x14ac:dyDescent="0.2">
      <c r="A3013" s="21" t="s">
        <v>1685</v>
      </c>
      <c r="B3013" s="21" t="s">
        <v>1146</v>
      </c>
      <c r="C3013" s="21" t="s">
        <v>1149</v>
      </c>
      <c r="D3013" s="21" t="s">
        <v>420</v>
      </c>
      <c r="E3013" s="21" t="s">
        <v>2027</v>
      </c>
      <c r="G3013" s="21" t="s">
        <v>153</v>
      </c>
      <c r="H3013" s="21" t="s">
        <v>1165</v>
      </c>
      <c r="I3013" s="21" t="s">
        <v>3095</v>
      </c>
      <c r="J3013" s="21">
        <v>49.466666666666598</v>
      </c>
      <c r="K3013">
        <v>-124.8</v>
      </c>
      <c r="L3013">
        <v>40</v>
      </c>
      <c r="M3013" s="21" t="s">
        <v>3034</v>
      </c>
      <c r="O3013" s="21">
        <v>1981</v>
      </c>
      <c r="Q3013" s="21" t="s">
        <v>3086</v>
      </c>
      <c r="T3013" s="21">
        <v>-20</v>
      </c>
      <c r="U3013" s="21" t="s">
        <v>1218</v>
      </c>
      <c r="V3013" s="9" t="s">
        <v>1247</v>
      </c>
      <c r="W3013" s="21">
        <v>84</v>
      </c>
      <c r="X3013" s="9" t="s">
        <v>3088</v>
      </c>
      <c r="Y3013" t="s">
        <v>3097</v>
      </c>
      <c r="Z3013" s="22">
        <v>8</v>
      </c>
      <c r="AD3013" s="22" t="s">
        <v>1165</v>
      </c>
      <c r="AF3013" s="24" t="s">
        <v>153</v>
      </c>
      <c r="AG3013" t="s">
        <v>1160</v>
      </c>
      <c r="AH3013">
        <f t="shared" si="32"/>
        <v>4320</v>
      </c>
      <c r="AI3013" s="21" t="s">
        <v>153</v>
      </c>
      <c r="AJ3013" s="21" t="s">
        <v>1148</v>
      </c>
      <c r="AK3013" s="21">
        <v>72</v>
      </c>
      <c r="AL3013" s="21" t="s">
        <v>1321</v>
      </c>
      <c r="AM3013" s="21"/>
      <c r="AN3013" s="21">
        <v>3</v>
      </c>
      <c r="AO3013" s="21">
        <v>50</v>
      </c>
      <c r="AP3013" s="21">
        <v>30</v>
      </c>
      <c r="AQ3013" s="22" t="s">
        <v>3016</v>
      </c>
      <c r="AR3013" s="21" t="s">
        <v>1298</v>
      </c>
      <c r="AS3013" t="s">
        <v>3085</v>
      </c>
    </row>
    <row r="3014" spans="1:45" x14ac:dyDescent="0.2">
      <c r="A3014" s="21" t="s">
        <v>1685</v>
      </c>
      <c r="B3014" s="21" t="s">
        <v>1146</v>
      </c>
      <c r="C3014" s="21" t="s">
        <v>1149</v>
      </c>
      <c r="D3014" s="21" t="s">
        <v>420</v>
      </c>
      <c r="E3014" s="21" t="s">
        <v>2027</v>
      </c>
      <c r="G3014" s="21" t="s">
        <v>153</v>
      </c>
      <c r="H3014" s="21" t="s">
        <v>1165</v>
      </c>
      <c r="I3014" s="21" t="s">
        <v>3095</v>
      </c>
      <c r="J3014" s="21">
        <v>49.466666666666598</v>
      </c>
      <c r="K3014">
        <v>-124.8</v>
      </c>
      <c r="L3014">
        <v>40</v>
      </c>
      <c r="M3014" s="21" t="s">
        <v>3034</v>
      </c>
      <c r="O3014" s="21">
        <v>1981</v>
      </c>
      <c r="Q3014" s="21" t="s">
        <v>3086</v>
      </c>
      <c r="T3014" s="21">
        <v>-20</v>
      </c>
      <c r="U3014" s="21" t="s">
        <v>1218</v>
      </c>
      <c r="V3014" s="9" t="s">
        <v>1247</v>
      </c>
      <c r="W3014" s="21">
        <v>84</v>
      </c>
      <c r="X3014" s="9" t="s">
        <v>3088</v>
      </c>
      <c r="Y3014" t="s">
        <v>3097</v>
      </c>
      <c r="Z3014" s="22">
        <v>8</v>
      </c>
      <c r="AD3014" s="22" t="s">
        <v>1165</v>
      </c>
      <c r="AF3014" s="24" t="s">
        <v>153</v>
      </c>
      <c r="AG3014" t="s">
        <v>1160</v>
      </c>
      <c r="AH3014">
        <f t="shared" si="32"/>
        <v>4320</v>
      </c>
      <c r="AI3014" s="21" t="s">
        <v>153</v>
      </c>
      <c r="AJ3014" s="21" t="s">
        <v>1278</v>
      </c>
      <c r="AK3014" s="21">
        <v>46</v>
      </c>
      <c r="AL3014" s="21" t="s">
        <v>1321</v>
      </c>
      <c r="AM3014" s="21"/>
      <c r="AN3014" s="21">
        <v>3</v>
      </c>
      <c r="AO3014" s="21">
        <v>50</v>
      </c>
      <c r="AP3014" s="21">
        <v>30</v>
      </c>
      <c r="AQ3014" s="22" t="s">
        <v>3016</v>
      </c>
      <c r="AR3014" s="21" t="s">
        <v>1298</v>
      </c>
      <c r="AS3014" t="s">
        <v>3085</v>
      </c>
    </row>
    <row r="3015" spans="1:45" x14ac:dyDescent="0.2">
      <c r="A3015" s="21" t="s">
        <v>1685</v>
      </c>
      <c r="B3015" s="21" t="s">
        <v>1146</v>
      </c>
      <c r="C3015" s="21" t="s">
        <v>1149</v>
      </c>
      <c r="D3015" s="21" t="s">
        <v>420</v>
      </c>
      <c r="E3015" s="21" t="s">
        <v>2027</v>
      </c>
      <c r="G3015" s="21" t="s">
        <v>153</v>
      </c>
      <c r="H3015" s="21" t="s">
        <v>1165</v>
      </c>
      <c r="I3015" s="21" t="s">
        <v>3095</v>
      </c>
      <c r="J3015" s="21">
        <v>49.466666666666598</v>
      </c>
      <c r="K3015">
        <v>-124.8</v>
      </c>
      <c r="L3015">
        <v>40</v>
      </c>
      <c r="M3015" s="21" t="s">
        <v>3034</v>
      </c>
      <c r="O3015" s="21">
        <v>1981</v>
      </c>
      <c r="Q3015" s="21" t="s">
        <v>3086</v>
      </c>
      <c r="T3015" s="21">
        <v>-20</v>
      </c>
      <c r="U3015" s="21" t="s">
        <v>1218</v>
      </c>
      <c r="V3015" s="9" t="s">
        <v>1247</v>
      </c>
      <c r="W3015" s="21">
        <v>28</v>
      </c>
      <c r="X3015" s="9" t="s">
        <v>3088</v>
      </c>
      <c r="Y3015" t="s">
        <v>3098</v>
      </c>
      <c r="Z3015" s="22">
        <v>8</v>
      </c>
      <c r="AD3015" s="22" t="s">
        <v>1165</v>
      </c>
      <c r="AF3015" s="24" t="s">
        <v>153</v>
      </c>
      <c r="AG3015" t="s">
        <v>1160</v>
      </c>
      <c r="AH3015">
        <f t="shared" si="32"/>
        <v>4320</v>
      </c>
      <c r="AI3015" s="21" t="s">
        <v>153</v>
      </c>
      <c r="AJ3015" s="21" t="s">
        <v>1148</v>
      </c>
      <c r="AK3015" s="21">
        <v>78</v>
      </c>
      <c r="AL3015" s="21" t="s">
        <v>1321</v>
      </c>
      <c r="AM3015" s="21"/>
      <c r="AN3015" s="21">
        <v>3</v>
      </c>
      <c r="AO3015" s="21">
        <v>50</v>
      </c>
      <c r="AP3015" s="21">
        <v>30</v>
      </c>
      <c r="AQ3015" s="22" t="s">
        <v>3016</v>
      </c>
      <c r="AR3015" s="21" t="s">
        <v>1298</v>
      </c>
      <c r="AS3015" t="s">
        <v>3085</v>
      </c>
    </row>
    <row r="3016" spans="1:45" x14ac:dyDescent="0.2">
      <c r="A3016" s="21" t="s">
        <v>1685</v>
      </c>
      <c r="B3016" s="21" t="s">
        <v>1146</v>
      </c>
      <c r="C3016" s="21" t="s">
        <v>1149</v>
      </c>
      <c r="D3016" s="21" t="s">
        <v>420</v>
      </c>
      <c r="E3016" s="21" t="s">
        <v>2027</v>
      </c>
      <c r="G3016" s="21" t="s">
        <v>153</v>
      </c>
      <c r="H3016" s="21" t="s">
        <v>1165</v>
      </c>
      <c r="I3016" s="21" t="s">
        <v>3095</v>
      </c>
      <c r="J3016" s="21">
        <v>49.466666666666598</v>
      </c>
      <c r="K3016">
        <v>-124.8</v>
      </c>
      <c r="L3016">
        <v>40</v>
      </c>
      <c r="M3016" s="21" t="s">
        <v>3034</v>
      </c>
      <c r="O3016" s="21">
        <v>1981</v>
      </c>
      <c r="Q3016" s="21" t="s">
        <v>3086</v>
      </c>
      <c r="T3016" s="21">
        <v>-20</v>
      </c>
      <c r="U3016" s="21" t="s">
        <v>1218</v>
      </c>
      <c r="V3016" s="9" t="s">
        <v>1247</v>
      </c>
      <c r="W3016" s="21">
        <v>28</v>
      </c>
      <c r="X3016" s="9" t="s">
        <v>3088</v>
      </c>
      <c r="Y3016" t="s">
        <v>3098</v>
      </c>
      <c r="Z3016" s="22">
        <v>8</v>
      </c>
      <c r="AD3016" s="22" t="s">
        <v>1165</v>
      </c>
      <c r="AF3016" s="24" t="s">
        <v>153</v>
      </c>
      <c r="AG3016" t="s">
        <v>1160</v>
      </c>
      <c r="AH3016">
        <f t="shared" si="32"/>
        <v>4320</v>
      </c>
      <c r="AI3016" s="21" t="s">
        <v>153</v>
      </c>
      <c r="AJ3016" s="21" t="s">
        <v>1278</v>
      </c>
      <c r="AK3016" s="21">
        <v>28</v>
      </c>
      <c r="AL3016" s="21" t="s">
        <v>1321</v>
      </c>
      <c r="AM3016" s="21"/>
      <c r="AN3016" s="21">
        <v>3</v>
      </c>
      <c r="AO3016" s="21">
        <v>50</v>
      </c>
      <c r="AP3016" s="21">
        <v>30</v>
      </c>
      <c r="AQ3016" s="22" t="s">
        <v>3016</v>
      </c>
      <c r="AR3016" s="21" t="s">
        <v>1298</v>
      </c>
      <c r="AS3016" t="s">
        <v>3085</v>
      </c>
    </row>
    <row r="3017" spans="1:45" x14ac:dyDescent="0.2">
      <c r="A3017" s="21" t="s">
        <v>1685</v>
      </c>
      <c r="B3017" s="21" t="s">
        <v>1146</v>
      </c>
      <c r="C3017" s="21" t="s">
        <v>1149</v>
      </c>
      <c r="D3017" s="21" t="s">
        <v>420</v>
      </c>
      <c r="E3017" s="21" t="s">
        <v>2027</v>
      </c>
      <c r="G3017" s="21" t="s">
        <v>153</v>
      </c>
      <c r="H3017" s="21" t="s">
        <v>1165</v>
      </c>
      <c r="I3017" s="21" t="s">
        <v>3095</v>
      </c>
      <c r="J3017" s="21">
        <v>49.466666666666598</v>
      </c>
      <c r="K3017">
        <v>-124.8</v>
      </c>
      <c r="L3017">
        <v>40</v>
      </c>
      <c r="M3017" s="21" t="s">
        <v>3034</v>
      </c>
      <c r="O3017" s="21">
        <v>1981</v>
      </c>
      <c r="Q3017" s="21" t="s">
        <v>3086</v>
      </c>
      <c r="T3017" s="21">
        <v>-20</v>
      </c>
      <c r="U3017" s="21" t="s">
        <v>1218</v>
      </c>
      <c r="V3017" s="9" t="s">
        <v>1247</v>
      </c>
      <c r="W3017" s="21">
        <v>56</v>
      </c>
      <c r="X3017" s="9" t="s">
        <v>3088</v>
      </c>
      <c r="Y3017" t="s">
        <v>3098</v>
      </c>
      <c r="Z3017" s="22">
        <v>8</v>
      </c>
      <c r="AD3017" s="22" t="s">
        <v>1165</v>
      </c>
      <c r="AF3017" s="24" t="s">
        <v>153</v>
      </c>
      <c r="AG3017" t="s">
        <v>1160</v>
      </c>
      <c r="AH3017">
        <f t="shared" si="32"/>
        <v>4320</v>
      </c>
      <c r="AI3017" s="21" t="s">
        <v>153</v>
      </c>
      <c r="AJ3017" s="21" t="s">
        <v>1148</v>
      </c>
      <c r="AK3017" s="21">
        <v>85</v>
      </c>
      <c r="AL3017" s="21" t="s">
        <v>1321</v>
      </c>
      <c r="AM3017" s="21"/>
      <c r="AN3017" s="21">
        <v>3</v>
      </c>
      <c r="AO3017" s="21">
        <v>50</v>
      </c>
      <c r="AP3017" s="21">
        <v>30</v>
      </c>
      <c r="AQ3017" s="22" t="s">
        <v>3016</v>
      </c>
      <c r="AR3017" s="21" t="s">
        <v>1298</v>
      </c>
      <c r="AS3017" t="s">
        <v>3085</v>
      </c>
    </row>
    <row r="3018" spans="1:45" x14ac:dyDescent="0.2">
      <c r="A3018" s="21" t="s">
        <v>1685</v>
      </c>
      <c r="B3018" s="21" t="s">
        <v>1146</v>
      </c>
      <c r="C3018" s="21" t="s">
        <v>1149</v>
      </c>
      <c r="D3018" s="21" t="s">
        <v>420</v>
      </c>
      <c r="E3018" s="21" t="s">
        <v>2027</v>
      </c>
      <c r="G3018" s="21" t="s">
        <v>153</v>
      </c>
      <c r="H3018" s="21" t="s">
        <v>1165</v>
      </c>
      <c r="I3018" s="21" t="s">
        <v>3095</v>
      </c>
      <c r="J3018" s="21">
        <v>49.466666666666598</v>
      </c>
      <c r="K3018">
        <v>-124.8</v>
      </c>
      <c r="L3018">
        <v>40</v>
      </c>
      <c r="M3018" s="21" t="s">
        <v>3034</v>
      </c>
      <c r="O3018" s="21">
        <v>1981</v>
      </c>
      <c r="Q3018" s="21" t="s">
        <v>3086</v>
      </c>
      <c r="T3018" s="21">
        <v>-20</v>
      </c>
      <c r="U3018" s="21" t="s">
        <v>1218</v>
      </c>
      <c r="V3018" s="9" t="s">
        <v>1247</v>
      </c>
      <c r="W3018" s="21">
        <v>56</v>
      </c>
      <c r="X3018" s="9" t="s">
        <v>3088</v>
      </c>
      <c r="Y3018" t="s">
        <v>3098</v>
      </c>
      <c r="Z3018" s="22">
        <v>8</v>
      </c>
      <c r="AD3018" s="22" t="s">
        <v>1165</v>
      </c>
      <c r="AF3018" s="24" t="s">
        <v>153</v>
      </c>
      <c r="AG3018" t="s">
        <v>1160</v>
      </c>
      <c r="AH3018">
        <f t="shared" si="32"/>
        <v>4320</v>
      </c>
      <c r="AI3018" s="21" t="s">
        <v>153</v>
      </c>
      <c r="AJ3018" s="21" t="s">
        <v>1278</v>
      </c>
      <c r="AK3018" s="21">
        <v>45</v>
      </c>
      <c r="AL3018" s="21" t="s">
        <v>1321</v>
      </c>
      <c r="AM3018" s="21"/>
      <c r="AN3018" s="21">
        <v>3</v>
      </c>
      <c r="AO3018" s="21">
        <v>50</v>
      </c>
      <c r="AP3018" s="21">
        <v>30</v>
      </c>
      <c r="AQ3018" s="22" t="s">
        <v>3016</v>
      </c>
      <c r="AR3018" s="21" t="s">
        <v>1298</v>
      </c>
      <c r="AS3018" t="s">
        <v>3085</v>
      </c>
    </row>
    <row r="3019" spans="1:45" x14ac:dyDescent="0.2">
      <c r="A3019" s="21" t="s">
        <v>1685</v>
      </c>
      <c r="B3019" s="21" t="s">
        <v>1146</v>
      </c>
      <c r="C3019" s="21" t="s">
        <v>1149</v>
      </c>
      <c r="D3019" s="21" t="s">
        <v>420</v>
      </c>
      <c r="E3019" s="21" t="s">
        <v>2027</v>
      </c>
      <c r="G3019" s="21" t="s">
        <v>153</v>
      </c>
      <c r="H3019" s="21" t="s">
        <v>1165</v>
      </c>
      <c r="I3019" s="21" t="s">
        <v>3095</v>
      </c>
      <c r="J3019" s="21">
        <v>49.466666666666598</v>
      </c>
      <c r="K3019">
        <v>-124.8</v>
      </c>
      <c r="L3019">
        <v>40</v>
      </c>
      <c r="M3019" s="21" t="s">
        <v>3034</v>
      </c>
      <c r="O3019" s="21">
        <v>1981</v>
      </c>
      <c r="Q3019" s="21" t="s">
        <v>3086</v>
      </c>
      <c r="T3019" s="21">
        <v>-20</v>
      </c>
      <c r="U3019" s="21" t="s">
        <v>1218</v>
      </c>
      <c r="V3019" s="9" t="s">
        <v>1247</v>
      </c>
      <c r="W3019" s="21">
        <v>84</v>
      </c>
      <c r="X3019" s="9" t="s">
        <v>3088</v>
      </c>
      <c r="Y3019" t="s">
        <v>3098</v>
      </c>
      <c r="Z3019" s="22">
        <v>8</v>
      </c>
      <c r="AD3019" s="22" t="s">
        <v>1165</v>
      </c>
      <c r="AF3019" s="24" t="s">
        <v>153</v>
      </c>
      <c r="AG3019" t="s">
        <v>1160</v>
      </c>
      <c r="AH3019">
        <f t="shared" si="32"/>
        <v>4320</v>
      </c>
      <c r="AI3019" s="21" t="s">
        <v>153</v>
      </c>
      <c r="AJ3019" s="21" t="s">
        <v>1148</v>
      </c>
      <c r="AK3019" s="21">
        <v>74</v>
      </c>
      <c r="AL3019" s="21" t="s">
        <v>1321</v>
      </c>
      <c r="AM3019" s="21"/>
      <c r="AN3019" s="21">
        <v>3</v>
      </c>
      <c r="AO3019" s="21">
        <v>50</v>
      </c>
      <c r="AP3019" s="21">
        <v>30</v>
      </c>
      <c r="AQ3019" s="22" t="s">
        <v>3016</v>
      </c>
      <c r="AR3019" s="21" t="s">
        <v>1298</v>
      </c>
      <c r="AS3019" t="s">
        <v>3085</v>
      </c>
    </row>
    <row r="3020" spans="1:45" x14ac:dyDescent="0.2">
      <c r="A3020" s="21" t="s">
        <v>1685</v>
      </c>
      <c r="B3020" s="21" t="s">
        <v>1146</v>
      </c>
      <c r="C3020" s="21" t="s">
        <v>1149</v>
      </c>
      <c r="D3020" s="21" t="s">
        <v>420</v>
      </c>
      <c r="E3020" s="21" t="s">
        <v>2027</v>
      </c>
      <c r="G3020" s="21" t="s">
        <v>153</v>
      </c>
      <c r="H3020" s="21" t="s">
        <v>1165</v>
      </c>
      <c r="I3020" s="21" t="s">
        <v>3095</v>
      </c>
      <c r="J3020" s="21">
        <v>49.466666666666598</v>
      </c>
      <c r="K3020">
        <v>-124.8</v>
      </c>
      <c r="L3020">
        <v>40</v>
      </c>
      <c r="M3020" s="21" t="s">
        <v>3034</v>
      </c>
      <c r="O3020" s="21">
        <v>1981</v>
      </c>
      <c r="Q3020" s="21" t="s">
        <v>3086</v>
      </c>
      <c r="T3020" s="21">
        <v>-20</v>
      </c>
      <c r="U3020" s="21" t="s">
        <v>1218</v>
      </c>
      <c r="V3020" s="9" t="s">
        <v>1247</v>
      </c>
      <c r="W3020" s="21">
        <v>84</v>
      </c>
      <c r="X3020" s="9" t="s">
        <v>3088</v>
      </c>
      <c r="Y3020" t="s">
        <v>3098</v>
      </c>
      <c r="Z3020" s="22">
        <v>8</v>
      </c>
      <c r="AD3020" s="22" t="s">
        <v>1165</v>
      </c>
      <c r="AF3020" s="24" t="s">
        <v>153</v>
      </c>
      <c r="AG3020" t="s">
        <v>1160</v>
      </c>
      <c r="AH3020">
        <f t="shared" si="32"/>
        <v>4320</v>
      </c>
      <c r="AI3020" s="21" t="s">
        <v>153</v>
      </c>
      <c r="AJ3020" s="21" t="s">
        <v>1278</v>
      </c>
      <c r="AK3020" s="21">
        <v>50</v>
      </c>
      <c r="AL3020" s="21" t="s">
        <v>1321</v>
      </c>
      <c r="AM3020" s="21"/>
      <c r="AN3020" s="21">
        <v>3</v>
      </c>
      <c r="AO3020" s="21">
        <v>50</v>
      </c>
      <c r="AP3020" s="21">
        <v>30</v>
      </c>
      <c r="AQ3020" s="22" t="s">
        <v>3016</v>
      </c>
      <c r="AR3020" s="21" t="s">
        <v>1298</v>
      </c>
      <c r="AS3020" t="s">
        <v>3085</v>
      </c>
    </row>
    <row r="3021" spans="1:45" x14ac:dyDescent="0.2">
      <c r="A3021" s="21" t="s">
        <v>1685</v>
      </c>
      <c r="B3021" s="21" t="s">
        <v>1146</v>
      </c>
      <c r="C3021" s="21" t="s">
        <v>1149</v>
      </c>
      <c r="D3021" s="21" t="s">
        <v>420</v>
      </c>
      <c r="E3021" s="21" t="s">
        <v>2027</v>
      </c>
      <c r="G3021" s="21" t="s">
        <v>153</v>
      </c>
      <c r="H3021" s="21" t="s">
        <v>1165</v>
      </c>
      <c r="I3021" s="21" t="s">
        <v>3095</v>
      </c>
      <c r="J3021" s="21">
        <v>49.466666666666598</v>
      </c>
      <c r="K3021">
        <v>-124.8</v>
      </c>
      <c r="L3021">
        <v>40</v>
      </c>
      <c r="M3021" s="21" t="s">
        <v>3034</v>
      </c>
      <c r="O3021" s="21">
        <v>1981</v>
      </c>
      <c r="Q3021" s="21" t="s">
        <v>3086</v>
      </c>
      <c r="T3021" s="21">
        <v>-20</v>
      </c>
      <c r="U3021" s="21" t="s">
        <v>1218</v>
      </c>
      <c r="V3021" s="9" t="s">
        <v>1247</v>
      </c>
      <c r="W3021" s="21">
        <v>28</v>
      </c>
      <c r="X3021" s="9" t="s">
        <v>3088</v>
      </c>
      <c r="Y3021" t="s">
        <v>3099</v>
      </c>
      <c r="Z3021" s="22">
        <v>8</v>
      </c>
      <c r="AD3021" s="22" t="s">
        <v>1165</v>
      </c>
      <c r="AF3021" s="24" t="s">
        <v>153</v>
      </c>
      <c r="AG3021" t="s">
        <v>1160</v>
      </c>
      <c r="AH3021">
        <f t="shared" si="32"/>
        <v>4320</v>
      </c>
      <c r="AI3021" s="21" t="s">
        <v>153</v>
      </c>
      <c r="AJ3021" s="21" t="s">
        <v>1148</v>
      </c>
      <c r="AK3021" s="21">
        <v>81</v>
      </c>
      <c r="AL3021" s="21" t="s">
        <v>1321</v>
      </c>
      <c r="AM3021" s="21"/>
      <c r="AN3021" s="21">
        <v>3</v>
      </c>
      <c r="AO3021" s="21">
        <v>50</v>
      </c>
      <c r="AP3021" s="21">
        <v>30</v>
      </c>
      <c r="AQ3021" s="22" t="s">
        <v>3016</v>
      </c>
      <c r="AR3021" s="21" t="s">
        <v>1298</v>
      </c>
      <c r="AS3021" t="s">
        <v>3085</v>
      </c>
    </row>
    <row r="3022" spans="1:45" x14ac:dyDescent="0.2">
      <c r="A3022" s="21" t="s">
        <v>1685</v>
      </c>
      <c r="B3022" s="21" t="s">
        <v>1146</v>
      </c>
      <c r="C3022" s="21" t="s">
        <v>1149</v>
      </c>
      <c r="D3022" s="21" t="s">
        <v>420</v>
      </c>
      <c r="E3022" s="21" t="s">
        <v>2027</v>
      </c>
      <c r="G3022" s="21" t="s">
        <v>153</v>
      </c>
      <c r="H3022" s="21" t="s">
        <v>1165</v>
      </c>
      <c r="I3022" s="21" t="s">
        <v>3095</v>
      </c>
      <c r="J3022" s="21">
        <v>49.466666666666598</v>
      </c>
      <c r="K3022">
        <v>-124.8</v>
      </c>
      <c r="L3022">
        <v>40</v>
      </c>
      <c r="M3022" s="21" t="s">
        <v>3034</v>
      </c>
      <c r="O3022" s="21">
        <v>1981</v>
      </c>
      <c r="Q3022" s="21" t="s">
        <v>3086</v>
      </c>
      <c r="T3022" s="21">
        <v>-20</v>
      </c>
      <c r="U3022" s="21" t="s">
        <v>1218</v>
      </c>
      <c r="V3022" s="9" t="s">
        <v>1247</v>
      </c>
      <c r="W3022" s="21">
        <v>28</v>
      </c>
      <c r="X3022" s="9" t="s">
        <v>3088</v>
      </c>
      <c r="Y3022" t="s">
        <v>3099</v>
      </c>
      <c r="Z3022" s="22">
        <v>8</v>
      </c>
      <c r="AD3022" s="22" t="s">
        <v>1165</v>
      </c>
      <c r="AF3022" s="24" t="s">
        <v>153</v>
      </c>
      <c r="AG3022" t="s">
        <v>1160</v>
      </c>
      <c r="AH3022">
        <f t="shared" si="32"/>
        <v>4320</v>
      </c>
      <c r="AI3022" s="21" t="s">
        <v>153</v>
      </c>
      <c r="AJ3022" s="21" t="s">
        <v>1278</v>
      </c>
      <c r="AK3022" s="21">
        <v>24</v>
      </c>
      <c r="AL3022" s="21" t="s">
        <v>1321</v>
      </c>
      <c r="AM3022" s="21"/>
      <c r="AN3022" s="21">
        <v>3</v>
      </c>
      <c r="AO3022" s="21">
        <v>50</v>
      </c>
      <c r="AP3022" s="21">
        <v>30</v>
      </c>
      <c r="AQ3022" s="22" t="s">
        <v>3016</v>
      </c>
      <c r="AR3022" s="21" t="s">
        <v>1298</v>
      </c>
      <c r="AS3022" t="s">
        <v>3085</v>
      </c>
    </row>
    <row r="3023" spans="1:45" x14ac:dyDescent="0.2">
      <c r="A3023" s="21" t="s">
        <v>1685</v>
      </c>
      <c r="B3023" s="21" t="s">
        <v>1146</v>
      </c>
      <c r="C3023" s="21" t="s">
        <v>1149</v>
      </c>
      <c r="D3023" s="21" t="s">
        <v>420</v>
      </c>
      <c r="E3023" s="21" t="s">
        <v>2027</v>
      </c>
      <c r="G3023" s="21" t="s">
        <v>153</v>
      </c>
      <c r="H3023" s="21" t="s">
        <v>1165</v>
      </c>
      <c r="I3023" s="21" t="s">
        <v>3095</v>
      </c>
      <c r="J3023" s="21">
        <v>49.466666666666598</v>
      </c>
      <c r="K3023">
        <v>-124.8</v>
      </c>
      <c r="L3023">
        <v>40</v>
      </c>
      <c r="M3023" s="21" t="s">
        <v>3034</v>
      </c>
      <c r="O3023" s="21">
        <v>1981</v>
      </c>
      <c r="Q3023" s="21" t="s">
        <v>3086</v>
      </c>
      <c r="T3023" s="21">
        <v>-20</v>
      </c>
      <c r="U3023" s="21" t="s">
        <v>1218</v>
      </c>
      <c r="V3023" s="9" t="s">
        <v>1247</v>
      </c>
      <c r="W3023" s="21">
        <v>56</v>
      </c>
      <c r="X3023" s="9" t="s">
        <v>3088</v>
      </c>
      <c r="Y3023" t="s">
        <v>3099</v>
      </c>
      <c r="Z3023" s="22">
        <v>8</v>
      </c>
      <c r="AD3023" s="22" t="s">
        <v>1165</v>
      </c>
      <c r="AF3023" s="24" t="s">
        <v>153</v>
      </c>
      <c r="AG3023" t="s">
        <v>1160</v>
      </c>
      <c r="AH3023">
        <f t="shared" si="32"/>
        <v>4320</v>
      </c>
      <c r="AI3023" s="21" t="s">
        <v>153</v>
      </c>
      <c r="AJ3023" s="21" t="s">
        <v>1148</v>
      </c>
      <c r="AK3023" s="21">
        <v>81</v>
      </c>
      <c r="AL3023" s="21" t="s">
        <v>1321</v>
      </c>
      <c r="AM3023" s="21"/>
      <c r="AN3023" s="21">
        <v>3</v>
      </c>
      <c r="AO3023" s="21">
        <v>50</v>
      </c>
      <c r="AP3023" s="21">
        <v>30</v>
      </c>
      <c r="AQ3023" s="22" t="s">
        <v>3016</v>
      </c>
      <c r="AR3023" s="21" t="s">
        <v>1298</v>
      </c>
      <c r="AS3023" t="s">
        <v>3085</v>
      </c>
    </row>
    <row r="3024" spans="1:45" x14ac:dyDescent="0.2">
      <c r="A3024" s="21" t="s">
        <v>1685</v>
      </c>
      <c r="B3024" s="21" t="s">
        <v>1146</v>
      </c>
      <c r="C3024" s="21" t="s">
        <v>1149</v>
      </c>
      <c r="D3024" s="21" t="s">
        <v>420</v>
      </c>
      <c r="E3024" s="21" t="s">
        <v>2027</v>
      </c>
      <c r="G3024" s="21" t="s">
        <v>153</v>
      </c>
      <c r="H3024" s="21" t="s">
        <v>1165</v>
      </c>
      <c r="I3024" s="21" t="s">
        <v>3095</v>
      </c>
      <c r="J3024" s="21">
        <v>49.466666666666598</v>
      </c>
      <c r="K3024">
        <v>-124.8</v>
      </c>
      <c r="L3024">
        <v>40</v>
      </c>
      <c r="M3024" s="21" t="s">
        <v>3034</v>
      </c>
      <c r="O3024" s="21">
        <v>1981</v>
      </c>
      <c r="Q3024" s="21" t="s">
        <v>3086</v>
      </c>
      <c r="T3024" s="21">
        <v>-20</v>
      </c>
      <c r="U3024" s="21" t="s">
        <v>1218</v>
      </c>
      <c r="V3024" s="9" t="s">
        <v>1247</v>
      </c>
      <c r="W3024" s="21">
        <v>56</v>
      </c>
      <c r="X3024" s="9" t="s">
        <v>3088</v>
      </c>
      <c r="Y3024" t="s">
        <v>3099</v>
      </c>
      <c r="Z3024" s="22">
        <v>8</v>
      </c>
      <c r="AD3024" s="22" t="s">
        <v>1165</v>
      </c>
      <c r="AF3024" s="24" t="s">
        <v>153</v>
      </c>
      <c r="AG3024" t="s">
        <v>1160</v>
      </c>
      <c r="AH3024">
        <f t="shared" si="32"/>
        <v>4320</v>
      </c>
      <c r="AI3024" s="21" t="s">
        <v>153</v>
      </c>
      <c r="AJ3024" s="21" t="s">
        <v>1278</v>
      </c>
      <c r="AK3024" s="21">
        <v>44</v>
      </c>
      <c r="AL3024" s="21" t="s">
        <v>1321</v>
      </c>
      <c r="AM3024" s="21"/>
      <c r="AN3024" s="21">
        <v>3</v>
      </c>
      <c r="AO3024" s="21">
        <v>50</v>
      </c>
      <c r="AP3024" s="21">
        <v>30</v>
      </c>
      <c r="AQ3024" s="22" t="s">
        <v>3016</v>
      </c>
      <c r="AR3024" s="21" t="s">
        <v>1298</v>
      </c>
      <c r="AS3024" t="s">
        <v>3085</v>
      </c>
    </row>
    <row r="3025" spans="1:45" x14ac:dyDescent="0.2">
      <c r="A3025" s="21" t="s">
        <v>1685</v>
      </c>
      <c r="B3025" s="21" t="s">
        <v>1146</v>
      </c>
      <c r="C3025" s="21" t="s">
        <v>1149</v>
      </c>
      <c r="D3025" s="21" t="s">
        <v>420</v>
      </c>
      <c r="E3025" s="21" t="s">
        <v>2027</v>
      </c>
      <c r="G3025" s="21" t="s">
        <v>153</v>
      </c>
      <c r="H3025" s="21" t="s">
        <v>1165</v>
      </c>
      <c r="I3025" s="21" t="s">
        <v>3095</v>
      </c>
      <c r="J3025" s="21">
        <v>49.466666666666598</v>
      </c>
      <c r="K3025">
        <v>-124.8</v>
      </c>
      <c r="L3025">
        <v>40</v>
      </c>
      <c r="M3025" s="21" t="s">
        <v>3034</v>
      </c>
      <c r="O3025" s="21">
        <v>1981</v>
      </c>
      <c r="Q3025" s="21" t="s">
        <v>3086</v>
      </c>
      <c r="T3025" s="21">
        <v>-20</v>
      </c>
      <c r="U3025" s="21" t="s">
        <v>1218</v>
      </c>
      <c r="V3025" s="9" t="s">
        <v>1247</v>
      </c>
      <c r="W3025" s="21">
        <v>84</v>
      </c>
      <c r="X3025" s="9" t="s">
        <v>3088</v>
      </c>
      <c r="Y3025" t="s">
        <v>3099</v>
      </c>
      <c r="Z3025" s="22">
        <v>8</v>
      </c>
      <c r="AD3025" s="22" t="s">
        <v>1165</v>
      </c>
      <c r="AF3025" s="24" t="s">
        <v>153</v>
      </c>
      <c r="AG3025" t="s">
        <v>1160</v>
      </c>
      <c r="AH3025">
        <f t="shared" si="32"/>
        <v>4320</v>
      </c>
      <c r="AI3025" s="21" t="s">
        <v>153</v>
      </c>
      <c r="AJ3025" s="21" t="s">
        <v>1148</v>
      </c>
      <c r="AK3025" s="21">
        <v>85</v>
      </c>
      <c r="AL3025" s="21" t="s">
        <v>1321</v>
      </c>
      <c r="AM3025" s="21"/>
      <c r="AN3025" s="21">
        <v>3</v>
      </c>
      <c r="AO3025" s="21">
        <v>50</v>
      </c>
      <c r="AP3025" s="21">
        <v>30</v>
      </c>
      <c r="AQ3025" s="22" t="s">
        <v>3016</v>
      </c>
      <c r="AR3025" s="21" t="s">
        <v>1298</v>
      </c>
      <c r="AS3025" t="s">
        <v>3085</v>
      </c>
    </row>
    <row r="3026" spans="1:45" x14ac:dyDescent="0.2">
      <c r="A3026" s="21" t="s">
        <v>1685</v>
      </c>
      <c r="B3026" s="21" t="s">
        <v>1146</v>
      </c>
      <c r="C3026" s="21" t="s">
        <v>1149</v>
      </c>
      <c r="D3026" s="21" t="s">
        <v>420</v>
      </c>
      <c r="E3026" s="21" t="s">
        <v>2027</v>
      </c>
      <c r="G3026" s="21" t="s">
        <v>153</v>
      </c>
      <c r="H3026" s="21" t="s">
        <v>1165</v>
      </c>
      <c r="I3026" s="21" t="s">
        <v>3095</v>
      </c>
      <c r="J3026" s="21">
        <v>49.466666666666598</v>
      </c>
      <c r="K3026">
        <v>-124.8</v>
      </c>
      <c r="L3026">
        <v>40</v>
      </c>
      <c r="M3026" s="21" t="s">
        <v>3034</v>
      </c>
      <c r="O3026" s="21">
        <v>1981</v>
      </c>
      <c r="Q3026" s="21" t="s">
        <v>3086</v>
      </c>
      <c r="T3026" s="21">
        <v>-20</v>
      </c>
      <c r="U3026" s="21" t="s">
        <v>1218</v>
      </c>
      <c r="V3026" s="9" t="s">
        <v>1247</v>
      </c>
      <c r="W3026" s="21">
        <v>84</v>
      </c>
      <c r="X3026" s="9" t="s">
        <v>3088</v>
      </c>
      <c r="Y3026" t="s">
        <v>3099</v>
      </c>
      <c r="Z3026" s="22">
        <v>8</v>
      </c>
      <c r="AD3026" s="22" t="s">
        <v>1165</v>
      </c>
      <c r="AF3026" s="24" t="s">
        <v>153</v>
      </c>
      <c r="AG3026" t="s">
        <v>1160</v>
      </c>
      <c r="AH3026">
        <f t="shared" si="32"/>
        <v>4320</v>
      </c>
      <c r="AI3026" s="21" t="s">
        <v>153</v>
      </c>
      <c r="AJ3026" s="21" t="s">
        <v>1278</v>
      </c>
      <c r="AK3026" s="21">
        <v>56</v>
      </c>
      <c r="AL3026" s="21" t="s">
        <v>1321</v>
      </c>
      <c r="AM3026" s="21"/>
      <c r="AN3026" s="21">
        <v>3</v>
      </c>
      <c r="AO3026" s="21">
        <v>50</v>
      </c>
      <c r="AP3026" s="21">
        <v>30</v>
      </c>
      <c r="AQ3026" s="22" t="s">
        <v>3016</v>
      </c>
      <c r="AR3026" s="21" t="s">
        <v>1298</v>
      </c>
      <c r="AS3026" t="s">
        <v>3085</v>
      </c>
    </row>
    <row r="3027" spans="1:45" x14ac:dyDescent="0.2">
      <c r="A3027" s="21" t="s">
        <v>1685</v>
      </c>
      <c r="B3027" s="21" t="s">
        <v>1146</v>
      </c>
      <c r="C3027" s="21" t="s">
        <v>1149</v>
      </c>
      <c r="D3027" s="21" t="s">
        <v>420</v>
      </c>
      <c r="E3027" s="21" t="s">
        <v>2027</v>
      </c>
      <c r="G3027" s="21" t="s">
        <v>153</v>
      </c>
      <c r="H3027" s="21" t="s">
        <v>1165</v>
      </c>
      <c r="I3027" s="21" t="s">
        <v>3095</v>
      </c>
      <c r="J3027" s="21">
        <v>49.466666666666598</v>
      </c>
      <c r="K3027">
        <v>-124.8</v>
      </c>
      <c r="L3027">
        <v>40</v>
      </c>
      <c r="M3027" s="21" t="s">
        <v>3034</v>
      </c>
      <c r="O3027" s="21">
        <v>1981</v>
      </c>
      <c r="Q3027" s="21" t="s">
        <v>3086</v>
      </c>
      <c r="T3027" s="21">
        <v>-20</v>
      </c>
      <c r="U3027" s="21" t="s">
        <v>1218</v>
      </c>
      <c r="V3027" s="9" t="s">
        <v>1247</v>
      </c>
      <c r="W3027" s="21">
        <v>28</v>
      </c>
      <c r="X3027" s="9" t="s">
        <v>3088</v>
      </c>
      <c r="Y3027" t="s">
        <v>3100</v>
      </c>
      <c r="Z3027" s="22">
        <v>8</v>
      </c>
      <c r="AD3027" s="22" t="s">
        <v>1165</v>
      </c>
      <c r="AF3027" s="24" t="s">
        <v>153</v>
      </c>
      <c r="AG3027" t="s">
        <v>1160</v>
      </c>
      <c r="AH3027">
        <f t="shared" si="32"/>
        <v>4320</v>
      </c>
      <c r="AI3027" s="21" t="s">
        <v>153</v>
      </c>
      <c r="AJ3027" s="21" t="s">
        <v>1148</v>
      </c>
      <c r="AK3027" s="21">
        <v>60</v>
      </c>
      <c r="AL3027" s="21" t="s">
        <v>1321</v>
      </c>
      <c r="AM3027" s="21"/>
      <c r="AN3027" s="21">
        <v>3</v>
      </c>
      <c r="AO3027" s="21">
        <v>50</v>
      </c>
      <c r="AP3027" s="21">
        <v>30</v>
      </c>
      <c r="AQ3027" s="22" t="s">
        <v>3016</v>
      </c>
      <c r="AR3027" s="21" t="s">
        <v>1298</v>
      </c>
      <c r="AS3027" t="s">
        <v>3085</v>
      </c>
    </row>
    <row r="3028" spans="1:45" x14ac:dyDescent="0.2">
      <c r="A3028" s="21" t="s">
        <v>1685</v>
      </c>
      <c r="B3028" s="21" t="s">
        <v>1146</v>
      </c>
      <c r="C3028" s="21" t="s">
        <v>1149</v>
      </c>
      <c r="D3028" s="21" t="s">
        <v>420</v>
      </c>
      <c r="E3028" s="21" t="s">
        <v>2027</v>
      </c>
      <c r="G3028" s="21" t="s">
        <v>153</v>
      </c>
      <c r="H3028" s="21" t="s">
        <v>1165</v>
      </c>
      <c r="I3028" s="21" t="s">
        <v>3095</v>
      </c>
      <c r="J3028" s="21">
        <v>49.466666666666598</v>
      </c>
      <c r="K3028">
        <v>-124.8</v>
      </c>
      <c r="L3028">
        <v>40</v>
      </c>
      <c r="M3028" s="21" t="s">
        <v>3034</v>
      </c>
      <c r="O3028" s="21">
        <v>1981</v>
      </c>
      <c r="Q3028" s="21" t="s">
        <v>3086</v>
      </c>
      <c r="T3028" s="21">
        <v>-20</v>
      </c>
      <c r="U3028" s="21" t="s">
        <v>1218</v>
      </c>
      <c r="V3028" s="9" t="s">
        <v>1247</v>
      </c>
      <c r="W3028" s="21">
        <v>28</v>
      </c>
      <c r="X3028" s="9" t="s">
        <v>3088</v>
      </c>
      <c r="Y3028" t="s">
        <v>3100</v>
      </c>
      <c r="Z3028" s="22">
        <v>8</v>
      </c>
      <c r="AD3028" s="22" t="s">
        <v>1165</v>
      </c>
      <c r="AF3028" s="24" t="s">
        <v>153</v>
      </c>
      <c r="AG3028" t="s">
        <v>1160</v>
      </c>
      <c r="AH3028">
        <f t="shared" si="32"/>
        <v>4320</v>
      </c>
      <c r="AI3028" s="21" t="s">
        <v>153</v>
      </c>
      <c r="AJ3028" s="21" t="s">
        <v>1278</v>
      </c>
      <c r="AK3028" s="21">
        <v>21</v>
      </c>
      <c r="AL3028" s="21" t="s">
        <v>1321</v>
      </c>
      <c r="AM3028" s="21"/>
      <c r="AN3028" s="21">
        <v>3</v>
      </c>
      <c r="AO3028" s="21">
        <v>50</v>
      </c>
      <c r="AP3028" s="21">
        <v>30</v>
      </c>
      <c r="AQ3028" s="22" t="s">
        <v>3016</v>
      </c>
      <c r="AR3028" s="21" t="s">
        <v>1298</v>
      </c>
      <c r="AS3028" t="s">
        <v>3085</v>
      </c>
    </row>
    <row r="3029" spans="1:45" x14ac:dyDescent="0.2">
      <c r="A3029" s="21" t="s">
        <v>1685</v>
      </c>
      <c r="B3029" s="21" t="s">
        <v>1146</v>
      </c>
      <c r="C3029" s="21" t="s">
        <v>1149</v>
      </c>
      <c r="D3029" s="21" t="s">
        <v>420</v>
      </c>
      <c r="E3029" s="21" t="s">
        <v>2027</v>
      </c>
      <c r="G3029" s="21" t="s">
        <v>153</v>
      </c>
      <c r="H3029" s="21" t="s">
        <v>1165</v>
      </c>
      <c r="I3029" s="21" t="s">
        <v>3095</v>
      </c>
      <c r="J3029" s="21">
        <v>49.466666666666598</v>
      </c>
      <c r="K3029">
        <v>-124.8</v>
      </c>
      <c r="L3029">
        <v>40</v>
      </c>
      <c r="M3029" s="21" t="s">
        <v>3034</v>
      </c>
      <c r="O3029" s="21">
        <v>1981</v>
      </c>
      <c r="Q3029" s="21" t="s">
        <v>3086</v>
      </c>
      <c r="T3029" s="21">
        <v>-20</v>
      </c>
      <c r="U3029" s="21" t="s">
        <v>1218</v>
      </c>
      <c r="V3029" s="9" t="s">
        <v>1247</v>
      </c>
      <c r="W3029" s="21">
        <v>56</v>
      </c>
      <c r="X3029" s="9" t="s">
        <v>3088</v>
      </c>
      <c r="Y3029" t="s">
        <v>3100</v>
      </c>
      <c r="Z3029" s="22">
        <v>8</v>
      </c>
      <c r="AD3029" s="22" t="s">
        <v>1165</v>
      </c>
      <c r="AF3029" s="24" t="s">
        <v>153</v>
      </c>
      <c r="AG3029" t="s">
        <v>1160</v>
      </c>
      <c r="AH3029">
        <f t="shared" si="32"/>
        <v>4320</v>
      </c>
      <c r="AI3029" s="21" t="s">
        <v>153</v>
      </c>
      <c r="AJ3029" s="21" t="s">
        <v>1148</v>
      </c>
      <c r="AK3029" s="21">
        <v>78</v>
      </c>
      <c r="AL3029" s="21" t="s">
        <v>1321</v>
      </c>
      <c r="AM3029" s="21"/>
      <c r="AN3029" s="21">
        <v>3</v>
      </c>
      <c r="AO3029" s="21">
        <v>50</v>
      </c>
      <c r="AP3029" s="21">
        <v>30</v>
      </c>
      <c r="AQ3029" s="22" t="s">
        <v>3016</v>
      </c>
      <c r="AR3029" s="21" t="s">
        <v>1298</v>
      </c>
      <c r="AS3029" t="s">
        <v>3085</v>
      </c>
    </row>
    <row r="3030" spans="1:45" x14ac:dyDescent="0.2">
      <c r="A3030" s="21" t="s">
        <v>1685</v>
      </c>
      <c r="B3030" s="21" t="s">
        <v>1146</v>
      </c>
      <c r="C3030" s="21" t="s">
        <v>1149</v>
      </c>
      <c r="D3030" s="21" t="s">
        <v>420</v>
      </c>
      <c r="E3030" s="21" t="s">
        <v>2027</v>
      </c>
      <c r="G3030" s="21" t="s">
        <v>153</v>
      </c>
      <c r="H3030" s="21" t="s">
        <v>1165</v>
      </c>
      <c r="I3030" s="21" t="s">
        <v>3095</v>
      </c>
      <c r="J3030" s="21">
        <v>49.466666666666598</v>
      </c>
      <c r="K3030">
        <v>-124.8</v>
      </c>
      <c r="L3030">
        <v>40</v>
      </c>
      <c r="M3030" s="21" t="s">
        <v>3034</v>
      </c>
      <c r="O3030" s="21">
        <v>1981</v>
      </c>
      <c r="Q3030" s="21" t="s">
        <v>3086</v>
      </c>
      <c r="T3030" s="21">
        <v>-20</v>
      </c>
      <c r="U3030" s="21" t="s">
        <v>1218</v>
      </c>
      <c r="V3030" s="9" t="s">
        <v>1247</v>
      </c>
      <c r="W3030" s="21">
        <v>56</v>
      </c>
      <c r="X3030" s="9" t="s">
        <v>3088</v>
      </c>
      <c r="Y3030" t="s">
        <v>3100</v>
      </c>
      <c r="Z3030" s="22">
        <v>8</v>
      </c>
      <c r="AD3030" s="22" t="s">
        <v>1165</v>
      </c>
      <c r="AF3030" s="24" t="s">
        <v>153</v>
      </c>
      <c r="AG3030" t="s">
        <v>1160</v>
      </c>
      <c r="AH3030">
        <f t="shared" si="32"/>
        <v>4320</v>
      </c>
      <c r="AI3030" s="21" t="s">
        <v>153</v>
      </c>
      <c r="AJ3030" s="21" t="s">
        <v>1278</v>
      </c>
      <c r="AK3030" s="21">
        <v>35</v>
      </c>
      <c r="AL3030" s="21" t="s">
        <v>1321</v>
      </c>
      <c r="AM3030" s="21"/>
      <c r="AN3030" s="21">
        <v>3</v>
      </c>
      <c r="AO3030" s="21">
        <v>50</v>
      </c>
      <c r="AP3030" s="21">
        <v>30</v>
      </c>
      <c r="AQ3030" s="22" t="s">
        <v>3016</v>
      </c>
      <c r="AR3030" s="21" t="s">
        <v>1298</v>
      </c>
      <c r="AS3030" t="s">
        <v>3085</v>
      </c>
    </row>
    <row r="3031" spans="1:45" x14ac:dyDescent="0.2">
      <c r="A3031" s="21" t="s">
        <v>1685</v>
      </c>
      <c r="B3031" s="21" t="s">
        <v>1146</v>
      </c>
      <c r="C3031" s="21" t="s">
        <v>1149</v>
      </c>
      <c r="D3031" s="21" t="s">
        <v>420</v>
      </c>
      <c r="E3031" s="21" t="s">
        <v>2027</v>
      </c>
      <c r="G3031" s="21" t="s">
        <v>153</v>
      </c>
      <c r="H3031" s="21" t="s">
        <v>1165</v>
      </c>
      <c r="I3031" s="21" t="s">
        <v>3095</v>
      </c>
      <c r="J3031" s="21">
        <v>49.466666666666598</v>
      </c>
      <c r="K3031">
        <v>-124.8</v>
      </c>
      <c r="L3031">
        <v>40</v>
      </c>
      <c r="M3031" s="21" t="s">
        <v>3034</v>
      </c>
      <c r="O3031" s="21">
        <v>1981</v>
      </c>
      <c r="Q3031" s="21" t="s">
        <v>3086</v>
      </c>
      <c r="T3031" s="21">
        <v>-20</v>
      </c>
      <c r="U3031" s="21" t="s">
        <v>1218</v>
      </c>
      <c r="V3031" s="9" t="s">
        <v>1247</v>
      </c>
      <c r="W3031" s="21">
        <v>84</v>
      </c>
      <c r="X3031" s="9" t="s">
        <v>3088</v>
      </c>
      <c r="Y3031" t="s">
        <v>3100</v>
      </c>
      <c r="Z3031" s="22">
        <v>8</v>
      </c>
      <c r="AD3031" s="22" t="s">
        <v>1165</v>
      </c>
      <c r="AF3031" s="24" t="s">
        <v>153</v>
      </c>
      <c r="AG3031" t="s">
        <v>1160</v>
      </c>
      <c r="AH3031">
        <f t="shared" si="32"/>
        <v>4320</v>
      </c>
      <c r="AI3031" s="21" t="s">
        <v>153</v>
      </c>
      <c r="AJ3031" s="21" t="s">
        <v>1148</v>
      </c>
      <c r="AK3031" s="21">
        <v>79</v>
      </c>
      <c r="AL3031" s="21" t="s">
        <v>1321</v>
      </c>
      <c r="AM3031" s="21"/>
      <c r="AN3031" s="21">
        <v>3</v>
      </c>
      <c r="AO3031" s="21">
        <v>50</v>
      </c>
      <c r="AP3031" s="21">
        <v>30</v>
      </c>
      <c r="AQ3031" s="22" t="s">
        <v>3016</v>
      </c>
      <c r="AR3031" s="21" t="s">
        <v>1298</v>
      </c>
      <c r="AS3031" t="s">
        <v>3085</v>
      </c>
    </row>
    <row r="3032" spans="1:45" x14ac:dyDescent="0.2">
      <c r="A3032" s="21" t="s">
        <v>1685</v>
      </c>
      <c r="B3032" s="21" t="s">
        <v>1146</v>
      </c>
      <c r="C3032" s="21" t="s">
        <v>1149</v>
      </c>
      <c r="D3032" s="21" t="s">
        <v>420</v>
      </c>
      <c r="E3032" s="21" t="s">
        <v>2027</v>
      </c>
      <c r="G3032" s="21" t="s">
        <v>153</v>
      </c>
      <c r="H3032" s="21" t="s">
        <v>1165</v>
      </c>
      <c r="I3032" s="21" t="s">
        <v>3095</v>
      </c>
      <c r="J3032" s="21">
        <v>49.466666666666598</v>
      </c>
      <c r="K3032">
        <v>-124.8</v>
      </c>
      <c r="L3032">
        <v>40</v>
      </c>
      <c r="M3032" s="21" t="s">
        <v>3034</v>
      </c>
      <c r="O3032" s="21">
        <v>1981</v>
      </c>
      <c r="Q3032" s="21" t="s">
        <v>3086</v>
      </c>
      <c r="T3032" s="21">
        <v>-20</v>
      </c>
      <c r="U3032" s="21" t="s">
        <v>1218</v>
      </c>
      <c r="V3032" s="9" t="s">
        <v>1247</v>
      </c>
      <c r="W3032" s="21">
        <v>84</v>
      </c>
      <c r="X3032" s="9" t="s">
        <v>3088</v>
      </c>
      <c r="Y3032" t="s">
        <v>3100</v>
      </c>
      <c r="Z3032" s="22">
        <v>8</v>
      </c>
      <c r="AD3032" s="22" t="s">
        <v>1165</v>
      </c>
      <c r="AF3032" s="24" t="s">
        <v>153</v>
      </c>
      <c r="AG3032" t="s">
        <v>1160</v>
      </c>
      <c r="AH3032">
        <f t="shared" si="32"/>
        <v>4320</v>
      </c>
      <c r="AI3032" s="21" t="s">
        <v>153</v>
      </c>
      <c r="AJ3032" s="21" t="s">
        <v>1278</v>
      </c>
      <c r="AK3032" s="21">
        <v>45</v>
      </c>
      <c r="AL3032" s="21" t="s">
        <v>1321</v>
      </c>
      <c r="AM3032" s="21"/>
      <c r="AN3032" s="21">
        <v>3</v>
      </c>
      <c r="AO3032" s="21">
        <v>50</v>
      </c>
      <c r="AP3032" s="21">
        <v>30</v>
      </c>
      <c r="AQ3032" s="22" t="s">
        <v>3016</v>
      </c>
      <c r="AR3032" s="21" t="s">
        <v>1298</v>
      </c>
      <c r="AS3032" t="s">
        <v>3085</v>
      </c>
    </row>
    <row r="3033" spans="1:45" x14ac:dyDescent="0.2">
      <c r="A3033" s="21" t="s">
        <v>1685</v>
      </c>
      <c r="B3033" s="21" t="s">
        <v>1146</v>
      </c>
      <c r="C3033" s="21" t="s">
        <v>1149</v>
      </c>
      <c r="D3033" s="21" t="s">
        <v>420</v>
      </c>
      <c r="E3033" s="21" t="s">
        <v>2027</v>
      </c>
      <c r="G3033" s="21" t="s">
        <v>153</v>
      </c>
      <c r="H3033" s="21" t="s">
        <v>1165</v>
      </c>
      <c r="I3033" s="21" t="s">
        <v>3095</v>
      </c>
      <c r="J3033" s="21">
        <v>49.466666666666598</v>
      </c>
      <c r="K3033">
        <v>-124.8</v>
      </c>
      <c r="L3033">
        <v>40</v>
      </c>
      <c r="M3033" s="21" t="s">
        <v>3034</v>
      </c>
      <c r="O3033" s="21">
        <v>1981</v>
      </c>
      <c r="Q3033" s="21" t="s">
        <v>3086</v>
      </c>
      <c r="T3033" s="21">
        <v>-20</v>
      </c>
      <c r="U3033" s="21" t="s">
        <v>1218</v>
      </c>
      <c r="V3033" s="9" t="s">
        <v>1247</v>
      </c>
      <c r="W3033" s="21">
        <v>28</v>
      </c>
      <c r="X3033" s="9" t="s">
        <v>3088</v>
      </c>
      <c r="Y3033" t="s">
        <v>3101</v>
      </c>
      <c r="Z3033" s="22">
        <v>8</v>
      </c>
      <c r="AD3033" s="22" t="s">
        <v>1165</v>
      </c>
      <c r="AF3033" s="24" t="s">
        <v>153</v>
      </c>
      <c r="AG3033" t="s">
        <v>1160</v>
      </c>
      <c r="AH3033">
        <f t="shared" si="32"/>
        <v>4320</v>
      </c>
      <c r="AI3033" s="21" t="s">
        <v>153</v>
      </c>
      <c r="AJ3033" s="21" t="s">
        <v>1148</v>
      </c>
      <c r="AK3033" s="21">
        <v>77</v>
      </c>
      <c r="AL3033" s="21" t="s">
        <v>1321</v>
      </c>
      <c r="AM3033" s="21"/>
      <c r="AN3033" s="21">
        <v>3</v>
      </c>
      <c r="AO3033" s="21">
        <v>50</v>
      </c>
      <c r="AP3033" s="21">
        <v>30</v>
      </c>
      <c r="AQ3033" s="22" t="s">
        <v>3016</v>
      </c>
      <c r="AR3033" s="21" t="s">
        <v>1298</v>
      </c>
      <c r="AS3033" t="s">
        <v>3085</v>
      </c>
    </row>
    <row r="3034" spans="1:45" x14ac:dyDescent="0.2">
      <c r="A3034" s="21" t="s">
        <v>1685</v>
      </c>
      <c r="B3034" s="21" t="s">
        <v>1146</v>
      </c>
      <c r="C3034" s="21" t="s">
        <v>1149</v>
      </c>
      <c r="D3034" s="21" t="s">
        <v>420</v>
      </c>
      <c r="E3034" s="21" t="s">
        <v>2027</v>
      </c>
      <c r="G3034" s="21" t="s">
        <v>153</v>
      </c>
      <c r="H3034" s="21" t="s">
        <v>1165</v>
      </c>
      <c r="I3034" s="21" t="s">
        <v>3095</v>
      </c>
      <c r="J3034" s="21">
        <v>49.466666666666598</v>
      </c>
      <c r="K3034">
        <v>-124.8</v>
      </c>
      <c r="L3034">
        <v>40</v>
      </c>
      <c r="M3034" s="21" t="s">
        <v>3034</v>
      </c>
      <c r="O3034" s="21">
        <v>1981</v>
      </c>
      <c r="Q3034" s="21" t="s">
        <v>3086</v>
      </c>
      <c r="T3034" s="21">
        <v>-20</v>
      </c>
      <c r="U3034" s="21" t="s">
        <v>1218</v>
      </c>
      <c r="V3034" s="9" t="s">
        <v>1247</v>
      </c>
      <c r="W3034" s="21">
        <v>28</v>
      </c>
      <c r="X3034" s="9" t="s">
        <v>3088</v>
      </c>
      <c r="Y3034" t="s">
        <v>3101</v>
      </c>
      <c r="Z3034" s="22">
        <v>8</v>
      </c>
      <c r="AD3034" s="22" t="s">
        <v>1165</v>
      </c>
      <c r="AF3034" s="24" t="s">
        <v>153</v>
      </c>
      <c r="AG3034" t="s">
        <v>1160</v>
      </c>
      <c r="AH3034">
        <f t="shared" si="32"/>
        <v>4320</v>
      </c>
      <c r="AI3034" s="21" t="s">
        <v>153</v>
      </c>
      <c r="AJ3034" s="21" t="s">
        <v>1278</v>
      </c>
      <c r="AK3034" s="21">
        <v>25</v>
      </c>
      <c r="AL3034" s="21" t="s">
        <v>1321</v>
      </c>
      <c r="AM3034" s="21"/>
      <c r="AN3034" s="21">
        <v>3</v>
      </c>
      <c r="AO3034" s="21">
        <v>50</v>
      </c>
      <c r="AP3034" s="21">
        <v>30</v>
      </c>
      <c r="AQ3034" s="22" t="s">
        <v>3016</v>
      </c>
      <c r="AR3034" s="21" t="s">
        <v>1298</v>
      </c>
      <c r="AS3034" t="s">
        <v>3085</v>
      </c>
    </row>
    <row r="3035" spans="1:45" x14ac:dyDescent="0.2">
      <c r="A3035" s="21" t="s">
        <v>1685</v>
      </c>
      <c r="B3035" s="21" t="s">
        <v>1146</v>
      </c>
      <c r="C3035" s="21" t="s">
        <v>1149</v>
      </c>
      <c r="D3035" s="21" t="s">
        <v>420</v>
      </c>
      <c r="E3035" s="21" t="s">
        <v>2027</v>
      </c>
      <c r="G3035" s="21" t="s">
        <v>153</v>
      </c>
      <c r="H3035" s="21" t="s">
        <v>1165</v>
      </c>
      <c r="I3035" s="21" t="s">
        <v>3095</v>
      </c>
      <c r="J3035" s="21">
        <v>49.466666666666598</v>
      </c>
      <c r="K3035">
        <v>-124.8</v>
      </c>
      <c r="L3035">
        <v>40</v>
      </c>
      <c r="M3035" s="21" t="s">
        <v>3034</v>
      </c>
      <c r="O3035" s="21">
        <v>1981</v>
      </c>
      <c r="Q3035" s="21" t="s">
        <v>3086</v>
      </c>
      <c r="T3035" s="21">
        <v>-20</v>
      </c>
      <c r="U3035" s="21" t="s">
        <v>1218</v>
      </c>
      <c r="V3035" s="9" t="s">
        <v>1247</v>
      </c>
      <c r="W3035" s="21">
        <v>56</v>
      </c>
      <c r="X3035" s="9" t="s">
        <v>3088</v>
      </c>
      <c r="Y3035" t="s">
        <v>3101</v>
      </c>
      <c r="Z3035" s="22">
        <v>8</v>
      </c>
      <c r="AD3035" s="22" t="s">
        <v>1165</v>
      </c>
      <c r="AF3035" s="24" t="s">
        <v>153</v>
      </c>
      <c r="AG3035" t="s">
        <v>1160</v>
      </c>
      <c r="AH3035">
        <f t="shared" si="32"/>
        <v>4320</v>
      </c>
      <c r="AI3035" s="21" t="s">
        <v>153</v>
      </c>
      <c r="AJ3035" s="21" t="s">
        <v>1148</v>
      </c>
      <c r="AK3035" s="21">
        <v>84</v>
      </c>
      <c r="AL3035" s="21" t="s">
        <v>1321</v>
      </c>
      <c r="AM3035" s="21"/>
      <c r="AN3035" s="21">
        <v>3</v>
      </c>
      <c r="AO3035" s="21">
        <v>50</v>
      </c>
      <c r="AP3035" s="21">
        <v>30</v>
      </c>
      <c r="AQ3035" s="22" t="s">
        <v>3016</v>
      </c>
      <c r="AR3035" s="21" t="s">
        <v>1298</v>
      </c>
      <c r="AS3035" t="s">
        <v>3085</v>
      </c>
    </row>
    <row r="3036" spans="1:45" x14ac:dyDescent="0.2">
      <c r="A3036" s="21" t="s">
        <v>1685</v>
      </c>
      <c r="B3036" s="21" t="s">
        <v>1146</v>
      </c>
      <c r="C3036" s="21" t="s">
        <v>1149</v>
      </c>
      <c r="D3036" s="21" t="s">
        <v>420</v>
      </c>
      <c r="E3036" s="21" t="s">
        <v>2027</v>
      </c>
      <c r="G3036" s="21" t="s">
        <v>153</v>
      </c>
      <c r="H3036" s="21" t="s">
        <v>1165</v>
      </c>
      <c r="I3036" s="21" t="s">
        <v>3095</v>
      </c>
      <c r="J3036" s="21">
        <v>49.466666666666598</v>
      </c>
      <c r="K3036">
        <v>-124.8</v>
      </c>
      <c r="L3036">
        <v>40</v>
      </c>
      <c r="M3036" s="21" t="s">
        <v>3034</v>
      </c>
      <c r="O3036" s="21">
        <v>1981</v>
      </c>
      <c r="Q3036" s="21" t="s">
        <v>3086</v>
      </c>
      <c r="T3036" s="21">
        <v>-20</v>
      </c>
      <c r="U3036" s="21" t="s">
        <v>1218</v>
      </c>
      <c r="V3036" s="9" t="s">
        <v>1247</v>
      </c>
      <c r="W3036" s="21">
        <v>56</v>
      </c>
      <c r="X3036" s="9" t="s">
        <v>3088</v>
      </c>
      <c r="Y3036" t="s">
        <v>3101</v>
      </c>
      <c r="Z3036" s="22">
        <v>8</v>
      </c>
      <c r="AD3036" s="22" t="s">
        <v>1165</v>
      </c>
      <c r="AF3036" s="24" t="s">
        <v>153</v>
      </c>
      <c r="AG3036" t="s">
        <v>1160</v>
      </c>
      <c r="AH3036">
        <f t="shared" si="32"/>
        <v>4320</v>
      </c>
      <c r="AI3036" s="21" t="s">
        <v>153</v>
      </c>
      <c r="AJ3036" s="21" t="s">
        <v>1278</v>
      </c>
      <c r="AK3036" s="21">
        <v>47</v>
      </c>
      <c r="AL3036" s="21" t="s">
        <v>1321</v>
      </c>
      <c r="AM3036" s="21"/>
      <c r="AN3036" s="21">
        <v>3</v>
      </c>
      <c r="AO3036" s="21">
        <v>50</v>
      </c>
      <c r="AP3036" s="21">
        <v>30</v>
      </c>
      <c r="AQ3036" s="22" t="s">
        <v>3016</v>
      </c>
      <c r="AR3036" s="21" t="s">
        <v>1298</v>
      </c>
      <c r="AS3036" t="s">
        <v>3085</v>
      </c>
    </row>
    <row r="3037" spans="1:45" x14ac:dyDescent="0.2">
      <c r="A3037" s="21" t="s">
        <v>1685</v>
      </c>
      <c r="B3037" s="21" t="s">
        <v>1146</v>
      </c>
      <c r="C3037" s="21" t="s">
        <v>1149</v>
      </c>
      <c r="D3037" s="21" t="s">
        <v>420</v>
      </c>
      <c r="E3037" s="21" t="s">
        <v>2027</v>
      </c>
      <c r="G3037" s="21" t="s">
        <v>153</v>
      </c>
      <c r="H3037" s="21" t="s">
        <v>1165</v>
      </c>
      <c r="I3037" s="21" t="s">
        <v>3095</v>
      </c>
      <c r="J3037" s="21">
        <v>49.466666666666598</v>
      </c>
      <c r="K3037">
        <v>-124.8</v>
      </c>
      <c r="L3037">
        <v>40</v>
      </c>
      <c r="M3037" s="21" t="s">
        <v>3034</v>
      </c>
      <c r="O3037" s="21">
        <v>1981</v>
      </c>
      <c r="Q3037" s="21" t="s">
        <v>3086</v>
      </c>
      <c r="T3037" s="21">
        <v>-20</v>
      </c>
      <c r="U3037" s="21" t="s">
        <v>1218</v>
      </c>
      <c r="V3037" s="9" t="s">
        <v>1247</v>
      </c>
      <c r="W3037" s="21">
        <v>84</v>
      </c>
      <c r="X3037" s="9" t="s">
        <v>3088</v>
      </c>
      <c r="Y3037" t="s">
        <v>3101</v>
      </c>
      <c r="Z3037" s="22">
        <v>8</v>
      </c>
      <c r="AD3037" s="22" t="s">
        <v>1165</v>
      </c>
      <c r="AF3037" s="24" t="s">
        <v>153</v>
      </c>
      <c r="AG3037" t="s">
        <v>1160</v>
      </c>
      <c r="AH3037">
        <f t="shared" si="32"/>
        <v>4320</v>
      </c>
      <c r="AI3037" s="21" t="s">
        <v>153</v>
      </c>
      <c r="AJ3037" s="21" t="s">
        <v>1148</v>
      </c>
      <c r="AK3037" s="21">
        <v>85</v>
      </c>
      <c r="AL3037" s="21" t="s">
        <v>1321</v>
      </c>
      <c r="AM3037" s="21"/>
      <c r="AN3037" s="21">
        <v>3</v>
      </c>
      <c r="AO3037" s="21">
        <v>50</v>
      </c>
      <c r="AP3037" s="21">
        <v>30</v>
      </c>
      <c r="AQ3037" s="22" t="s">
        <v>3016</v>
      </c>
      <c r="AR3037" s="21" t="s">
        <v>1298</v>
      </c>
      <c r="AS3037" t="s">
        <v>3085</v>
      </c>
    </row>
    <row r="3038" spans="1:45" x14ac:dyDescent="0.2">
      <c r="A3038" s="21" t="s">
        <v>1685</v>
      </c>
      <c r="B3038" s="21" t="s">
        <v>1146</v>
      </c>
      <c r="C3038" s="21" t="s">
        <v>1149</v>
      </c>
      <c r="D3038" s="21" t="s">
        <v>420</v>
      </c>
      <c r="E3038" s="21" t="s">
        <v>2027</v>
      </c>
      <c r="G3038" s="21" t="s">
        <v>153</v>
      </c>
      <c r="H3038" s="21" t="s">
        <v>1165</v>
      </c>
      <c r="I3038" s="21" t="s">
        <v>3095</v>
      </c>
      <c r="J3038" s="21">
        <v>49.466666666666598</v>
      </c>
      <c r="K3038">
        <v>-124.8</v>
      </c>
      <c r="L3038">
        <v>40</v>
      </c>
      <c r="M3038" s="21" t="s">
        <v>3034</v>
      </c>
      <c r="O3038" s="21">
        <v>1981</v>
      </c>
      <c r="Q3038" s="21" t="s">
        <v>3086</v>
      </c>
      <c r="T3038" s="21">
        <v>-20</v>
      </c>
      <c r="U3038" s="21" t="s">
        <v>1218</v>
      </c>
      <c r="V3038" s="9" t="s">
        <v>1247</v>
      </c>
      <c r="W3038" s="21">
        <v>84</v>
      </c>
      <c r="X3038" s="9" t="s">
        <v>3088</v>
      </c>
      <c r="Y3038" t="s">
        <v>3101</v>
      </c>
      <c r="Z3038" s="22">
        <v>8</v>
      </c>
      <c r="AD3038" s="22" t="s">
        <v>1165</v>
      </c>
      <c r="AF3038" s="24" t="s">
        <v>153</v>
      </c>
      <c r="AG3038" t="s">
        <v>1160</v>
      </c>
      <c r="AH3038">
        <f t="shared" si="32"/>
        <v>4320</v>
      </c>
      <c r="AI3038" s="21" t="s">
        <v>153</v>
      </c>
      <c r="AJ3038" s="21" t="s">
        <v>1278</v>
      </c>
      <c r="AK3038" s="21">
        <v>54</v>
      </c>
      <c r="AL3038" s="21" t="s">
        <v>1321</v>
      </c>
      <c r="AM3038" s="21"/>
      <c r="AN3038" s="21">
        <v>3</v>
      </c>
      <c r="AO3038" s="21">
        <v>50</v>
      </c>
      <c r="AP3038" s="21">
        <v>30</v>
      </c>
      <c r="AQ3038" s="22" t="s">
        <v>3016</v>
      </c>
      <c r="AR3038" s="21" t="s">
        <v>1298</v>
      </c>
      <c r="AS3038" t="s">
        <v>3085</v>
      </c>
    </row>
    <row r="3039" spans="1:45" x14ac:dyDescent="0.2">
      <c r="A3039" s="21" t="s">
        <v>1685</v>
      </c>
      <c r="B3039" s="21" t="s">
        <v>1146</v>
      </c>
      <c r="C3039" s="21" t="s">
        <v>1149</v>
      </c>
      <c r="D3039" s="21" t="s">
        <v>420</v>
      </c>
      <c r="E3039" s="21" t="s">
        <v>2027</v>
      </c>
      <c r="G3039" s="21" t="s">
        <v>153</v>
      </c>
      <c r="H3039" s="21" t="s">
        <v>1165</v>
      </c>
      <c r="I3039" s="21" t="s">
        <v>3095</v>
      </c>
      <c r="J3039" s="21">
        <v>49.466666666666598</v>
      </c>
      <c r="K3039">
        <v>-124.8</v>
      </c>
      <c r="L3039">
        <v>40</v>
      </c>
      <c r="M3039" s="21" t="s">
        <v>3034</v>
      </c>
      <c r="O3039" s="21">
        <v>1981</v>
      </c>
      <c r="Q3039" s="21" t="s">
        <v>3086</v>
      </c>
      <c r="T3039" s="21">
        <v>-20</v>
      </c>
      <c r="U3039" s="21" t="s">
        <v>1218</v>
      </c>
      <c r="V3039" s="9" t="s">
        <v>1247</v>
      </c>
      <c r="W3039" s="21">
        <v>28</v>
      </c>
      <c r="X3039" s="9" t="s">
        <v>3088</v>
      </c>
      <c r="Y3039" t="s">
        <v>3102</v>
      </c>
      <c r="Z3039" s="22">
        <v>8</v>
      </c>
      <c r="AD3039" s="22" t="s">
        <v>1165</v>
      </c>
      <c r="AF3039" s="24" t="s">
        <v>153</v>
      </c>
      <c r="AG3039" t="s">
        <v>1160</v>
      </c>
      <c r="AH3039">
        <f t="shared" si="32"/>
        <v>4320</v>
      </c>
      <c r="AI3039" s="21" t="s">
        <v>153</v>
      </c>
      <c r="AJ3039" s="21" t="s">
        <v>1148</v>
      </c>
      <c r="AK3039" s="21">
        <v>74</v>
      </c>
      <c r="AL3039" s="21" t="s">
        <v>1321</v>
      </c>
      <c r="AM3039" s="21"/>
      <c r="AN3039" s="21">
        <v>3</v>
      </c>
      <c r="AO3039" s="21">
        <v>50</v>
      </c>
      <c r="AP3039" s="21">
        <v>30</v>
      </c>
      <c r="AQ3039" s="22" t="s">
        <v>3016</v>
      </c>
      <c r="AR3039" s="21" t="s">
        <v>1298</v>
      </c>
      <c r="AS3039" t="s">
        <v>3085</v>
      </c>
    </row>
    <row r="3040" spans="1:45" x14ac:dyDescent="0.2">
      <c r="A3040" s="21" t="s">
        <v>1685</v>
      </c>
      <c r="B3040" s="21" t="s">
        <v>1146</v>
      </c>
      <c r="C3040" s="21" t="s">
        <v>1149</v>
      </c>
      <c r="D3040" s="21" t="s">
        <v>420</v>
      </c>
      <c r="E3040" s="21" t="s">
        <v>2027</v>
      </c>
      <c r="G3040" s="21" t="s">
        <v>153</v>
      </c>
      <c r="H3040" s="21" t="s">
        <v>1165</v>
      </c>
      <c r="I3040" s="21" t="s">
        <v>3095</v>
      </c>
      <c r="J3040" s="21">
        <v>49.466666666666598</v>
      </c>
      <c r="K3040">
        <v>-124.8</v>
      </c>
      <c r="L3040">
        <v>40</v>
      </c>
      <c r="M3040" s="21" t="s">
        <v>3034</v>
      </c>
      <c r="O3040" s="21">
        <v>1981</v>
      </c>
      <c r="Q3040" s="21" t="s">
        <v>3086</v>
      </c>
      <c r="T3040" s="21">
        <v>-20</v>
      </c>
      <c r="U3040" s="21" t="s">
        <v>1218</v>
      </c>
      <c r="V3040" s="9" t="s">
        <v>1247</v>
      </c>
      <c r="W3040" s="21">
        <v>28</v>
      </c>
      <c r="X3040" s="9" t="s">
        <v>3088</v>
      </c>
      <c r="Y3040" t="s">
        <v>3102</v>
      </c>
      <c r="Z3040" s="22">
        <v>8</v>
      </c>
      <c r="AD3040" s="22" t="s">
        <v>1165</v>
      </c>
      <c r="AF3040" s="24" t="s">
        <v>153</v>
      </c>
      <c r="AG3040" t="s">
        <v>1160</v>
      </c>
      <c r="AH3040">
        <f t="shared" si="32"/>
        <v>4320</v>
      </c>
      <c r="AI3040" s="21" t="s">
        <v>153</v>
      </c>
      <c r="AJ3040" s="21" t="s">
        <v>1278</v>
      </c>
      <c r="AK3040" s="21">
        <v>22</v>
      </c>
      <c r="AL3040" s="21" t="s">
        <v>1321</v>
      </c>
      <c r="AM3040" s="21"/>
      <c r="AN3040" s="21">
        <v>3</v>
      </c>
      <c r="AO3040" s="21">
        <v>50</v>
      </c>
      <c r="AP3040" s="21">
        <v>30</v>
      </c>
      <c r="AQ3040" s="22" t="s">
        <v>3016</v>
      </c>
      <c r="AR3040" s="21" t="s">
        <v>1298</v>
      </c>
      <c r="AS3040" t="s">
        <v>3085</v>
      </c>
    </row>
    <row r="3041" spans="1:45" x14ac:dyDescent="0.2">
      <c r="A3041" s="21" t="s">
        <v>1685</v>
      </c>
      <c r="B3041" s="21" t="s">
        <v>1146</v>
      </c>
      <c r="C3041" s="21" t="s">
        <v>1149</v>
      </c>
      <c r="D3041" s="21" t="s">
        <v>420</v>
      </c>
      <c r="E3041" s="21" t="s">
        <v>2027</v>
      </c>
      <c r="G3041" s="21" t="s">
        <v>153</v>
      </c>
      <c r="H3041" s="21" t="s">
        <v>1165</v>
      </c>
      <c r="I3041" s="21" t="s">
        <v>3095</v>
      </c>
      <c r="J3041" s="21">
        <v>49.466666666666598</v>
      </c>
      <c r="K3041">
        <v>-124.8</v>
      </c>
      <c r="L3041">
        <v>40</v>
      </c>
      <c r="M3041" s="21" t="s">
        <v>3034</v>
      </c>
      <c r="O3041" s="21">
        <v>1981</v>
      </c>
      <c r="Q3041" s="21" t="s">
        <v>3086</v>
      </c>
      <c r="T3041" s="21">
        <v>-20</v>
      </c>
      <c r="U3041" s="21" t="s">
        <v>1218</v>
      </c>
      <c r="V3041" s="9" t="s">
        <v>1247</v>
      </c>
      <c r="W3041" s="21">
        <v>56</v>
      </c>
      <c r="X3041" s="9" t="s">
        <v>3088</v>
      </c>
      <c r="Y3041" t="s">
        <v>3102</v>
      </c>
      <c r="Z3041" s="22">
        <v>8</v>
      </c>
      <c r="AD3041" s="22" t="s">
        <v>1165</v>
      </c>
      <c r="AF3041" s="24" t="s">
        <v>153</v>
      </c>
      <c r="AG3041" t="s">
        <v>1160</v>
      </c>
      <c r="AH3041">
        <f t="shared" si="32"/>
        <v>4320</v>
      </c>
      <c r="AI3041" s="21" t="s">
        <v>153</v>
      </c>
      <c r="AJ3041" s="21" t="s">
        <v>1148</v>
      </c>
      <c r="AK3041" s="21">
        <v>81</v>
      </c>
      <c r="AL3041" s="21" t="s">
        <v>1321</v>
      </c>
      <c r="AM3041" s="21"/>
      <c r="AN3041" s="21">
        <v>3</v>
      </c>
      <c r="AO3041" s="21">
        <v>50</v>
      </c>
      <c r="AP3041" s="21">
        <v>30</v>
      </c>
      <c r="AQ3041" s="22" t="s">
        <v>3016</v>
      </c>
      <c r="AR3041" s="21" t="s">
        <v>1298</v>
      </c>
      <c r="AS3041" t="s">
        <v>3085</v>
      </c>
    </row>
    <row r="3042" spans="1:45" x14ac:dyDescent="0.2">
      <c r="A3042" s="21" t="s">
        <v>1685</v>
      </c>
      <c r="B3042" s="21" t="s">
        <v>1146</v>
      </c>
      <c r="C3042" s="21" t="s">
        <v>1149</v>
      </c>
      <c r="D3042" s="21" t="s">
        <v>420</v>
      </c>
      <c r="E3042" s="21" t="s">
        <v>2027</v>
      </c>
      <c r="G3042" s="21" t="s">
        <v>153</v>
      </c>
      <c r="H3042" s="21" t="s">
        <v>1165</v>
      </c>
      <c r="I3042" s="21" t="s">
        <v>3095</v>
      </c>
      <c r="J3042" s="21">
        <v>49.466666666666598</v>
      </c>
      <c r="K3042">
        <v>-124.8</v>
      </c>
      <c r="L3042">
        <v>40</v>
      </c>
      <c r="M3042" s="21" t="s">
        <v>3034</v>
      </c>
      <c r="O3042" s="21">
        <v>1981</v>
      </c>
      <c r="Q3042" s="21" t="s">
        <v>3086</v>
      </c>
      <c r="T3042" s="21">
        <v>-20</v>
      </c>
      <c r="U3042" s="21" t="s">
        <v>1218</v>
      </c>
      <c r="V3042" s="9" t="s">
        <v>1247</v>
      </c>
      <c r="W3042" s="21">
        <v>56</v>
      </c>
      <c r="X3042" s="9" t="s">
        <v>3088</v>
      </c>
      <c r="Y3042" t="s">
        <v>3102</v>
      </c>
      <c r="Z3042" s="22">
        <v>8</v>
      </c>
      <c r="AD3042" s="22" t="s">
        <v>1165</v>
      </c>
      <c r="AF3042" s="24" t="s">
        <v>153</v>
      </c>
      <c r="AG3042" t="s">
        <v>1160</v>
      </c>
      <c r="AH3042">
        <f t="shared" si="32"/>
        <v>4320</v>
      </c>
      <c r="AI3042" s="21" t="s">
        <v>153</v>
      </c>
      <c r="AJ3042" s="21" t="s">
        <v>1278</v>
      </c>
      <c r="AK3042" s="21">
        <v>40</v>
      </c>
      <c r="AL3042" s="21" t="s">
        <v>1321</v>
      </c>
      <c r="AM3042" s="21"/>
      <c r="AN3042" s="21">
        <v>3</v>
      </c>
      <c r="AO3042" s="21">
        <v>50</v>
      </c>
      <c r="AP3042" s="21">
        <v>30</v>
      </c>
      <c r="AQ3042" s="22" t="s">
        <v>3016</v>
      </c>
      <c r="AR3042" s="21" t="s">
        <v>1298</v>
      </c>
      <c r="AS3042" t="s">
        <v>3085</v>
      </c>
    </row>
    <row r="3043" spans="1:45" x14ac:dyDescent="0.2">
      <c r="A3043" s="21" t="s">
        <v>1685</v>
      </c>
      <c r="B3043" s="21" t="s">
        <v>1146</v>
      </c>
      <c r="C3043" s="21" t="s">
        <v>1149</v>
      </c>
      <c r="D3043" s="21" t="s">
        <v>420</v>
      </c>
      <c r="E3043" s="21" t="s">
        <v>2027</v>
      </c>
      <c r="G3043" s="21" t="s">
        <v>153</v>
      </c>
      <c r="H3043" s="21" t="s">
        <v>1165</v>
      </c>
      <c r="I3043" s="21" t="s">
        <v>3095</v>
      </c>
      <c r="J3043" s="21">
        <v>49.466666666666598</v>
      </c>
      <c r="K3043">
        <v>-124.8</v>
      </c>
      <c r="L3043">
        <v>40</v>
      </c>
      <c r="M3043" s="21" t="s">
        <v>3034</v>
      </c>
      <c r="O3043" s="21">
        <v>1981</v>
      </c>
      <c r="Q3043" s="21" t="s">
        <v>3086</v>
      </c>
      <c r="T3043" s="21">
        <v>-20</v>
      </c>
      <c r="U3043" s="21" t="s">
        <v>1218</v>
      </c>
      <c r="V3043" s="9" t="s">
        <v>1247</v>
      </c>
      <c r="W3043" s="21">
        <v>84</v>
      </c>
      <c r="X3043" s="9" t="s">
        <v>3088</v>
      </c>
      <c r="Y3043" t="s">
        <v>3102</v>
      </c>
      <c r="Z3043" s="22">
        <v>8</v>
      </c>
      <c r="AD3043" s="22" t="s">
        <v>1165</v>
      </c>
      <c r="AF3043" s="24" t="s">
        <v>153</v>
      </c>
      <c r="AG3043" t="s">
        <v>1160</v>
      </c>
      <c r="AH3043">
        <f t="shared" si="32"/>
        <v>4320</v>
      </c>
      <c r="AI3043" s="21" t="s">
        <v>153</v>
      </c>
      <c r="AJ3043" s="21" t="s">
        <v>1148</v>
      </c>
      <c r="AK3043" s="21">
        <v>69</v>
      </c>
      <c r="AL3043" s="21" t="s">
        <v>1321</v>
      </c>
      <c r="AM3043" s="21"/>
      <c r="AN3043" s="21">
        <v>3</v>
      </c>
      <c r="AO3043" s="21">
        <v>50</v>
      </c>
      <c r="AP3043" s="21">
        <v>30</v>
      </c>
      <c r="AQ3043" s="22" t="s">
        <v>3016</v>
      </c>
      <c r="AR3043" s="21" t="s">
        <v>1298</v>
      </c>
      <c r="AS3043" t="s">
        <v>3085</v>
      </c>
    </row>
    <row r="3044" spans="1:45" x14ac:dyDescent="0.2">
      <c r="A3044" s="21" t="s">
        <v>1685</v>
      </c>
      <c r="B3044" s="21" t="s">
        <v>1146</v>
      </c>
      <c r="C3044" s="21" t="s">
        <v>1149</v>
      </c>
      <c r="D3044" s="21" t="s">
        <v>420</v>
      </c>
      <c r="E3044" s="21" t="s">
        <v>2027</v>
      </c>
      <c r="G3044" s="21" t="s">
        <v>153</v>
      </c>
      <c r="H3044" s="21" t="s">
        <v>1165</v>
      </c>
      <c r="I3044" s="21" t="s">
        <v>3095</v>
      </c>
      <c r="J3044" s="21">
        <v>49.466666666666598</v>
      </c>
      <c r="K3044">
        <v>-124.8</v>
      </c>
      <c r="L3044">
        <v>40</v>
      </c>
      <c r="M3044" s="21" t="s">
        <v>3034</v>
      </c>
      <c r="O3044" s="21">
        <v>1981</v>
      </c>
      <c r="Q3044" s="21" t="s">
        <v>3086</v>
      </c>
      <c r="T3044" s="21">
        <v>-20</v>
      </c>
      <c r="U3044" s="21" t="s">
        <v>1218</v>
      </c>
      <c r="V3044" s="9" t="s">
        <v>1247</v>
      </c>
      <c r="W3044" s="21">
        <v>84</v>
      </c>
      <c r="X3044" s="9" t="s">
        <v>3088</v>
      </c>
      <c r="Y3044" t="s">
        <v>3102</v>
      </c>
      <c r="Z3044" s="22">
        <v>8</v>
      </c>
      <c r="AD3044" s="22" t="s">
        <v>1165</v>
      </c>
      <c r="AF3044" s="24" t="s">
        <v>153</v>
      </c>
      <c r="AG3044" t="s">
        <v>1160</v>
      </c>
      <c r="AH3044">
        <f t="shared" si="32"/>
        <v>4320</v>
      </c>
      <c r="AI3044" s="21" t="s">
        <v>153</v>
      </c>
      <c r="AJ3044" s="21" t="s">
        <v>1278</v>
      </c>
      <c r="AK3044" s="21">
        <v>45</v>
      </c>
      <c r="AL3044" s="21" t="s">
        <v>1321</v>
      </c>
      <c r="AM3044" s="21"/>
      <c r="AN3044" s="21">
        <v>3</v>
      </c>
      <c r="AO3044" s="21">
        <v>50</v>
      </c>
      <c r="AP3044" s="21">
        <v>30</v>
      </c>
      <c r="AQ3044" s="22" t="s">
        <v>3016</v>
      </c>
      <c r="AR3044" s="21" t="s">
        <v>1298</v>
      </c>
      <c r="AS3044" t="s">
        <v>3085</v>
      </c>
    </row>
    <row r="3045" spans="1:45" x14ac:dyDescent="0.2">
      <c r="A3045" s="21" t="s">
        <v>1685</v>
      </c>
      <c r="B3045" s="21" t="s">
        <v>1146</v>
      </c>
      <c r="C3045" s="21" t="s">
        <v>1149</v>
      </c>
      <c r="D3045" s="21" t="s">
        <v>420</v>
      </c>
      <c r="E3045" s="21" t="s">
        <v>2027</v>
      </c>
      <c r="G3045" s="21" t="s">
        <v>153</v>
      </c>
      <c r="H3045" s="21" t="s">
        <v>1165</v>
      </c>
      <c r="I3045" s="21" t="s">
        <v>3095</v>
      </c>
      <c r="J3045" s="21">
        <v>49.466666666666598</v>
      </c>
      <c r="K3045">
        <v>-124.8</v>
      </c>
      <c r="L3045">
        <v>40</v>
      </c>
      <c r="M3045" s="21" t="s">
        <v>3034</v>
      </c>
      <c r="O3045" s="21">
        <v>1981</v>
      </c>
      <c r="Q3045" s="21" t="s">
        <v>3086</v>
      </c>
      <c r="T3045" s="21">
        <v>-20</v>
      </c>
      <c r="U3045" s="21" t="s">
        <v>1147</v>
      </c>
      <c r="W3045" s="21"/>
      <c r="X3045" s="9" t="s">
        <v>3088</v>
      </c>
      <c r="Z3045" s="22">
        <v>8</v>
      </c>
      <c r="AD3045" s="22" t="s">
        <v>1165</v>
      </c>
      <c r="AF3045" s="24" t="s">
        <v>153</v>
      </c>
      <c r="AG3045" t="s">
        <v>1160</v>
      </c>
      <c r="AH3045">
        <f t="shared" si="32"/>
        <v>4320</v>
      </c>
      <c r="AI3045" s="21" t="s">
        <v>153</v>
      </c>
      <c r="AJ3045" s="21" t="s">
        <v>1148</v>
      </c>
      <c r="AK3045" s="21">
        <v>29</v>
      </c>
      <c r="AL3045" s="21" t="s">
        <v>1321</v>
      </c>
      <c r="AM3045" s="21"/>
      <c r="AN3045" s="21">
        <v>3</v>
      </c>
      <c r="AO3045" s="21">
        <v>50</v>
      </c>
      <c r="AP3045" s="21">
        <v>30</v>
      </c>
      <c r="AQ3045" s="22" t="s">
        <v>3016</v>
      </c>
      <c r="AR3045" s="21" t="s">
        <v>1298</v>
      </c>
      <c r="AS3045" t="s">
        <v>3085</v>
      </c>
    </row>
    <row r="3046" spans="1:45" x14ac:dyDescent="0.2">
      <c r="A3046" s="21" t="s">
        <v>1685</v>
      </c>
      <c r="B3046" s="21" t="s">
        <v>1146</v>
      </c>
      <c r="C3046" s="21" t="s">
        <v>1149</v>
      </c>
      <c r="D3046" s="21" t="s">
        <v>420</v>
      </c>
      <c r="E3046" s="21" t="s">
        <v>2027</v>
      </c>
      <c r="G3046" s="21" t="s">
        <v>153</v>
      </c>
      <c r="H3046" s="21" t="s">
        <v>1165</v>
      </c>
      <c r="I3046" s="21" t="s">
        <v>3095</v>
      </c>
      <c r="J3046" s="21">
        <v>49.466666666666598</v>
      </c>
      <c r="K3046">
        <v>-124.8</v>
      </c>
      <c r="L3046">
        <v>40</v>
      </c>
      <c r="M3046" s="21" t="s">
        <v>3034</v>
      </c>
      <c r="O3046" s="21">
        <v>1981</v>
      </c>
      <c r="Q3046" s="21" t="s">
        <v>3086</v>
      </c>
      <c r="T3046" s="21">
        <v>-20</v>
      </c>
      <c r="U3046" s="21" t="s">
        <v>1147</v>
      </c>
      <c r="W3046" s="21"/>
      <c r="X3046" s="9" t="s">
        <v>3088</v>
      </c>
      <c r="Z3046" s="22">
        <v>8</v>
      </c>
      <c r="AD3046" s="22" t="s">
        <v>1165</v>
      </c>
      <c r="AF3046" s="24" t="s">
        <v>153</v>
      </c>
      <c r="AG3046" t="s">
        <v>1160</v>
      </c>
      <c r="AH3046">
        <f t="shared" si="32"/>
        <v>4320</v>
      </c>
      <c r="AI3046" s="21" t="s">
        <v>153</v>
      </c>
      <c r="AJ3046" s="21" t="s">
        <v>1278</v>
      </c>
      <c r="AK3046" s="21">
        <v>4</v>
      </c>
      <c r="AL3046" s="21" t="s">
        <v>1321</v>
      </c>
      <c r="AM3046" s="21"/>
      <c r="AN3046" s="21">
        <v>3</v>
      </c>
      <c r="AO3046" s="21">
        <v>50</v>
      </c>
      <c r="AP3046" s="21">
        <v>30</v>
      </c>
      <c r="AQ3046" s="22" t="s">
        <v>3016</v>
      </c>
      <c r="AR3046" s="21" t="s">
        <v>1298</v>
      </c>
      <c r="AS3046" t="s">
        <v>3085</v>
      </c>
    </row>
    <row r="3047" spans="1:45" x14ac:dyDescent="0.2">
      <c r="A3047" s="21" t="s">
        <v>1685</v>
      </c>
      <c r="B3047" s="21" t="s">
        <v>1146</v>
      </c>
      <c r="C3047" s="21" t="s">
        <v>1149</v>
      </c>
      <c r="D3047" s="21" t="s">
        <v>420</v>
      </c>
      <c r="E3047" s="21" t="s">
        <v>2027</v>
      </c>
      <c r="G3047" s="21" t="s">
        <v>153</v>
      </c>
      <c r="H3047" s="21" t="s">
        <v>1165</v>
      </c>
      <c r="I3047" s="21" t="s">
        <v>3095</v>
      </c>
      <c r="J3047" s="21">
        <v>49.466666666666598</v>
      </c>
      <c r="K3047">
        <v>-124.8</v>
      </c>
      <c r="L3047">
        <v>40</v>
      </c>
      <c r="M3047" s="21" t="s">
        <v>3034</v>
      </c>
      <c r="O3047" s="21">
        <v>1981</v>
      </c>
      <c r="Q3047" s="21" t="s">
        <v>3086</v>
      </c>
      <c r="T3047" s="21">
        <v>-20</v>
      </c>
      <c r="U3047" s="21" t="s">
        <v>1147</v>
      </c>
      <c r="W3047" s="21"/>
      <c r="X3047" s="9" t="s">
        <v>3088</v>
      </c>
      <c r="Z3047" s="22">
        <v>8</v>
      </c>
      <c r="AD3047" s="22" t="s">
        <v>1165</v>
      </c>
      <c r="AF3047" s="24" t="s">
        <v>153</v>
      </c>
      <c r="AG3047" t="s">
        <v>1160</v>
      </c>
      <c r="AH3047">
        <f t="shared" si="32"/>
        <v>4320</v>
      </c>
      <c r="AI3047" s="21" t="s">
        <v>153</v>
      </c>
      <c r="AJ3047" s="21" t="s">
        <v>1148</v>
      </c>
      <c r="AK3047" s="21">
        <v>29</v>
      </c>
      <c r="AL3047" s="21" t="s">
        <v>1321</v>
      </c>
      <c r="AM3047" s="21"/>
      <c r="AN3047" s="21">
        <v>3</v>
      </c>
      <c r="AO3047" s="21">
        <v>50</v>
      </c>
      <c r="AP3047" s="21">
        <v>30</v>
      </c>
      <c r="AQ3047" s="22" t="s">
        <v>3016</v>
      </c>
      <c r="AR3047" s="21" t="s">
        <v>1298</v>
      </c>
      <c r="AS3047" t="s">
        <v>3085</v>
      </c>
    </row>
    <row r="3048" spans="1:45" x14ac:dyDescent="0.2">
      <c r="A3048" s="21" t="s">
        <v>1685</v>
      </c>
      <c r="B3048" s="21" t="s">
        <v>1146</v>
      </c>
      <c r="C3048" s="21" t="s">
        <v>1149</v>
      </c>
      <c r="D3048" s="21" t="s">
        <v>420</v>
      </c>
      <c r="E3048" s="21" t="s">
        <v>2027</v>
      </c>
      <c r="G3048" s="21" t="s">
        <v>153</v>
      </c>
      <c r="H3048" s="21" t="s">
        <v>1165</v>
      </c>
      <c r="I3048" s="21" t="s">
        <v>3095</v>
      </c>
      <c r="J3048" s="21">
        <v>49.466666666666598</v>
      </c>
      <c r="K3048">
        <v>-124.8</v>
      </c>
      <c r="L3048">
        <v>40</v>
      </c>
      <c r="M3048" s="21" t="s">
        <v>3034</v>
      </c>
      <c r="O3048" s="21">
        <v>1981</v>
      </c>
      <c r="Q3048" s="21" t="s">
        <v>3086</v>
      </c>
      <c r="T3048" s="21">
        <v>-20</v>
      </c>
      <c r="U3048" s="21" t="s">
        <v>1147</v>
      </c>
      <c r="W3048" s="21"/>
      <c r="X3048" s="9" t="s">
        <v>3088</v>
      </c>
      <c r="Z3048" s="22">
        <v>8</v>
      </c>
      <c r="AD3048" s="22" t="s">
        <v>1165</v>
      </c>
      <c r="AF3048" s="24" t="s">
        <v>153</v>
      </c>
      <c r="AG3048" t="s">
        <v>1160</v>
      </c>
      <c r="AH3048">
        <f t="shared" si="32"/>
        <v>4320</v>
      </c>
      <c r="AI3048" s="21" t="s">
        <v>153</v>
      </c>
      <c r="AJ3048" s="21" t="s">
        <v>1278</v>
      </c>
      <c r="AK3048" s="21">
        <v>4</v>
      </c>
      <c r="AL3048" s="21" t="s">
        <v>1321</v>
      </c>
      <c r="AM3048" s="21"/>
      <c r="AN3048" s="21">
        <v>3</v>
      </c>
      <c r="AO3048" s="21">
        <v>50</v>
      </c>
      <c r="AP3048" s="21">
        <v>30</v>
      </c>
      <c r="AQ3048" s="22" t="s">
        <v>3016</v>
      </c>
      <c r="AR3048" s="21" t="s">
        <v>1298</v>
      </c>
      <c r="AS3048" t="s">
        <v>3085</v>
      </c>
    </row>
    <row r="3049" spans="1:45" x14ac:dyDescent="0.2">
      <c r="A3049" s="21" t="s">
        <v>1685</v>
      </c>
      <c r="B3049" s="21" t="s">
        <v>1146</v>
      </c>
      <c r="C3049" s="21" t="s">
        <v>1149</v>
      </c>
      <c r="D3049" s="21" t="s">
        <v>420</v>
      </c>
      <c r="E3049" s="21" t="s">
        <v>2027</v>
      </c>
      <c r="G3049" s="21" t="s">
        <v>153</v>
      </c>
      <c r="H3049" s="21" t="s">
        <v>1165</v>
      </c>
      <c r="I3049" s="21" t="s">
        <v>3095</v>
      </c>
      <c r="J3049" s="21">
        <v>49.466666666666598</v>
      </c>
      <c r="K3049">
        <v>-124.8</v>
      </c>
      <c r="L3049">
        <v>40</v>
      </c>
      <c r="M3049" s="21" t="s">
        <v>3034</v>
      </c>
      <c r="O3049" s="21">
        <v>1981</v>
      </c>
      <c r="Q3049" s="21" t="s">
        <v>3086</v>
      </c>
      <c r="T3049" s="21">
        <v>-20</v>
      </c>
      <c r="U3049" s="21" t="s">
        <v>1147</v>
      </c>
      <c r="W3049" s="21"/>
      <c r="X3049" s="9" t="s">
        <v>3088</v>
      </c>
      <c r="Z3049" s="22">
        <v>8</v>
      </c>
      <c r="AD3049" s="22" t="s">
        <v>1165</v>
      </c>
      <c r="AF3049" s="24" t="s">
        <v>153</v>
      </c>
      <c r="AG3049" t="s">
        <v>1160</v>
      </c>
      <c r="AH3049">
        <f t="shared" si="32"/>
        <v>4320</v>
      </c>
      <c r="AI3049" s="21" t="s">
        <v>153</v>
      </c>
      <c r="AJ3049" s="21" t="s">
        <v>1148</v>
      </c>
      <c r="AK3049" s="21">
        <v>29</v>
      </c>
      <c r="AL3049" s="21" t="s">
        <v>1321</v>
      </c>
      <c r="AM3049" s="21"/>
      <c r="AN3049" s="21">
        <v>3</v>
      </c>
      <c r="AO3049" s="21">
        <v>50</v>
      </c>
      <c r="AP3049" s="21">
        <v>30</v>
      </c>
      <c r="AQ3049" s="22" t="s">
        <v>3016</v>
      </c>
      <c r="AR3049" s="21" t="s">
        <v>1298</v>
      </c>
      <c r="AS3049" t="s">
        <v>3085</v>
      </c>
    </row>
    <row r="3050" spans="1:45" x14ac:dyDescent="0.2">
      <c r="A3050" s="21" t="s">
        <v>1685</v>
      </c>
      <c r="B3050" s="21" t="s">
        <v>1146</v>
      </c>
      <c r="C3050" s="21" t="s">
        <v>1149</v>
      </c>
      <c r="D3050" s="21" t="s">
        <v>420</v>
      </c>
      <c r="E3050" s="21" t="s">
        <v>2027</v>
      </c>
      <c r="G3050" s="21" t="s">
        <v>153</v>
      </c>
      <c r="H3050" s="21" t="s">
        <v>1165</v>
      </c>
      <c r="I3050" s="21" t="s">
        <v>3095</v>
      </c>
      <c r="J3050" s="21">
        <v>49.466666666666598</v>
      </c>
      <c r="K3050">
        <v>-124.8</v>
      </c>
      <c r="L3050">
        <v>40</v>
      </c>
      <c r="M3050" s="21" t="s">
        <v>3034</v>
      </c>
      <c r="O3050" s="21">
        <v>1981</v>
      </c>
      <c r="Q3050" s="21" t="s">
        <v>3086</v>
      </c>
      <c r="T3050" s="21">
        <v>-20</v>
      </c>
      <c r="U3050" s="21" t="s">
        <v>1147</v>
      </c>
      <c r="W3050" s="21"/>
      <c r="X3050" s="9" t="s">
        <v>3088</v>
      </c>
      <c r="Z3050" s="22">
        <v>8</v>
      </c>
      <c r="AD3050" s="22" t="s">
        <v>1165</v>
      </c>
      <c r="AF3050" s="24" t="s">
        <v>153</v>
      </c>
      <c r="AG3050" t="s">
        <v>1160</v>
      </c>
      <c r="AH3050">
        <f t="shared" si="32"/>
        <v>4320</v>
      </c>
      <c r="AI3050" s="21" t="s">
        <v>153</v>
      </c>
      <c r="AJ3050" s="21" t="s">
        <v>1278</v>
      </c>
      <c r="AK3050" s="21">
        <v>4</v>
      </c>
      <c r="AL3050" s="21" t="s">
        <v>1321</v>
      </c>
      <c r="AM3050" s="21"/>
      <c r="AN3050" s="21">
        <v>3</v>
      </c>
      <c r="AO3050" s="21">
        <v>50</v>
      </c>
      <c r="AP3050" s="21">
        <v>30</v>
      </c>
      <c r="AQ3050" s="22" t="s">
        <v>3016</v>
      </c>
      <c r="AR3050" s="21" t="s">
        <v>1298</v>
      </c>
      <c r="AS3050" t="s">
        <v>3085</v>
      </c>
    </row>
    <row r="3051" spans="1:45" x14ac:dyDescent="0.2">
      <c r="A3051" s="21" t="s">
        <v>1685</v>
      </c>
      <c r="B3051" s="21" t="s">
        <v>1146</v>
      </c>
      <c r="C3051" s="21" t="s">
        <v>1149</v>
      </c>
      <c r="D3051" s="21" t="s">
        <v>420</v>
      </c>
      <c r="E3051" s="21" t="s">
        <v>3094</v>
      </c>
      <c r="G3051" s="21" t="s">
        <v>153</v>
      </c>
      <c r="H3051" s="21" t="s">
        <v>1165</v>
      </c>
      <c r="I3051" s="21" t="s">
        <v>3096</v>
      </c>
      <c r="J3051" s="21">
        <v>49</v>
      </c>
      <c r="K3051">
        <v>-121.5</v>
      </c>
      <c r="L3051">
        <v>1220</v>
      </c>
      <c r="M3051" s="21" t="s">
        <v>3034</v>
      </c>
      <c r="O3051" s="21">
        <v>1982</v>
      </c>
      <c r="Q3051" s="21" t="s">
        <v>3086</v>
      </c>
      <c r="T3051" s="21">
        <v>-20</v>
      </c>
      <c r="U3051" s="21" t="s">
        <v>1218</v>
      </c>
      <c r="V3051" s="9" t="s">
        <v>1247</v>
      </c>
      <c r="W3051" s="21">
        <v>28</v>
      </c>
      <c r="X3051" s="9" t="s">
        <v>3088</v>
      </c>
      <c r="Z3051" s="22">
        <v>8</v>
      </c>
      <c r="AD3051" s="22" t="s">
        <v>1165</v>
      </c>
      <c r="AF3051" s="24" t="s">
        <v>153</v>
      </c>
      <c r="AG3051" t="s">
        <v>1160</v>
      </c>
      <c r="AH3051">
        <f t="shared" si="32"/>
        <v>4320</v>
      </c>
      <c r="AI3051" s="21" t="s">
        <v>153</v>
      </c>
      <c r="AJ3051" s="21" t="s">
        <v>1148</v>
      </c>
      <c r="AK3051" s="21">
        <v>35</v>
      </c>
      <c r="AL3051" s="21" t="s">
        <v>1321</v>
      </c>
      <c r="AN3051" s="21">
        <v>3</v>
      </c>
      <c r="AO3051" s="21">
        <v>50</v>
      </c>
      <c r="AP3051" s="21">
        <v>30</v>
      </c>
      <c r="AQ3051" s="22" t="s">
        <v>3016</v>
      </c>
      <c r="AR3051" s="21" t="s">
        <v>1298</v>
      </c>
      <c r="AS3051" t="s">
        <v>3085</v>
      </c>
    </row>
    <row r="3052" spans="1:45" x14ac:dyDescent="0.2">
      <c r="A3052" s="21" t="s">
        <v>1685</v>
      </c>
      <c r="B3052" s="21" t="s">
        <v>1146</v>
      </c>
      <c r="C3052" s="21" t="s">
        <v>1149</v>
      </c>
      <c r="D3052" s="21" t="s">
        <v>420</v>
      </c>
      <c r="E3052" s="21" t="s">
        <v>3094</v>
      </c>
      <c r="G3052" s="21" t="s">
        <v>153</v>
      </c>
      <c r="H3052" s="21" t="s">
        <v>1165</v>
      </c>
      <c r="I3052" s="21" t="s">
        <v>3096</v>
      </c>
      <c r="J3052" s="21">
        <v>49</v>
      </c>
      <c r="K3052">
        <v>-121.5</v>
      </c>
      <c r="L3052">
        <v>1220</v>
      </c>
      <c r="M3052" s="21" t="s">
        <v>3034</v>
      </c>
      <c r="O3052" s="21">
        <v>1982</v>
      </c>
      <c r="Q3052" s="21" t="s">
        <v>3086</v>
      </c>
      <c r="T3052" s="21">
        <v>-20</v>
      </c>
      <c r="U3052" s="21" t="s">
        <v>1218</v>
      </c>
      <c r="V3052" s="9" t="s">
        <v>1247</v>
      </c>
      <c r="W3052" s="21">
        <v>28</v>
      </c>
      <c r="X3052" s="9" t="s">
        <v>3088</v>
      </c>
      <c r="Z3052" s="22">
        <v>8</v>
      </c>
      <c r="AD3052" s="22" t="s">
        <v>1165</v>
      </c>
      <c r="AF3052" s="24" t="s">
        <v>153</v>
      </c>
      <c r="AG3052" t="s">
        <v>1160</v>
      </c>
      <c r="AH3052">
        <f t="shared" si="32"/>
        <v>4320</v>
      </c>
      <c r="AI3052" s="21" t="s">
        <v>153</v>
      </c>
      <c r="AJ3052" s="21" t="s">
        <v>1278</v>
      </c>
      <c r="AK3052" s="21">
        <v>13</v>
      </c>
      <c r="AL3052" s="21" t="s">
        <v>1321</v>
      </c>
      <c r="AN3052" s="21">
        <v>3</v>
      </c>
      <c r="AO3052" s="21">
        <v>50</v>
      </c>
      <c r="AP3052" s="21">
        <v>30</v>
      </c>
      <c r="AQ3052" s="22" t="s">
        <v>3016</v>
      </c>
      <c r="AR3052" s="21" t="s">
        <v>1298</v>
      </c>
      <c r="AS3052" t="s">
        <v>3085</v>
      </c>
    </row>
    <row r="3053" spans="1:45" x14ac:dyDescent="0.2">
      <c r="A3053" s="21" t="s">
        <v>1685</v>
      </c>
      <c r="B3053" s="21" t="s">
        <v>1146</v>
      </c>
      <c r="C3053" s="21" t="s">
        <v>1149</v>
      </c>
      <c r="D3053" s="21" t="s">
        <v>420</v>
      </c>
      <c r="E3053" s="21" t="s">
        <v>3094</v>
      </c>
      <c r="G3053" s="21" t="s">
        <v>153</v>
      </c>
      <c r="H3053" s="21" t="s">
        <v>1165</v>
      </c>
      <c r="I3053" s="21" t="s">
        <v>3096</v>
      </c>
      <c r="J3053" s="21">
        <v>49</v>
      </c>
      <c r="K3053">
        <v>-121.5</v>
      </c>
      <c r="L3053">
        <v>1220</v>
      </c>
      <c r="M3053" s="21" t="s">
        <v>3034</v>
      </c>
      <c r="O3053" s="21">
        <v>1982</v>
      </c>
      <c r="Q3053" s="21" t="s">
        <v>3086</v>
      </c>
      <c r="T3053" s="21">
        <v>-20</v>
      </c>
      <c r="U3053" s="21" t="s">
        <v>1218</v>
      </c>
      <c r="V3053" s="9" t="s">
        <v>1247</v>
      </c>
      <c r="W3053" s="21">
        <v>56</v>
      </c>
      <c r="X3053" s="9" t="s">
        <v>3088</v>
      </c>
      <c r="Z3053" s="22">
        <v>8</v>
      </c>
      <c r="AD3053" s="22" t="s">
        <v>1165</v>
      </c>
      <c r="AF3053" s="24" t="s">
        <v>153</v>
      </c>
      <c r="AG3053" t="s">
        <v>1160</v>
      </c>
      <c r="AH3053">
        <f t="shared" si="32"/>
        <v>4320</v>
      </c>
      <c r="AI3053" s="21" t="s">
        <v>153</v>
      </c>
      <c r="AJ3053" s="21" t="s">
        <v>1148</v>
      </c>
      <c r="AK3053" s="21">
        <v>46</v>
      </c>
      <c r="AL3053" s="21" t="s">
        <v>1321</v>
      </c>
      <c r="AN3053" s="21">
        <v>3</v>
      </c>
      <c r="AO3053" s="21">
        <v>50</v>
      </c>
      <c r="AP3053" s="21">
        <v>30</v>
      </c>
      <c r="AQ3053" s="22" t="s">
        <v>3016</v>
      </c>
      <c r="AR3053" s="21" t="s">
        <v>1298</v>
      </c>
      <c r="AS3053" t="s">
        <v>3085</v>
      </c>
    </row>
    <row r="3054" spans="1:45" x14ac:dyDescent="0.2">
      <c r="A3054" s="21" t="s">
        <v>1685</v>
      </c>
      <c r="B3054" s="21" t="s">
        <v>1146</v>
      </c>
      <c r="C3054" s="21" t="s">
        <v>1149</v>
      </c>
      <c r="D3054" s="21" t="s">
        <v>420</v>
      </c>
      <c r="E3054" s="21" t="s">
        <v>3094</v>
      </c>
      <c r="G3054" s="21" t="s">
        <v>153</v>
      </c>
      <c r="H3054" s="21" t="s">
        <v>1165</v>
      </c>
      <c r="I3054" s="21" t="s">
        <v>3096</v>
      </c>
      <c r="J3054" s="21">
        <v>49</v>
      </c>
      <c r="K3054">
        <v>-121.5</v>
      </c>
      <c r="L3054">
        <v>1220</v>
      </c>
      <c r="M3054" s="21" t="s">
        <v>3034</v>
      </c>
      <c r="O3054" s="21">
        <v>1982</v>
      </c>
      <c r="Q3054" s="21" t="s">
        <v>3086</v>
      </c>
      <c r="T3054" s="21">
        <v>-20</v>
      </c>
      <c r="U3054" s="21" t="s">
        <v>1218</v>
      </c>
      <c r="V3054" s="9" t="s">
        <v>1247</v>
      </c>
      <c r="W3054" s="21">
        <v>56</v>
      </c>
      <c r="X3054" s="9" t="s">
        <v>3088</v>
      </c>
      <c r="Z3054" s="22">
        <v>8</v>
      </c>
      <c r="AD3054" s="22" t="s">
        <v>1165</v>
      </c>
      <c r="AF3054" s="24" t="s">
        <v>153</v>
      </c>
      <c r="AG3054" t="s">
        <v>1160</v>
      </c>
      <c r="AH3054">
        <f t="shared" si="32"/>
        <v>4320</v>
      </c>
      <c r="AI3054" s="21" t="s">
        <v>153</v>
      </c>
      <c r="AJ3054" s="21" t="s">
        <v>1278</v>
      </c>
      <c r="AK3054" s="21">
        <v>21</v>
      </c>
      <c r="AL3054" s="21" t="s">
        <v>1321</v>
      </c>
      <c r="AN3054" s="21">
        <v>3</v>
      </c>
      <c r="AO3054" s="21">
        <v>50</v>
      </c>
      <c r="AP3054" s="21">
        <v>30</v>
      </c>
      <c r="AQ3054" s="22" t="s">
        <v>3016</v>
      </c>
      <c r="AR3054" s="21" t="s">
        <v>1298</v>
      </c>
      <c r="AS3054" t="s">
        <v>3085</v>
      </c>
    </row>
    <row r="3055" spans="1:45" x14ac:dyDescent="0.2">
      <c r="A3055" s="21" t="s">
        <v>1685</v>
      </c>
      <c r="B3055" s="21" t="s">
        <v>1146</v>
      </c>
      <c r="C3055" s="21" t="s">
        <v>1149</v>
      </c>
      <c r="D3055" s="21" t="s">
        <v>420</v>
      </c>
      <c r="E3055" s="21" t="s">
        <v>3094</v>
      </c>
      <c r="G3055" s="21" t="s">
        <v>153</v>
      </c>
      <c r="H3055" s="21" t="s">
        <v>1165</v>
      </c>
      <c r="I3055" s="21" t="s">
        <v>3096</v>
      </c>
      <c r="J3055" s="21">
        <v>49</v>
      </c>
      <c r="K3055">
        <v>-121.5</v>
      </c>
      <c r="L3055">
        <v>1220</v>
      </c>
      <c r="M3055" s="21" t="s">
        <v>3034</v>
      </c>
      <c r="O3055" s="21">
        <v>1982</v>
      </c>
      <c r="Q3055" s="21" t="s">
        <v>3086</v>
      </c>
      <c r="T3055" s="21">
        <v>-20</v>
      </c>
      <c r="U3055" s="21" t="s">
        <v>1218</v>
      </c>
      <c r="V3055" s="9" t="s">
        <v>1247</v>
      </c>
      <c r="W3055" s="21">
        <f>7*12</f>
        <v>84</v>
      </c>
      <c r="X3055" s="9" t="s">
        <v>3088</v>
      </c>
      <c r="Z3055" s="22">
        <v>8</v>
      </c>
      <c r="AD3055" s="22" t="s">
        <v>1165</v>
      </c>
      <c r="AF3055" s="24" t="s">
        <v>153</v>
      </c>
      <c r="AG3055" t="s">
        <v>1160</v>
      </c>
      <c r="AH3055">
        <f t="shared" si="32"/>
        <v>4320</v>
      </c>
      <c r="AI3055" s="21" t="s">
        <v>153</v>
      </c>
      <c r="AJ3055" s="21" t="s">
        <v>1148</v>
      </c>
      <c r="AK3055" s="21">
        <v>47</v>
      </c>
      <c r="AL3055" s="21" t="s">
        <v>1321</v>
      </c>
      <c r="AN3055" s="21">
        <v>3</v>
      </c>
      <c r="AO3055" s="21">
        <v>50</v>
      </c>
      <c r="AP3055" s="21">
        <v>30</v>
      </c>
      <c r="AQ3055" s="22" t="s">
        <v>3016</v>
      </c>
      <c r="AR3055" s="21" t="s">
        <v>1298</v>
      </c>
      <c r="AS3055" t="s">
        <v>3085</v>
      </c>
    </row>
    <row r="3056" spans="1:45" x14ac:dyDescent="0.2">
      <c r="A3056" s="21" t="s">
        <v>1685</v>
      </c>
      <c r="B3056" s="21" t="s">
        <v>1146</v>
      </c>
      <c r="C3056" s="21" t="s">
        <v>1149</v>
      </c>
      <c r="D3056" s="21" t="s">
        <v>420</v>
      </c>
      <c r="E3056" s="21" t="s">
        <v>3094</v>
      </c>
      <c r="G3056" s="21" t="s">
        <v>153</v>
      </c>
      <c r="H3056" s="21" t="s">
        <v>1165</v>
      </c>
      <c r="I3056" s="21" t="s">
        <v>3096</v>
      </c>
      <c r="J3056" s="21">
        <v>49</v>
      </c>
      <c r="K3056">
        <v>-121.5</v>
      </c>
      <c r="L3056">
        <v>1220</v>
      </c>
      <c r="M3056" s="21" t="s">
        <v>3034</v>
      </c>
      <c r="O3056" s="21">
        <v>1982</v>
      </c>
      <c r="Q3056" s="21" t="s">
        <v>3086</v>
      </c>
      <c r="T3056" s="21">
        <v>-20</v>
      </c>
      <c r="U3056" s="21" t="s">
        <v>1218</v>
      </c>
      <c r="V3056" s="9" t="s">
        <v>1247</v>
      </c>
      <c r="W3056" s="21">
        <v>84</v>
      </c>
      <c r="X3056" s="9" t="s">
        <v>3088</v>
      </c>
      <c r="Z3056" s="22">
        <v>8</v>
      </c>
      <c r="AD3056" s="22" t="s">
        <v>1165</v>
      </c>
      <c r="AF3056" s="24" t="s">
        <v>153</v>
      </c>
      <c r="AG3056" t="s">
        <v>1160</v>
      </c>
      <c r="AH3056">
        <f t="shared" ref="AH3056:AH3119" si="33">24*60*3</f>
        <v>4320</v>
      </c>
      <c r="AI3056" s="21" t="s">
        <v>153</v>
      </c>
      <c r="AJ3056" s="21" t="s">
        <v>1278</v>
      </c>
      <c r="AK3056" s="21">
        <v>23</v>
      </c>
      <c r="AL3056" s="21" t="s">
        <v>1321</v>
      </c>
      <c r="AN3056" s="21">
        <v>3</v>
      </c>
      <c r="AO3056" s="21">
        <v>50</v>
      </c>
      <c r="AP3056" s="21">
        <v>30</v>
      </c>
      <c r="AQ3056" s="22" t="s">
        <v>3016</v>
      </c>
      <c r="AR3056" s="21" t="s">
        <v>1298</v>
      </c>
      <c r="AS3056" t="s">
        <v>3085</v>
      </c>
    </row>
    <row r="3057" spans="1:45" x14ac:dyDescent="0.2">
      <c r="A3057" s="21" t="s">
        <v>1685</v>
      </c>
      <c r="B3057" s="21" t="s">
        <v>1146</v>
      </c>
      <c r="C3057" s="21" t="s">
        <v>1149</v>
      </c>
      <c r="D3057" s="21" t="s">
        <v>420</v>
      </c>
      <c r="E3057" s="21" t="s">
        <v>3094</v>
      </c>
      <c r="G3057" s="21" t="s">
        <v>153</v>
      </c>
      <c r="H3057" s="21" t="s">
        <v>1165</v>
      </c>
      <c r="I3057" s="21" t="s">
        <v>3096</v>
      </c>
      <c r="J3057" s="21">
        <v>49</v>
      </c>
      <c r="K3057">
        <v>-121.5</v>
      </c>
      <c r="L3057">
        <v>1220</v>
      </c>
      <c r="M3057" s="21" t="s">
        <v>3034</v>
      </c>
      <c r="O3057" s="21">
        <v>1982</v>
      </c>
      <c r="Q3057" s="21" t="s">
        <v>3086</v>
      </c>
      <c r="T3057" s="21">
        <v>-20</v>
      </c>
      <c r="U3057" s="21" t="s">
        <v>1218</v>
      </c>
      <c r="V3057" s="9" t="s">
        <v>1247</v>
      </c>
      <c r="W3057" s="21">
        <v>28</v>
      </c>
      <c r="X3057" s="9" t="s">
        <v>3088</v>
      </c>
      <c r="Y3057" t="s">
        <v>3097</v>
      </c>
      <c r="Z3057" s="22">
        <v>8</v>
      </c>
      <c r="AD3057" s="22" t="s">
        <v>1165</v>
      </c>
      <c r="AF3057" s="24" t="s">
        <v>153</v>
      </c>
      <c r="AG3057" t="s">
        <v>1160</v>
      </c>
      <c r="AH3057">
        <f t="shared" si="33"/>
        <v>4320</v>
      </c>
      <c r="AI3057" s="21" t="s">
        <v>153</v>
      </c>
      <c r="AJ3057" s="21" t="s">
        <v>1148</v>
      </c>
      <c r="AK3057" s="21">
        <v>29</v>
      </c>
      <c r="AL3057" s="21" t="s">
        <v>1321</v>
      </c>
      <c r="AM3057" s="21"/>
      <c r="AN3057" s="21">
        <v>3</v>
      </c>
      <c r="AO3057" s="21">
        <v>50</v>
      </c>
      <c r="AP3057" s="21">
        <v>30</v>
      </c>
      <c r="AQ3057" s="22" t="s">
        <v>3016</v>
      </c>
      <c r="AR3057" s="21" t="s">
        <v>1298</v>
      </c>
      <c r="AS3057" t="s">
        <v>3085</v>
      </c>
    </row>
    <row r="3058" spans="1:45" x14ac:dyDescent="0.2">
      <c r="A3058" s="21" t="s">
        <v>1685</v>
      </c>
      <c r="B3058" s="21" t="s">
        <v>1146</v>
      </c>
      <c r="C3058" s="21" t="s">
        <v>1149</v>
      </c>
      <c r="D3058" s="21" t="s">
        <v>420</v>
      </c>
      <c r="E3058" s="21" t="s">
        <v>3094</v>
      </c>
      <c r="G3058" s="21" t="s">
        <v>153</v>
      </c>
      <c r="H3058" s="21" t="s">
        <v>1165</v>
      </c>
      <c r="I3058" s="21" t="s">
        <v>3096</v>
      </c>
      <c r="J3058" s="21">
        <v>49</v>
      </c>
      <c r="K3058">
        <v>-121.5</v>
      </c>
      <c r="L3058">
        <v>1220</v>
      </c>
      <c r="M3058" s="21" t="s">
        <v>3034</v>
      </c>
      <c r="O3058" s="21">
        <v>1982</v>
      </c>
      <c r="Q3058" s="21" t="s">
        <v>3086</v>
      </c>
      <c r="T3058" s="21">
        <v>-20</v>
      </c>
      <c r="U3058" s="21" t="s">
        <v>1218</v>
      </c>
      <c r="V3058" s="9" t="s">
        <v>1247</v>
      </c>
      <c r="W3058" s="21">
        <v>28</v>
      </c>
      <c r="X3058" s="9" t="s">
        <v>3088</v>
      </c>
      <c r="Y3058" t="s">
        <v>3097</v>
      </c>
      <c r="Z3058" s="22">
        <v>8</v>
      </c>
      <c r="AD3058" s="22" t="s">
        <v>1165</v>
      </c>
      <c r="AF3058" s="24" t="s">
        <v>153</v>
      </c>
      <c r="AG3058" t="s">
        <v>1160</v>
      </c>
      <c r="AH3058">
        <f t="shared" si="33"/>
        <v>4320</v>
      </c>
      <c r="AI3058" s="21" t="s">
        <v>153</v>
      </c>
      <c r="AJ3058" s="21" t="s">
        <v>1278</v>
      </c>
      <c r="AK3058" s="21">
        <v>11</v>
      </c>
      <c r="AL3058" s="21" t="s">
        <v>1321</v>
      </c>
      <c r="AM3058" s="21"/>
      <c r="AN3058" s="21">
        <v>3</v>
      </c>
      <c r="AO3058" s="21">
        <v>50</v>
      </c>
      <c r="AP3058" s="21">
        <v>30</v>
      </c>
      <c r="AQ3058" s="22" t="s">
        <v>3016</v>
      </c>
      <c r="AR3058" s="21" t="s">
        <v>1298</v>
      </c>
      <c r="AS3058" t="s">
        <v>3085</v>
      </c>
    </row>
    <row r="3059" spans="1:45" x14ac:dyDescent="0.2">
      <c r="A3059" s="21" t="s">
        <v>1685</v>
      </c>
      <c r="B3059" s="21" t="s">
        <v>1146</v>
      </c>
      <c r="C3059" s="21" t="s">
        <v>1149</v>
      </c>
      <c r="D3059" s="21" t="s">
        <v>420</v>
      </c>
      <c r="E3059" s="21" t="s">
        <v>3094</v>
      </c>
      <c r="G3059" s="21" t="s">
        <v>153</v>
      </c>
      <c r="H3059" s="21" t="s">
        <v>1165</v>
      </c>
      <c r="I3059" s="21" t="s">
        <v>3096</v>
      </c>
      <c r="J3059" s="21">
        <v>49</v>
      </c>
      <c r="K3059">
        <v>-121.5</v>
      </c>
      <c r="L3059">
        <v>1220</v>
      </c>
      <c r="M3059" s="21" t="s">
        <v>3034</v>
      </c>
      <c r="O3059" s="21">
        <v>1982</v>
      </c>
      <c r="Q3059" s="21" t="s">
        <v>3086</v>
      </c>
      <c r="T3059" s="21">
        <v>-20</v>
      </c>
      <c r="U3059" s="21" t="s">
        <v>1218</v>
      </c>
      <c r="V3059" s="9" t="s">
        <v>1247</v>
      </c>
      <c r="W3059" s="21">
        <v>56</v>
      </c>
      <c r="X3059" s="9" t="s">
        <v>3088</v>
      </c>
      <c r="Y3059" t="s">
        <v>3097</v>
      </c>
      <c r="Z3059" s="22">
        <v>8</v>
      </c>
      <c r="AD3059" s="22" t="s">
        <v>1165</v>
      </c>
      <c r="AF3059" s="24" t="s">
        <v>153</v>
      </c>
      <c r="AG3059" t="s">
        <v>1160</v>
      </c>
      <c r="AH3059">
        <f t="shared" si="33"/>
        <v>4320</v>
      </c>
      <c r="AI3059" s="21" t="s">
        <v>153</v>
      </c>
      <c r="AJ3059" s="21" t="s">
        <v>1148</v>
      </c>
      <c r="AK3059" s="21">
        <v>46</v>
      </c>
      <c r="AL3059" s="21" t="s">
        <v>1321</v>
      </c>
      <c r="AM3059" s="21"/>
      <c r="AN3059" s="21">
        <v>3</v>
      </c>
      <c r="AO3059" s="21">
        <v>50</v>
      </c>
      <c r="AP3059" s="21">
        <v>30</v>
      </c>
      <c r="AQ3059" s="22" t="s">
        <v>3016</v>
      </c>
      <c r="AR3059" s="21" t="s">
        <v>1298</v>
      </c>
      <c r="AS3059" t="s">
        <v>3085</v>
      </c>
    </row>
    <row r="3060" spans="1:45" x14ac:dyDescent="0.2">
      <c r="A3060" s="21" t="s">
        <v>1685</v>
      </c>
      <c r="B3060" s="21" t="s">
        <v>1146</v>
      </c>
      <c r="C3060" s="21" t="s">
        <v>1149</v>
      </c>
      <c r="D3060" s="21" t="s">
        <v>420</v>
      </c>
      <c r="E3060" s="21" t="s">
        <v>3094</v>
      </c>
      <c r="G3060" s="21" t="s">
        <v>153</v>
      </c>
      <c r="H3060" s="21" t="s">
        <v>1165</v>
      </c>
      <c r="I3060" s="21" t="s">
        <v>3096</v>
      </c>
      <c r="J3060" s="21">
        <v>49</v>
      </c>
      <c r="K3060">
        <v>-121.5</v>
      </c>
      <c r="L3060">
        <v>1220</v>
      </c>
      <c r="M3060" s="21" t="s">
        <v>3034</v>
      </c>
      <c r="O3060" s="21">
        <v>1982</v>
      </c>
      <c r="Q3060" s="21" t="s">
        <v>3086</v>
      </c>
      <c r="T3060" s="21">
        <v>-20</v>
      </c>
      <c r="U3060" s="21" t="s">
        <v>1218</v>
      </c>
      <c r="V3060" s="9" t="s">
        <v>1247</v>
      </c>
      <c r="W3060" s="21">
        <v>56</v>
      </c>
      <c r="X3060" s="9" t="s">
        <v>3088</v>
      </c>
      <c r="Y3060" t="s">
        <v>3097</v>
      </c>
      <c r="Z3060" s="22">
        <v>8</v>
      </c>
      <c r="AD3060" s="22" t="s">
        <v>1165</v>
      </c>
      <c r="AF3060" s="24" t="s">
        <v>153</v>
      </c>
      <c r="AG3060" t="s">
        <v>1160</v>
      </c>
      <c r="AH3060">
        <f t="shared" si="33"/>
        <v>4320</v>
      </c>
      <c r="AI3060" s="21" t="s">
        <v>153</v>
      </c>
      <c r="AJ3060" s="21" t="s">
        <v>1278</v>
      </c>
      <c r="AK3060" s="21">
        <v>23</v>
      </c>
      <c r="AL3060" s="21" t="s">
        <v>1321</v>
      </c>
      <c r="AM3060" s="21"/>
      <c r="AN3060" s="21">
        <v>3</v>
      </c>
      <c r="AO3060" s="21">
        <v>50</v>
      </c>
      <c r="AP3060" s="21">
        <v>30</v>
      </c>
      <c r="AQ3060" s="22" t="s">
        <v>3016</v>
      </c>
      <c r="AR3060" s="21" t="s">
        <v>1298</v>
      </c>
      <c r="AS3060" t="s">
        <v>3085</v>
      </c>
    </row>
    <row r="3061" spans="1:45" x14ac:dyDescent="0.2">
      <c r="A3061" s="21" t="s">
        <v>1685</v>
      </c>
      <c r="B3061" s="21" t="s">
        <v>1146</v>
      </c>
      <c r="C3061" s="21" t="s">
        <v>1149</v>
      </c>
      <c r="D3061" s="21" t="s">
        <v>420</v>
      </c>
      <c r="E3061" s="21" t="s">
        <v>3094</v>
      </c>
      <c r="G3061" s="21" t="s">
        <v>153</v>
      </c>
      <c r="H3061" s="21" t="s">
        <v>1165</v>
      </c>
      <c r="I3061" s="21" t="s">
        <v>3096</v>
      </c>
      <c r="J3061" s="21">
        <v>49</v>
      </c>
      <c r="K3061">
        <v>-121.5</v>
      </c>
      <c r="L3061">
        <v>1220</v>
      </c>
      <c r="M3061" s="21" t="s">
        <v>3034</v>
      </c>
      <c r="O3061" s="21">
        <v>1982</v>
      </c>
      <c r="Q3061" s="21" t="s">
        <v>3086</v>
      </c>
      <c r="T3061" s="21">
        <v>-20</v>
      </c>
      <c r="U3061" s="21" t="s">
        <v>1218</v>
      </c>
      <c r="V3061" s="9" t="s">
        <v>1247</v>
      </c>
      <c r="W3061" s="21">
        <v>84</v>
      </c>
      <c r="X3061" s="9" t="s">
        <v>3088</v>
      </c>
      <c r="Y3061" t="s">
        <v>3097</v>
      </c>
      <c r="Z3061" s="22">
        <v>8</v>
      </c>
      <c r="AD3061" s="22" t="s">
        <v>1165</v>
      </c>
      <c r="AF3061" s="24" t="s">
        <v>153</v>
      </c>
      <c r="AG3061" t="s">
        <v>1160</v>
      </c>
      <c r="AH3061">
        <f t="shared" si="33"/>
        <v>4320</v>
      </c>
      <c r="AI3061" s="21" t="s">
        <v>153</v>
      </c>
      <c r="AJ3061" s="21" t="s">
        <v>1148</v>
      </c>
      <c r="AK3061" s="21">
        <v>26</v>
      </c>
      <c r="AL3061" s="21" t="s">
        <v>1321</v>
      </c>
      <c r="AM3061" s="21"/>
      <c r="AN3061" s="21">
        <v>3</v>
      </c>
      <c r="AO3061" s="21">
        <v>50</v>
      </c>
      <c r="AP3061" s="21">
        <v>30</v>
      </c>
      <c r="AQ3061" s="22" t="s">
        <v>3016</v>
      </c>
      <c r="AR3061" s="21" t="s">
        <v>1298</v>
      </c>
      <c r="AS3061" t="s">
        <v>3085</v>
      </c>
    </row>
    <row r="3062" spans="1:45" x14ac:dyDescent="0.2">
      <c r="A3062" s="21" t="s">
        <v>1685</v>
      </c>
      <c r="B3062" s="21" t="s">
        <v>1146</v>
      </c>
      <c r="C3062" s="21" t="s">
        <v>1149</v>
      </c>
      <c r="D3062" s="21" t="s">
        <v>420</v>
      </c>
      <c r="E3062" s="21" t="s">
        <v>3094</v>
      </c>
      <c r="G3062" s="21" t="s">
        <v>153</v>
      </c>
      <c r="H3062" s="21" t="s">
        <v>1165</v>
      </c>
      <c r="I3062" s="21" t="s">
        <v>3096</v>
      </c>
      <c r="J3062" s="21">
        <v>49</v>
      </c>
      <c r="K3062">
        <v>-121.5</v>
      </c>
      <c r="L3062">
        <v>1220</v>
      </c>
      <c r="M3062" s="21" t="s">
        <v>3034</v>
      </c>
      <c r="O3062" s="21">
        <v>1982</v>
      </c>
      <c r="Q3062" s="21" t="s">
        <v>3086</v>
      </c>
      <c r="T3062" s="21">
        <v>-20</v>
      </c>
      <c r="U3062" s="21" t="s">
        <v>1218</v>
      </c>
      <c r="V3062" s="9" t="s">
        <v>1247</v>
      </c>
      <c r="W3062" s="21">
        <v>84</v>
      </c>
      <c r="X3062" s="9" t="s">
        <v>3088</v>
      </c>
      <c r="Y3062" t="s">
        <v>3097</v>
      </c>
      <c r="Z3062" s="22">
        <v>8</v>
      </c>
      <c r="AD3062" s="22" t="s">
        <v>1165</v>
      </c>
      <c r="AF3062" s="24" t="s">
        <v>153</v>
      </c>
      <c r="AG3062" t="s">
        <v>1160</v>
      </c>
      <c r="AH3062">
        <f t="shared" si="33"/>
        <v>4320</v>
      </c>
      <c r="AI3062" s="21" t="s">
        <v>153</v>
      </c>
      <c r="AJ3062" s="21" t="s">
        <v>1278</v>
      </c>
      <c r="AK3062" s="21">
        <v>8</v>
      </c>
      <c r="AL3062" s="21" t="s">
        <v>1321</v>
      </c>
      <c r="AM3062" s="21"/>
      <c r="AN3062" s="21">
        <v>3</v>
      </c>
      <c r="AO3062" s="21">
        <v>50</v>
      </c>
      <c r="AP3062" s="21">
        <v>30</v>
      </c>
      <c r="AQ3062" s="22" t="s">
        <v>3016</v>
      </c>
      <c r="AR3062" s="21" t="s">
        <v>1298</v>
      </c>
      <c r="AS3062" t="s">
        <v>3085</v>
      </c>
    </row>
    <row r="3063" spans="1:45" x14ac:dyDescent="0.2">
      <c r="A3063" s="21" t="s">
        <v>1685</v>
      </c>
      <c r="B3063" s="21" t="s">
        <v>1146</v>
      </c>
      <c r="C3063" s="21" t="s">
        <v>1149</v>
      </c>
      <c r="D3063" s="21" t="s">
        <v>420</v>
      </c>
      <c r="E3063" s="21" t="s">
        <v>3094</v>
      </c>
      <c r="G3063" s="21" t="s">
        <v>153</v>
      </c>
      <c r="H3063" s="21" t="s">
        <v>1165</v>
      </c>
      <c r="I3063" s="21" t="s">
        <v>3096</v>
      </c>
      <c r="J3063" s="21">
        <v>49</v>
      </c>
      <c r="K3063">
        <v>-121.5</v>
      </c>
      <c r="L3063">
        <v>1220</v>
      </c>
      <c r="M3063" s="21" t="s">
        <v>3034</v>
      </c>
      <c r="O3063" s="21">
        <v>1982</v>
      </c>
      <c r="Q3063" s="21" t="s">
        <v>3086</v>
      </c>
      <c r="T3063" s="21">
        <v>-20</v>
      </c>
      <c r="U3063" s="21" t="s">
        <v>1218</v>
      </c>
      <c r="V3063" s="9" t="s">
        <v>1247</v>
      </c>
      <c r="W3063" s="21">
        <v>28</v>
      </c>
      <c r="X3063" s="9" t="s">
        <v>3088</v>
      </c>
      <c r="Y3063" t="s">
        <v>3098</v>
      </c>
      <c r="Z3063" s="22">
        <v>8</v>
      </c>
      <c r="AD3063" s="22" t="s">
        <v>1165</v>
      </c>
      <c r="AF3063" s="24" t="s">
        <v>153</v>
      </c>
      <c r="AG3063" t="s">
        <v>1160</v>
      </c>
      <c r="AH3063">
        <f t="shared" si="33"/>
        <v>4320</v>
      </c>
      <c r="AI3063" s="21" t="s">
        <v>153</v>
      </c>
      <c r="AJ3063" s="21" t="s">
        <v>1148</v>
      </c>
      <c r="AK3063" s="21">
        <v>36</v>
      </c>
      <c r="AL3063" s="21" t="s">
        <v>1321</v>
      </c>
      <c r="AM3063" s="21"/>
      <c r="AN3063" s="21">
        <v>3</v>
      </c>
      <c r="AO3063" s="21">
        <v>50</v>
      </c>
      <c r="AP3063" s="21">
        <v>30</v>
      </c>
      <c r="AQ3063" s="22" t="s">
        <v>3016</v>
      </c>
      <c r="AR3063" s="21" t="s">
        <v>1298</v>
      </c>
      <c r="AS3063" t="s">
        <v>3085</v>
      </c>
    </row>
    <row r="3064" spans="1:45" x14ac:dyDescent="0.2">
      <c r="A3064" s="21" t="s">
        <v>1685</v>
      </c>
      <c r="B3064" s="21" t="s">
        <v>1146</v>
      </c>
      <c r="C3064" s="21" t="s">
        <v>1149</v>
      </c>
      <c r="D3064" s="21" t="s">
        <v>420</v>
      </c>
      <c r="E3064" s="21" t="s">
        <v>3094</v>
      </c>
      <c r="G3064" s="21" t="s">
        <v>153</v>
      </c>
      <c r="H3064" s="21" t="s">
        <v>1165</v>
      </c>
      <c r="I3064" s="21" t="s">
        <v>3096</v>
      </c>
      <c r="J3064" s="21">
        <v>49</v>
      </c>
      <c r="K3064">
        <v>-121.5</v>
      </c>
      <c r="L3064">
        <v>1220</v>
      </c>
      <c r="M3064" s="21" t="s">
        <v>3034</v>
      </c>
      <c r="O3064" s="21">
        <v>1982</v>
      </c>
      <c r="Q3064" s="21" t="s">
        <v>3086</v>
      </c>
      <c r="T3064" s="21">
        <v>-20</v>
      </c>
      <c r="U3064" s="21" t="s">
        <v>1218</v>
      </c>
      <c r="V3064" s="9" t="s">
        <v>1247</v>
      </c>
      <c r="W3064" s="21">
        <v>28</v>
      </c>
      <c r="X3064" s="9" t="s">
        <v>3088</v>
      </c>
      <c r="Y3064" t="s">
        <v>3098</v>
      </c>
      <c r="Z3064" s="22">
        <v>8</v>
      </c>
      <c r="AD3064" s="22" t="s">
        <v>1165</v>
      </c>
      <c r="AF3064" s="24" t="s">
        <v>153</v>
      </c>
      <c r="AG3064" t="s">
        <v>1160</v>
      </c>
      <c r="AH3064">
        <f t="shared" si="33"/>
        <v>4320</v>
      </c>
      <c r="AI3064" s="21" t="s">
        <v>153</v>
      </c>
      <c r="AJ3064" s="21" t="s">
        <v>1278</v>
      </c>
      <c r="AK3064" s="21">
        <v>13</v>
      </c>
      <c r="AL3064" s="21" t="s">
        <v>1321</v>
      </c>
      <c r="AM3064" s="21"/>
      <c r="AN3064" s="21">
        <v>3</v>
      </c>
      <c r="AO3064" s="21">
        <v>50</v>
      </c>
      <c r="AP3064" s="21">
        <v>30</v>
      </c>
      <c r="AQ3064" s="22" t="s">
        <v>3016</v>
      </c>
      <c r="AR3064" s="21" t="s">
        <v>1298</v>
      </c>
      <c r="AS3064" t="s">
        <v>3085</v>
      </c>
    </row>
    <row r="3065" spans="1:45" x14ac:dyDescent="0.2">
      <c r="A3065" s="21" t="s">
        <v>1685</v>
      </c>
      <c r="B3065" s="21" t="s">
        <v>1146</v>
      </c>
      <c r="C3065" s="21" t="s">
        <v>1149</v>
      </c>
      <c r="D3065" s="21" t="s">
        <v>420</v>
      </c>
      <c r="E3065" s="21" t="s">
        <v>3094</v>
      </c>
      <c r="G3065" s="21" t="s">
        <v>153</v>
      </c>
      <c r="H3065" s="21" t="s">
        <v>1165</v>
      </c>
      <c r="I3065" s="21" t="s">
        <v>3096</v>
      </c>
      <c r="J3065" s="21">
        <v>49</v>
      </c>
      <c r="K3065">
        <v>-121.5</v>
      </c>
      <c r="L3065">
        <v>1220</v>
      </c>
      <c r="M3065" s="21" t="s">
        <v>3034</v>
      </c>
      <c r="O3065" s="21">
        <v>1982</v>
      </c>
      <c r="Q3065" s="21" t="s">
        <v>3086</v>
      </c>
      <c r="T3065" s="21">
        <v>-20</v>
      </c>
      <c r="U3065" s="21" t="s">
        <v>1218</v>
      </c>
      <c r="V3065" s="9" t="s">
        <v>1247</v>
      </c>
      <c r="W3065" s="21">
        <v>56</v>
      </c>
      <c r="X3065" s="9" t="s">
        <v>3088</v>
      </c>
      <c r="Y3065" t="s">
        <v>3098</v>
      </c>
      <c r="Z3065" s="22">
        <v>8</v>
      </c>
      <c r="AD3065" s="22" t="s">
        <v>1165</v>
      </c>
      <c r="AF3065" s="24" t="s">
        <v>153</v>
      </c>
      <c r="AG3065" t="s">
        <v>1160</v>
      </c>
      <c r="AH3065">
        <f t="shared" si="33"/>
        <v>4320</v>
      </c>
      <c r="AI3065" s="21" t="s">
        <v>153</v>
      </c>
      <c r="AJ3065" s="21" t="s">
        <v>1148</v>
      </c>
      <c r="AK3065" s="21">
        <v>46</v>
      </c>
      <c r="AL3065" s="21" t="s">
        <v>1321</v>
      </c>
      <c r="AM3065" s="21"/>
      <c r="AN3065" s="21">
        <v>3</v>
      </c>
      <c r="AO3065" s="21">
        <v>50</v>
      </c>
      <c r="AP3065" s="21">
        <v>30</v>
      </c>
      <c r="AQ3065" s="22" t="s">
        <v>3016</v>
      </c>
      <c r="AR3065" s="21" t="s">
        <v>1298</v>
      </c>
      <c r="AS3065" t="s">
        <v>3085</v>
      </c>
    </row>
    <row r="3066" spans="1:45" x14ac:dyDescent="0.2">
      <c r="A3066" s="21" t="s">
        <v>1685</v>
      </c>
      <c r="B3066" s="21" t="s">
        <v>1146</v>
      </c>
      <c r="C3066" s="21" t="s">
        <v>1149</v>
      </c>
      <c r="D3066" s="21" t="s">
        <v>420</v>
      </c>
      <c r="E3066" s="21" t="s">
        <v>3094</v>
      </c>
      <c r="G3066" s="21" t="s">
        <v>153</v>
      </c>
      <c r="H3066" s="21" t="s">
        <v>1165</v>
      </c>
      <c r="I3066" s="21" t="s">
        <v>3096</v>
      </c>
      <c r="J3066" s="21">
        <v>49</v>
      </c>
      <c r="K3066">
        <v>-121.5</v>
      </c>
      <c r="L3066">
        <v>1220</v>
      </c>
      <c r="M3066" s="21" t="s">
        <v>3034</v>
      </c>
      <c r="O3066" s="21">
        <v>1982</v>
      </c>
      <c r="Q3066" s="21" t="s">
        <v>3086</v>
      </c>
      <c r="T3066" s="21">
        <v>-20</v>
      </c>
      <c r="U3066" s="21" t="s">
        <v>1218</v>
      </c>
      <c r="V3066" s="9" t="s">
        <v>1247</v>
      </c>
      <c r="W3066" s="21">
        <v>56</v>
      </c>
      <c r="X3066" s="9" t="s">
        <v>3088</v>
      </c>
      <c r="Y3066" t="s">
        <v>3098</v>
      </c>
      <c r="Z3066" s="22">
        <v>8</v>
      </c>
      <c r="AD3066" s="22" t="s">
        <v>1165</v>
      </c>
      <c r="AF3066" s="24" t="s">
        <v>153</v>
      </c>
      <c r="AG3066" t="s">
        <v>1160</v>
      </c>
      <c r="AH3066">
        <f t="shared" si="33"/>
        <v>4320</v>
      </c>
      <c r="AI3066" s="21" t="s">
        <v>153</v>
      </c>
      <c r="AJ3066" s="21" t="s">
        <v>1278</v>
      </c>
      <c r="AK3066" s="21">
        <v>22</v>
      </c>
      <c r="AL3066" s="21" t="s">
        <v>1321</v>
      </c>
      <c r="AM3066" s="21"/>
      <c r="AN3066" s="21">
        <v>3</v>
      </c>
      <c r="AO3066" s="21">
        <v>50</v>
      </c>
      <c r="AP3066" s="21">
        <v>30</v>
      </c>
      <c r="AQ3066" s="22" t="s">
        <v>3016</v>
      </c>
      <c r="AR3066" s="21" t="s">
        <v>1298</v>
      </c>
      <c r="AS3066" t="s">
        <v>3085</v>
      </c>
    </row>
    <row r="3067" spans="1:45" x14ac:dyDescent="0.2">
      <c r="A3067" s="21" t="s">
        <v>1685</v>
      </c>
      <c r="B3067" s="21" t="s">
        <v>1146</v>
      </c>
      <c r="C3067" s="21" t="s">
        <v>1149</v>
      </c>
      <c r="D3067" s="21" t="s">
        <v>420</v>
      </c>
      <c r="E3067" s="21" t="s">
        <v>3094</v>
      </c>
      <c r="G3067" s="21" t="s">
        <v>153</v>
      </c>
      <c r="H3067" s="21" t="s">
        <v>1165</v>
      </c>
      <c r="I3067" s="21" t="s">
        <v>3096</v>
      </c>
      <c r="J3067" s="21">
        <v>49</v>
      </c>
      <c r="K3067">
        <v>-121.5</v>
      </c>
      <c r="L3067">
        <v>1220</v>
      </c>
      <c r="M3067" s="21" t="s">
        <v>3034</v>
      </c>
      <c r="O3067" s="21">
        <v>1982</v>
      </c>
      <c r="Q3067" s="21" t="s">
        <v>3086</v>
      </c>
      <c r="T3067" s="21">
        <v>-20</v>
      </c>
      <c r="U3067" s="21" t="s">
        <v>1218</v>
      </c>
      <c r="V3067" s="9" t="s">
        <v>1247</v>
      </c>
      <c r="W3067" s="21">
        <v>84</v>
      </c>
      <c r="X3067" s="9" t="s">
        <v>3088</v>
      </c>
      <c r="Y3067" t="s">
        <v>3098</v>
      </c>
      <c r="Z3067" s="22">
        <v>8</v>
      </c>
      <c r="AD3067" s="22" t="s">
        <v>1165</v>
      </c>
      <c r="AF3067" s="24" t="s">
        <v>153</v>
      </c>
      <c r="AG3067" t="s">
        <v>1160</v>
      </c>
      <c r="AH3067">
        <f t="shared" si="33"/>
        <v>4320</v>
      </c>
      <c r="AI3067" s="21" t="s">
        <v>153</v>
      </c>
      <c r="AJ3067" s="21" t="s">
        <v>1148</v>
      </c>
      <c r="AK3067" s="21">
        <v>29</v>
      </c>
      <c r="AL3067" s="21" t="s">
        <v>1321</v>
      </c>
      <c r="AM3067" s="21"/>
      <c r="AN3067" s="21">
        <v>3</v>
      </c>
      <c r="AO3067" s="21">
        <v>50</v>
      </c>
      <c r="AP3067" s="21">
        <v>30</v>
      </c>
      <c r="AQ3067" s="22" t="s">
        <v>3016</v>
      </c>
      <c r="AR3067" s="21" t="s">
        <v>1298</v>
      </c>
      <c r="AS3067" t="s">
        <v>3085</v>
      </c>
    </row>
    <row r="3068" spans="1:45" x14ac:dyDescent="0.2">
      <c r="A3068" s="21" t="s">
        <v>1685</v>
      </c>
      <c r="B3068" s="21" t="s">
        <v>1146</v>
      </c>
      <c r="C3068" s="21" t="s">
        <v>1149</v>
      </c>
      <c r="D3068" s="21" t="s">
        <v>420</v>
      </c>
      <c r="E3068" s="21" t="s">
        <v>3094</v>
      </c>
      <c r="G3068" s="21" t="s">
        <v>153</v>
      </c>
      <c r="H3068" s="21" t="s">
        <v>1165</v>
      </c>
      <c r="I3068" s="21" t="s">
        <v>3096</v>
      </c>
      <c r="J3068" s="21">
        <v>49</v>
      </c>
      <c r="K3068">
        <v>-121.5</v>
      </c>
      <c r="L3068">
        <v>1220</v>
      </c>
      <c r="M3068" s="21" t="s">
        <v>3034</v>
      </c>
      <c r="O3068" s="21">
        <v>1982</v>
      </c>
      <c r="Q3068" s="21" t="s">
        <v>3086</v>
      </c>
      <c r="T3068" s="21">
        <v>-20</v>
      </c>
      <c r="U3068" s="21" t="s">
        <v>1218</v>
      </c>
      <c r="V3068" s="9" t="s">
        <v>1247</v>
      </c>
      <c r="W3068" s="21">
        <v>84</v>
      </c>
      <c r="X3068" s="9" t="s">
        <v>3088</v>
      </c>
      <c r="Y3068" t="s">
        <v>3098</v>
      </c>
      <c r="Z3068" s="22">
        <v>8</v>
      </c>
      <c r="AD3068" s="22" t="s">
        <v>1165</v>
      </c>
      <c r="AF3068" s="24" t="s">
        <v>153</v>
      </c>
      <c r="AG3068" t="s">
        <v>1160</v>
      </c>
      <c r="AH3068">
        <f t="shared" si="33"/>
        <v>4320</v>
      </c>
      <c r="AI3068" s="21" t="s">
        <v>153</v>
      </c>
      <c r="AJ3068" s="21" t="s">
        <v>1278</v>
      </c>
      <c r="AK3068" s="21">
        <v>17</v>
      </c>
      <c r="AL3068" s="21" t="s">
        <v>1321</v>
      </c>
      <c r="AM3068" s="21"/>
      <c r="AN3068" s="21">
        <v>3</v>
      </c>
      <c r="AO3068" s="21">
        <v>50</v>
      </c>
      <c r="AP3068" s="21">
        <v>30</v>
      </c>
      <c r="AQ3068" s="22" t="s">
        <v>3016</v>
      </c>
      <c r="AR3068" s="21" t="s">
        <v>1298</v>
      </c>
      <c r="AS3068" t="s">
        <v>3085</v>
      </c>
    </row>
    <row r="3069" spans="1:45" x14ac:dyDescent="0.2">
      <c r="A3069" s="21" t="s">
        <v>1685</v>
      </c>
      <c r="B3069" s="21" t="s">
        <v>1146</v>
      </c>
      <c r="C3069" s="21" t="s">
        <v>1149</v>
      </c>
      <c r="D3069" s="21" t="s">
        <v>420</v>
      </c>
      <c r="E3069" s="21" t="s">
        <v>3094</v>
      </c>
      <c r="G3069" s="21" t="s">
        <v>153</v>
      </c>
      <c r="H3069" s="21" t="s">
        <v>1165</v>
      </c>
      <c r="I3069" s="21" t="s">
        <v>3096</v>
      </c>
      <c r="J3069" s="21">
        <v>49</v>
      </c>
      <c r="K3069">
        <v>-121.5</v>
      </c>
      <c r="L3069">
        <v>1220</v>
      </c>
      <c r="M3069" s="21" t="s">
        <v>3034</v>
      </c>
      <c r="O3069" s="21">
        <v>1982</v>
      </c>
      <c r="Q3069" s="21" t="s">
        <v>3086</v>
      </c>
      <c r="T3069" s="21">
        <v>-20</v>
      </c>
      <c r="U3069" s="21" t="s">
        <v>1218</v>
      </c>
      <c r="V3069" s="9" t="s">
        <v>1247</v>
      </c>
      <c r="W3069" s="21">
        <v>28</v>
      </c>
      <c r="X3069" s="9" t="s">
        <v>3088</v>
      </c>
      <c r="Y3069" t="s">
        <v>3099</v>
      </c>
      <c r="Z3069" s="22">
        <v>8</v>
      </c>
      <c r="AD3069" s="22" t="s">
        <v>1165</v>
      </c>
      <c r="AF3069" s="24" t="s">
        <v>153</v>
      </c>
      <c r="AG3069" t="s">
        <v>1160</v>
      </c>
      <c r="AH3069">
        <f t="shared" si="33"/>
        <v>4320</v>
      </c>
      <c r="AI3069" s="21" t="s">
        <v>153</v>
      </c>
      <c r="AJ3069" s="21" t="s">
        <v>1148</v>
      </c>
      <c r="AK3069" s="21">
        <v>39</v>
      </c>
      <c r="AL3069" s="21" t="s">
        <v>1321</v>
      </c>
      <c r="AM3069" s="21"/>
      <c r="AN3069" s="21">
        <v>3</v>
      </c>
      <c r="AO3069" s="21">
        <v>50</v>
      </c>
      <c r="AP3069" s="21">
        <v>30</v>
      </c>
      <c r="AQ3069" s="22" t="s">
        <v>3016</v>
      </c>
      <c r="AR3069" s="21" t="s">
        <v>1298</v>
      </c>
      <c r="AS3069" t="s">
        <v>3085</v>
      </c>
    </row>
    <row r="3070" spans="1:45" x14ac:dyDescent="0.2">
      <c r="A3070" s="21" t="s">
        <v>1685</v>
      </c>
      <c r="B3070" s="21" t="s">
        <v>1146</v>
      </c>
      <c r="C3070" s="21" t="s">
        <v>1149</v>
      </c>
      <c r="D3070" s="21" t="s">
        <v>420</v>
      </c>
      <c r="E3070" s="21" t="s">
        <v>3094</v>
      </c>
      <c r="G3070" s="21" t="s">
        <v>153</v>
      </c>
      <c r="H3070" s="21" t="s">
        <v>1165</v>
      </c>
      <c r="I3070" s="21" t="s">
        <v>3096</v>
      </c>
      <c r="J3070" s="21">
        <v>49</v>
      </c>
      <c r="K3070">
        <v>-121.5</v>
      </c>
      <c r="L3070">
        <v>1220</v>
      </c>
      <c r="M3070" s="21" t="s">
        <v>3034</v>
      </c>
      <c r="O3070" s="21">
        <v>1982</v>
      </c>
      <c r="Q3070" s="21" t="s">
        <v>3086</v>
      </c>
      <c r="T3070" s="21">
        <v>-20</v>
      </c>
      <c r="U3070" s="21" t="s">
        <v>1218</v>
      </c>
      <c r="V3070" s="9" t="s">
        <v>1247</v>
      </c>
      <c r="W3070" s="21">
        <v>28</v>
      </c>
      <c r="X3070" s="9" t="s">
        <v>3088</v>
      </c>
      <c r="Y3070" t="s">
        <v>3099</v>
      </c>
      <c r="Z3070" s="22">
        <v>8</v>
      </c>
      <c r="AD3070" s="22" t="s">
        <v>1165</v>
      </c>
      <c r="AF3070" s="24" t="s">
        <v>153</v>
      </c>
      <c r="AG3070" t="s">
        <v>1160</v>
      </c>
      <c r="AH3070">
        <f t="shared" si="33"/>
        <v>4320</v>
      </c>
      <c r="AI3070" s="21" t="s">
        <v>153</v>
      </c>
      <c r="AJ3070" s="21" t="s">
        <v>1278</v>
      </c>
      <c r="AK3070" s="21">
        <v>14</v>
      </c>
      <c r="AL3070" s="21" t="s">
        <v>1321</v>
      </c>
      <c r="AM3070" s="21"/>
      <c r="AN3070" s="21">
        <v>3</v>
      </c>
      <c r="AO3070" s="21">
        <v>50</v>
      </c>
      <c r="AP3070" s="21">
        <v>30</v>
      </c>
      <c r="AQ3070" s="22" t="s">
        <v>3016</v>
      </c>
      <c r="AR3070" s="21" t="s">
        <v>1298</v>
      </c>
      <c r="AS3070" t="s">
        <v>3085</v>
      </c>
    </row>
    <row r="3071" spans="1:45" x14ac:dyDescent="0.2">
      <c r="A3071" s="21" t="s">
        <v>1685</v>
      </c>
      <c r="B3071" s="21" t="s">
        <v>1146</v>
      </c>
      <c r="C3071" s="21" t="s">
        <v>1149</v>
      </c>
      <c r="D3071" s="21" t="s">
        <v>420</v>
      </c>
      <c r="E3071" s="21" t="s">
        <v>3094</v>
      </c>
      <c r="G3071" s="21" t="s">
        <v>153</v>
      </c>
      <c r="H3071" s="21" t="s">
        <v>1165</v>
      </c>
      <c r="I3071" s="21" t="s">
        <v>3096</v>
      </c>
      <c r="J3071" s="21">
        <v>49</v>
      </c>
      <c r="K3071">
        <v>-121.5</v>
      </c>
      <c r="L3071">
        <v>1220</v>
      </c>
      <c r="M3071" s="21" t="s">
        <v>3034</v>
      </c>
      <c r="O3071" s="21">
        <v>1982</v>
      </c>
      <c r="Q3071" s="21" t="s">
        <v>3086</v>
      </c>
      <c r="T3071" s="21">
        <v>-20</v>
      </c>
      <c r="U3071" s="21" t="s">
        <v>1218</v>
      </c>
      <c r="V3071" s="9" t="s">
        <v>1247</v>
      </c>
      <c r="W3071" s="21">
        <v>56</v>
      </c>
      <c r="X3071" s="9" t="s">
        <v>3088</v>
      </c>
      <c r="Y3071" t="s">
        <v>3099</v>
      </c>
      <c r="Z3071" s="22">
        <v>8</v>
      </c>
      <c r="AD3071" s="22" t="s">
        <v>1165</v>
      </c>
      <c r="AF3071" s="24" t="s">
        <v>153</v>
      </c>
      <c r="AG3071" t="s">
        <v>1160</v>
      </c>
      <c r="AH3071">
        <f t="shared" si="33"/>
        <v>4320</v>
      </c>
      <c r="AI3071" s="21" t="s">
        <v>153</v>
      </c>
      <c r="AJ3071" s="21" t="s">
        <v>1148</v>
      </c>
      <c r="AK3071" s="21">
        <v>56</v>
      </c>
      <c r="AL3071" s="21" t="s">
        <v>1321</v>
      </c>
      <c r="AM3071" s="21"/>
      <c r="AN3071" s="21">
        <v>3</v>
      </c>
      <c r="AO3071" s="21">
        <v>50</v>
      </c>
      <c r="AP3071" s="21">
        <v>30</v>
      </c>
      <c r="AQ3071" s="22" t="s">
        <v>3016</v>
      </c>
      <c r="AR3071" s="21" t="s">
        <v>1298</v>
      </c>
      <c r="AS3071" t="s">
        <v>3085</v>
      </c>
    </row>
    <row r="3072" spans="1:45" x14ac:dyDescent="0.2">
      <c r="A3072" s="21" t="s">
        <v>1685</v>
      </c>
      <c r="B3072" s="21" t="s">
        <v>1146</v>
      </c>
      <c r="C3072" s="21" t="s">
        <v>1149</v>
      </c>
      <c r="D3072" s="21" t="s">
        <v>420</v>
      </c>
      <c r="E3072" s="21" t="s">
        <v>3094</v>
      </c>
      <c r="G3072" s="21" t="s">
        <v>153</v>
      </c>
      <c r="H3072" s="21" t="s">
        <v>1165</v>
      </c>
      <c r="I3072" s="21" t="s">
        <v>3096</v>
      </c>
      <c r="J3072" s="21">
        <v>49</v>
      </c>
      <c r="K3072">
        <v>-121.5</v>
      </c>
      <c r="L3072">
        <v>1220</v>
      </c>
      <c r="M3072" s="21" t="s">
        <v>3034</v>
      </c>
      <c r="O3072" s="21">
        <v>1982</v>
      </c>
      <c r="Q3072" s="21" t="s">
        <v>3086</v>
      </c>
      <c r="T3072" s="21">
        <v>-20</v>
      </c>
      <c r="U3072" s="21" t="s">
        <v>1218</v>
      </c>
      <c r="V3072" s="9" t="s">
        <v>1247</v>
      </c>
      <c r="W3072" s="21">
        <v>56</v>
      </c>
      <c r="X3072" s="9" t="s">
        <v>3088</v>
      </c>
      <c r="Y3072" t="s">
        <v>3099</v>
      </c>
      <c r="Z3072" s="22">
        <v>8</v>
      </c>
      <c r="AD3072" s="22" t="s">
        <v>1165</v>
      </c>
      <c r="AF3072" s="24" t="s">
        <v>153</v>
      </c>
      <c r="AG3072" t="s">
        <v>1160</v>
      </c>
      <c r="AH3072">
        <f t="shared" si="33"/>
        <v>4320</v>
      </c>
      <c r="AI3072" s="21" t="s">
        <v>153</v>
      </c>
      <c r="AJ3072" s="21" t="s">
        <v>1278</v>
      </c>
      <c r="AK3072" s="21">
        <v>25</v>
      </c>
      <c r="AL3072" s="21" t="s">
        <v>1321</v>
      </c>
      <c r="AM3072" s="21"/>
      <c r="AN3072" s="21">
        <v>3</v>
      </c>
      <c r="AO3072" s="21">
        <v>50</v>
      </c>
      <c r="AP3072" s="21">
        <v>30</v>
      </c>
      <c r="AQ3072" s="22" t="s">
        <v>3016</v>
      </c>
      <c r="AR3072" s="21" t="s">
        <v>1298</v>
      </c>
      <c r="AS3072" t="s">
        <v>3085</v>
      </c>
    </row>
    <row r="3073" spans="1:45" x14ac:dyDescent="0.2">
      <c r="A3073" s="21" t="s">
        <v>1685</v>
      </c>
      <c r="B3073" s="21" t="s">
        <v>1146</v>
      </c>
      <c r="C3073" s="21" t="s">
        <v>1149</v>
      </c>
      <c r="D3073" s="21" t="s">
        <v>420</v>
      </c>
      <c r="E3073" s="21" t="s">
        <v>3094</v>
      </c>
      <c r="G3073" s="21" t="s">
        <v>153</v>
      </c>
      <c r="H3073" s="21" t="s">
        <v>1165</v>
      </c>
      <c r="I3073" s="21" t="s">
        <v>3096</v>
      </c>
      <c r="J3073" s="21">
        <v>49</v>
      </c>
      <c r="K3073">
        <v>-121.5</v>
      </c>
      <c r="L3073">
        <v>1220</v>
      </c>
      <c r="M3073" s="21" t="s">
        <v>3034</v>
      </c>
      <c r="O3073" s="21">
        <v>1982</v>
      </c>
      <c r="Q3073" s="21" t="s">
        <v>3086</v>
      </c>
      <c r="T3073" s="21">
        <v>-20</v>
      </c>
      <c r="U3073" s="21" t="s">
        <v>1218</v>
      </c>
      <c r="V3073" s="9" t="s">
        <v>1247</v>
      </c>
      <c r="W3073" s="21">
        <v>84</v>
      </c>
      <c r="X3073" s="9" t="s">
        <v>3088</v>
      </c>
      <c r="Y3073" t="s">
        <v>3099</v>
      </c>
      <c r="Z3073" s="22">
        <v>8</v>
      </c>
      <c r="AD3073" s="22" t="s">
        <v>1165</v>
      </c>
      <c r="AF3073" s="24" t="s">
        <v>153</v>
      </c>
      <c r="AG3073" t="s">
        <v>1160</v>
      </c>
      <c r="AH3073">
        <f t="shared" si="33"/>
        <v>4320</v>
      </c>
      <c r="AI3073" s="21" t="s">
        <v>153</v>
      </c>
      <c r="AJ3073" s="21" t="s">
        <v>1148</v>
      </c>
      <c r="AK3073" s="21">
        <v>42</v>
      </c>
      <c r="AL3073" s="21" t="s">
        <v>1321</v>
      </c>
      <c r="AM3073" s="21"/>
      <c r="AN3073" s="21">
        <v>3</v>
      </c>
      <c r="AO3073" s="21">
        <v>50</v>
      </c>
      <c r="AP3073" s="21">
        <v>30</v>
      </c>
      <c r="AQ3073" s="22" t="s">
        <v>3016</v>
      </c>
      <c r="AR3073" s="21" t="s">
        <v>1298</v>
      </c>
      <c r="AS3073" t="s">
        <v>3085</v>
      </c>
    </row>
    <row r="3074" spans="1:45" x14ac:dyDescent="0.2">
      <c r="A3074" s="21" t="s">
        <v>1685</v>
      </c>
      <c r="B3074" s="21" t="s">
        <v>1146</v>
      </c>
      <c r="C3074" s="21" t="s">
        <v>1149</v>
      </c>
      <c r="D3074" s="21" t="s">
        <v>420</v>
      </c>
      <c r="E3074" s="21" t="s">
        <v>3094</v>
      </c>
      <c r="G3074" s="21" t="s">
        <v>153</v>
      </c>
      <c r="H3074" s="21" t="s">
        <v>1165</v>
      </c>
      <c r="I3074" s="21" t="s">
        <v>3096</v>
      </c>
      <c r="J3074" s="21">
        <v>49</v>
      </c>
      <c r="K3074">
        <v>-121.5</v>
      </c>
      <c r="L3074">
        <v>1220</v>
      </c>
      <c r="M3074" s="21" t="s">
        <v>3034</v>
      </c>
      <c r="O3074" s="21">
        <v>1982</v>
      </c>
      <c r="Q3074" s="21" t="s">
        <v>3086</v>
      </c>
      <c r="T3074" s="21">
        <v>-20</v>
      </c>
      <c r="U3074" s="21" t="s">
        <v>1218</v>
      </c>
      <c r="V3074" s="9" t="s">
        <v>1247</v>
      </c>
      <c r="W3074" s="21">
        <v>84</v>
      </c>
      <c r="X3074" s="9" t="s">
        <v>3088</v>
      </c>
      <c r="Y3074" t="s">
        <v>3099</v>
      </c>
      <c r="Z3074" s="22">
        <v>8</v>
      </c>
      <c r="AD3074" s="22" t="s">
        <v>1165</v>
      </c>
      <c r="AF3074" s="24" t="s">
        <v>153</v>
      </c>
      <c r="AG3074" t="s">
        <v>1160</v>
      </c>
      <c r="AH3074">
        <f t="shared" si="33"/>
        <v>4320</v>
      </c>
      <c r="AI3074" s="21" t="s">
        <v>153</v>
      </c>
      <c r="AJ3074" s="21" t="s">
        <v>1278</v>
      </c>
      <c r="AK3074" s="21">
        <v>19</v>
      </c>
      <c r="AL3074" s="21" t="s">
        <v>1321</v>
      </c>
      <c r="AM3074" s="21"/>
      <c r="AN3074" s="21">
        <v>3</v>
      </c>
      <c r="AO3074" s="21">
        <v>50</v>
      </c>
      <c r="AP3074" s="21">
        <v>30</v>
      </c>
      <c r="AQ3074" s="22" t="s">
        <v>3016</v>
      </c>
      <c r="AR3074" s="21" t="s">
        <v>1298</v>
      </c>
      <c r="AS3074" t="s">
        <v>3085</v>
      </c>
    </row>
    <row r="3075" spans="1:45" x14ac:dyDescent="0.2">
      <c r="A3075" s="21" t="s">
        <v>1685</v>
      </c>
      <c r="B3075" s="21" t="s">
        <v>1146</v>
      </c>
      <c r="C3075" s="21" t="s">
        <v>1149</v>
      </c>
      <c r="D3075" s="21" t="s">
        <v>420</v>
      </c>
      <c r="E3075" s="21" t="s">
        <v>3094</v>
      </c>
      <c r="G3075" s="21" t="s">
        <v>153</v>
      </c>
      <c r="H3075" s="21" t="s">
        <v>1165</v>
      </c>
      <c r="I3075" s="21" t="s">
        <v>3096</v>
      </c>
      <c r="J3075" s="21">
        <v>49</v>
      </c>
      <c r="K3075">
        <v>-121.5</v>
      </c>
      <c r="L3075">
        <v>1220</v>
      </c>
      <c r="M3075" s="21" t="s">
        <v>3034</v>
      </c>
      <c r="O3075" s="21">
        <v>1982</v>
      </c>
      <c r="Q3075" s="21" t="s">
        <v>3086</v>
      </c>
      <c r="T3075" s="21">
        <v>-20</v>
      </c>
      <c r="U3075" s="21" t="s">
        <v>1218</v>
      </c>
      <c r="V3075" s="9" t="s">
        <v>1247</v>
      </c>
      <c r="W3075" s="21">
        <v>28</v>
      </c>
      <c r="X3075" s="9" t="s">
        <v>3088</v>
      </c>
      <c r="Y3075" t="s">
        <v>3100</v>
      </c>
      <c r="Z3075" s="22">
        <v>8</v>
      </c>
      <c r="AD3075" s="22" t="s">
        <v>1165</v>
      </c>
      <c r="AF3075" s="24" t="s">
        <v>153</v>
      </c>
      <c r="AG3075" t="s">
        <v>1160</v>
      </c>
      <c r="AH3075">
        <f t="shared" si="33"/>
        <v>4320</v>
      </c>
      <c r="AI3075" s="21" t="s">
        <v>153</v>
      </c>
      <c r="AJ3075" s="21" t="s">
        <v>1148</v>
      </c>
      <c r="AK3075" s="21">
        <v>48</v>
      </c>
      <c r="AL3075" s="21" t="s">
        <v>1321</v>
      </c>
      <c r="AM3075" s="21"/>
      <c r="AN3075" s="21">
        <v>3</v>
      </c>
      <c r="AO3075" s="21">
        <v>50</v>
      </c>
      <c r="AP3075" s="21">
        <v>30</v>
      </c>
      <c r="AQ3075" s="22" t="s">
        <v>3016</v>
      </c>
      <c r="AR3075" s="21" t="s">
        <v>1298</v>
      </c>
      <c r="AS3075" t="s">
        <v>3085</v>
      </c>
    </row>
    <row r="3076" spans="1:45" x14ac:dyDescent="0.2">
      <c r="A3076" s="21" t="s">
        <v>1685</v>
      </c>
      <c r="B3076" s="21" t="s">
        <v>1146</v>
      </c>
      <c r="C3076" s="21" t="s">
        <v>1149</v>
      </c>
      <c r="D3076" s="21" t="s">
        <v>420</v>
      </c>
      <c r="E3076" s="21" t="s">
        <v>3094</v>
      </c>
      <c r="G3076" s="21" t="s">
        <v>153</v>
      </c>
      <c r="H3076" s="21" t="s">
        <v>1165</v>
      </c>
      <c r="I3076" s="21" t="s">
        <v>3096</v>
      </c>
      <c r="J3076" s="21">
        <v>49</v>
      </c>
      <c r="K3076">
        <v>-121.5</v>
      </c>
      <c r="L3076">
        <v>1220</v>
      </c>
      <c r="M3076" s="21" t="s">
        <v>3034</v>
      </c>
      <c r="O3076" s="21">
        <v>1982</v>
      </c>
      <c r="Q3076" s="21" t="s">
        <v>3086</v>
      </c>
      <c r="T3076" s="21">
        <v>-20</v>
      </c>
      <c r="U3076" s="21" t="s">
        <v>1218</v>
      </c>
      <c r="V3076" s="9" t="s">
        <v>1247</v>
      </c>
      <c r="W3076" s="21">
        <v>28</v>
      </c>
      <c r="X3076" s="9" t="s">
        <v>3088</v>
      </c>
      <c r="Y3076" t="s">
        <v>3100</v>
      </c>
      <c r="Z3076" s="22">
        <v>8</v>
      </c>
      <c r="AD3076" s="22" t="s">
        <v>1165</v>
      </c>
      <c r="AF3076" s="24" t="s">
        <v>153</v>
      </c>
      <c r="AG3076" t="s">
        <v>1160</v>
      </c>
      <c r="AH3076">
        <f t="shared" si="33"/>
        <v>4320</v>
      </c>
      <c r="AI3076" s="21" t="s">
        <v>153</v>
      </c>
      <c r="AJ3076" s="21" t="s">
        <v>1278</v>
      </c>
      <c r="AK3076" s="21">
        <v>17</v>
      </c>
      <c r="AL3076" s="21" t="s">
        <v>1321</v>
      </c>
      <c r="AM3076" s="21"/>
      <c r="AN3076" s="21">
        <v>3</v>
      </c>
      <c r="AO3076" s="21">
        <v>50</v>
      </c>
      <c r="AP3076" s="21">
        <v>30</v>
      </c>
      <c r="AQ3076" s="22" t="s">
        <v>3016</v>
      </c>
      <c r="AR3076" s="21" t="s">
        <v>1298</v>
      </c>
      <c r="AS3076" t="s">
        <v>3085</v>
      </c>
    </row>
    <row r="3077" spans="1:45" x14ac:dyDescent="0.2">
      <c r="A3077" s="21" t="s">
        <v>1685</v>
      </c>
      <c r="B3077" s="21" t="s">
        <v>1146</v>
      </c>
      <c r="C3077" s="21" t="s">
        <v>1149</v>
      </c>
      <c r="D3077" s="21" t="s">
        <v>420</v>
      </c>
      <c r="E3077" s="21" t="s">
        <v>3094</v>
      </c>
      <c r="G3077" s="21" t="s">
        <v>153</v>
      </c>
      <c r="H3077" s="21" t="s">
        <v>1165</v>
      </c>
      <c r="I3077" s="21" t="s">
        <v>3096</v>
      </c>
      <c r="J3077" s="21">
        <v>49</v>
      </c>
      <c r="K3077">
        <v>-121.5</v>
      </c>
      <c r="L3077">
        <v>1220</v>
      </c>
      <c r="M3077" s="21" t="s">
        <v>3034</v>
      </c>
      <c r="O3077" s="21">
        <v>1982</v>
      </c>
      <c r="Q3077" s="21" t="s">
        <v>3086</v>
      </c>
      <c r="T3077" s="21">
        <v>-20</v>
      </c>
      <c r="U3077" s="21" t="s">
        <v>1218</v>
      </c>
      <c r="V3077" s="9" t="s">
        <v>1247</v>
      </c>
      <c r="W3077" s="21">
        <v>56</v>
      </c>
      <c r="X3077" s="9" t="s">
        <v>3088</v>
      </c>
      <c r="Y3077" t="s">
        <v>3100</v>
      </c>
      <c r="Z3077" s="22">
        <v>8</v>
      </c>
      <c r="AD3077" s="22" t="s">
        <v>1165</v>
      </c>
      <c r="AF3077" s="24" t="s">
        <v>153</v>
      </c>
      <c r="AG3077" t="s">
        <v>1160</v>
      </c>
      <c r="AH3077">
        <f t="shared" si="33"/>
        <v>4320</v>
      </c>
      <c r="AI3077" s="21" t="s">
        <v>153</v>
      </c>
      <c r="AJ3077" s="21" t="s">
        <v>1148</v>
      </c>
      <c r="AK3077" s="21">
        <v>41</v>
      </c>
      <c r="AL3077" s="21" t="s">
        <v>1321</v>
      </c>
      <c r="AM3077" s="21"/>
      <c r="AN3077" s="21">
        <v>3</v>
      </c>
      <c r="AO3077" s="21">
        <v>50</v>
      </c>
      <c r="AP3077" s="21">
        <v>30</v>
      </c>
      <c r="AQ3077" s="22" t="s">
        <v>3016</v>
      </c>
      <c r="AR3077" s="21" t="s">
        <v>1298</v>
      </c>
      <c r="AS3077" t="s">
        <v>3085</v>
      </c>
    </row>
    <row r="3078" spans="1:45" x14ac:dyDescent="0.2">
      <c r="A3078" s="21" t="s">
        <v>1685</v>
      </c>
      <c r="B3078" s="21" t="s">
        <v>1146</v>
      </c>
      <c r="C3078" s="21" t="s">
        <v>1149</v>
      </c>
      <c r="D3078" s="21" t="s">
        <v>420</v>
      </c>
      <c r="E3078" s="21" t="s">
        <v>3094</v>
      </c>
      <c r="G3078" s="21" t="s">
        <v>153</v>
      </c>
      <c r="H3078" s="21" t="s">
        <v>1165</v>
      </c>
      <c r="I3078" s="21" t="s">
        <v>3096</v>
      </c>
      <c r="J3078" s="21">
        <v>49</v>
      </c>
      <c r="K3078">
        <v>-121.5</v>
      </c>
      <c r="L3078">
        <v>1220</v>
      </c>
      <c r="M3078" s="21" t="s">
        <v>3034</v>
      </c>
      <c r="O3078" s="21">
        <v>1982</v>
      </c>
      <c r="Q3078" s="21" t="s">
        <v>3086</v>
      </c>
      <c r="T3078" s="21">
        <v>-20</v>
      </c>
      <c r="U3078" s="21" t="s">
        <v>1218</v>
      </c>
      <c r="V3078" s="9" t="s">
        <v>1247</v>
      </c>
      <c r="W3078" s="21">
        <v>56</v>
      </c>
      <c r="X3078" s="9" t="s">
        <v>3088</v>
      </c>
      <c r="Y3078" t="s">
        <v>3100</v>
      </c>
      <c r="Z3078" s="22">
        <v>8</v>
      </c>
      <c r="AD3078" s="22" t="s">
        <v>1165</v>
      </c>
      <c r="AF3078" s="24" t="s">
        <v>153</v>
      </c>
      <c r="AG3078" t="s">
        <v>1160</v>
      </c>
      <c r="AH3078">
        <f t="shared" si="33"/>
        <v>4320</v>
      </c>
      <c r="AI3078" s="21" t="s">
        <v>153</v>
      </c>
      <c r="AJ3078" s="21" t="s">
        <v>1278</v>
      </c>
      <c r="AK3078" s="21">
        <v>21</v>
      </c>
      <c r="AL3078" s="21" t="s">
        <v>1321</v>
      </c>
      <c r="AM3078" s="21"/>
      <c r="AN3078" s="21">
        <v>3</v>
      </c>
      <c r="AO3078" s="21">
        <v>50</v>
      </c>
      <c r="AP3078" s="21">
        <v>30</v>
      </c>
      <c r="AQ3078" s="22" t="s">
        <v>3016</v>
      </c>
      <c r="AR3078" s="21" t="s">
        <v>1298</v>
      </c>
      <c r="AS3078" t="s">
        <v>3085</v>
      </c>
    </row>
    <row r="3079" spans="1:45" x14ac:dyDescent="0.2">
      <c r="A3079" s="21" t="s">
        <v>1685</v>
      </c>
      <c r="B3079" s="21" t="s">
        <v>1146</v>
      </c>
      <c r="C3079" s="21" t="s">
        <v>1149</v>
      </c>
      <c r="D3079" s="21" t="s">
        <v>420</v>
      </c>
      <c r="E3079" s="21" t="s">
        <v>3094</v>
      </c>
      <c r="G3079" s="21" t="s">
        <v>153</v>
      </c>
      <c r="H3079" s="21" t="s">
        <v>1165</v>
      </c>
      <c r="I3079" s="21" t="s">
        <v>3096</v>
      </c>
      <c r="J3079" s="21">
        <v>49</v>
      </c>
      <c r="K3079">
        <v>-121.5</v>
      </c>
      <c r="L3079">
        <v>1220</v>
      </c>
      <c r="M3079" s="21" t="s">
        <v>3034</v>
      </c>
      <c r="O3079" s="21">
        <v>1982</v>
      </c>
      <c r="Q3079" s="21" t="s">
        <v>3086</v>
      </c>
      <c r="T3079" s="21">
        <v>-20</v>
      </c>
      <c r="U3079" s="21" t="s">
        <v>1218</v>
      </c>
      <c r="V3079" s="9" t="s">
        <v>1247</v>
      </c>
      <c r="W3079" s="21">
        <v>84</v>
      </c>
      <c r="X3079" s="9" t="s">
        <v>3088</v>
      </c>
      <c r="Y3079" t="s">
        <v>3100</v>
      </c>
      <c r="Z3079" s="22">
        <v>8</v>
      </c>
      <c r="AD3079" s="22" t="s">
        <v>1165</v>
      </c>
      <c r="AF3079" s="24" t="s">
        <v>153</v>
      </c>
      <c r="AG3079" t="s">
        <v>1160</v>
      </c>
      <c r="AH3079">
        <f t="shared" si="33"/>
        <v>4320</v>
      </c>
      <c r="AI3079" s="21" t="s">
        <v>153</v>
      </c>
      <c r="AJ3079" s="21" t="s">
        <v>1148</v>
      </c>
      <c r="AK3079" s="21">
        <v>27</v>
      </c>
      <c r="AL3079" s="21" t="s">
        <v>1321</v>
      </c>
      <c r="AM3079" s="21"/>
      <c r="AN3079" s="21">
        <v>3</v>
      </c>
      <c r="AO3079" s="21">
        <v>50</v>
      </c>
      <c r="AP3079" s="21">
        <v>30</v>
      </c>
      <c r="AQ3079" s="22" t="s">
        <v>3016</v>
      </c>
      <c r="AR3079" s="21" t="s">
        <v>1298</v>
      </c>
      <c r="AS3079" t="s">
        <v>3085</v>
      </c>
    </row>
    <row r="3080" spans="1:45" x14ac:dyDescent="0.2">
      <c r="A3080" s="21" t="s">
        <v>1685</v>
      </c>
      <c r="B3080" s="21" t="s">
        <v>1146</v>
      </c>
      <c r="C3080" s="21" t="s">
        <v>1149</v>
      </c>
      <c r="D3080" s="21" t="s">
        <v>420</v>
      </c>
      <c r="E3080" s="21" t="s">
        <v>3094</v>
      </c>
      <c r="G3080" s="21" t="s">
        <v>153</v>
      </c>
      <c r="H3080" s="21" t="s">
        <v>1165</v>
      </c>
      <c r="I3080" s="21" t="s">
        <v>3096</v>
      </c>
      <c r="J3080" s="21">
        <v>49</v>
      </c>
      <c r="K3080">
        <v>-121.5</v>
      </c>
      <c r="L3080">
        <v>1220</v>
      </c>
      <c r="M3080" s="21" t="s">
        <v>3034</v>
      </c>
      <c r="O3080" s="21">
        <v>1982</v>
      </c>
      <c r="Q3080" s="21" t="s">
        <v>3086</v>
      </c>
      <c r="T3080" s="21">
        <v>-20</v>
      </c>
      <c r="U3080" s="21" t="s">
        <v>1218</v>
      </c>
      <c r="V3080" s="9" t="s">
        <v>1247</v>
      </c>
      <c r="W3080" s="21">
        <v>84</v>
      </c>
      <c r="X3080" s="9" t="s">
        <v>3088</v>
      </c>
      <c r="Y3080" t="s">
        <v>3100</v>
      </c>
      <c r="Z3080" s="22">
        <v>8</v>
      </c>
      <c r="AD3080" s="22" t="s">
        <v>1165</v>
      </c>
      <c r="AF3080" s="24" t="s">
        <v>153</v>
      </c>
      <c r="AG3080" t="s">
        <v>1160</v>
      </c>
      <c r="AH3080">
        <f t="shared" si="33"/>
        <v>4320</v>
      </c>
      <c r="AI3080" s="21" t="s">
        <v>153</v>
      </c>
      <c r="AJ3080" s="21" t="s">
        <v>1278</v>
      </c>
      <c r="AK3080" s="21">
        <v>13</v>
      </c>
      <c r="AL3080" s="21" t="s">
        <v>1321</v>
      </c>
      <c r="AM3080" s="21"/>
      <c r="AN3080" s="21">
        <v>3</v>
      </c>
      <c r="AO3080" s="21">
        <v>50</v>
      </c>
      <c r="AP3080" s="21">
        <v>30</v>
      </c>
      <c r="AQ3080" s="22" t="s">
        <v>3016</v>
      </c>
      <c r="AR3080" s="21" t="s">
        <v>1298</v>
      </c>
      <c r="AS3080" t="s">
        <v>3085</v>
      </c>
    </row>
    <row r="3081" spans="1:45" x14ac:dyDescent="0.2">
      <c r="A3081" s="21" t="s">
        <v>1685</v>
      </c>
      <c r="B3081" s="21" t="s">
        <v>1146</v>
      </c>
      <c r="C3081" s="21" t="s">
        <v>1149</v>
      </c>
      <c r="D3081" s="21" t="s">
        <v>420</v>
      </c>
      <c r="E3081" s="21" t="s">
        <v>3094</v>
      </c>
      <c r="G3081" s="21" t="s">
        <v>153</v>
      </c>
      <c r="H3081" s="21" t="s">
        <v>1165</v>
      </c>
      <c r="I3081" s="21" t="s">
        <v>3096</v>
      </c>
      <c r="J3081" s="21">
        <v>49</v>
      </c>
      <c r="K3081">
        <v>-121.5</v>
      </c>
      <c r="L3081">
        <v>1220</v>
      </c>
      <c r="M3081" s="21" t="s">
        <v>3034</v>
      </c>
      <c r="O3081" s="21">
        <v>1982</v>
      </c>
      <c r="Q3081" s="21" t="s">
        <v>3086</v>
      </c>
      <c r="T3081" s="21">
        <v>-20</v>
      </c>
      <c r="U3081" s="21" t="s">
        <v>1218</v>
      </c>
      <c r="V3081" s="9" t="s">
        <v>1247</v>
      </c>
      <c r="W3081" s="21">
        <v>28</v>
      </c>
      <c r="X3081" s="9" t="s">
        <v>3088</v>
      </c>
      <c r="Y3081" t="s">
        <v>3101</v>
      </c>
      <c r="Z3081" s="22">
        <v>8</v>
      </c>
      <c r="AD3081" s="22" t="s">
        <v>1165</v>
      </c>
      <c r="AF3081" s="24" t="s">
        <v>153</v>
      </c>
      <c r="AG3081" t="s">
        <v>1160</v>
      </c>
      <c r="AH3081">
        <f t="shared" si="33"/>
        <v>4320</v>
      </c>
      <c r="AI3081" s="21" t="s">
        <v>153</v>
      </c>
      <c r="AJ3081" s="21" t="s">
        <v>1148</v>
      </c>
      <c r="AK3081" s="21">
        <v>59</v>
      </c>
      <c r="AL3081" s="21" t="s">
        <v>1321</v>
      </c>
      <c r="AM3081" s="21"/>
      <c r="AN3081" s="21">
        <v>3</v>
      </c>
      <c r="AO3081" s="21">
        <v>50</v>
      </c>
      <c r="AP3081" s="21">
        <v>30</v>
      </c>
      <c r="AQ3081" s="22" t="s">
        <v>3016</v>
      </c>
      <c r="AR3081" s="21" t="s">
        <v>1298</v>
      </c>
      <c r="AS3081" t="s">
        <v>3085</v>
      </c>
    </row>
    <row r="3082" spans="1:45" x14ac:dyDescent="0.2">
      <c r="A3082" s="21" t="s">
        <v>1685</v>
      </c>
      <c r="B3082" s="21" t="s">
        <v>1146</v>
      </c>
      <c r="C3082" s="21" t="s">
        <v>1149</v>
      </c>
      <c r="D3082" s="21" t="s">
        <v>420</v>
      </c>
      <c r="E3082" s="21" t="s">
        <v>3094</v>
      </c>
      <c r="G3082" s="21" t="s">
        <v>153</v>
      </c>
      <c r="H3082" s="21" t="s">
        <v>1165</v>
      </c>
      <c r="I3082" s="21" t="s">
        <v>3096</v>
      </c>
      <c r="J3082" s="21">
        <v>49</v>
      </c>
      <c r="K3082">
        <v>-121.5</v>
      </c>
      <c r="L3082">
        <v>1220</v>
      </c>
      <c r="M3082" s="21" t="s">
        <v>3034</v>
      </c>
      <c r="O3082" s="21">
        <v>1982</v>
      </c>
      <c r="Q3082" s="21" t="s">
        <v>3086</v>
      </c>
      <c r="T3082" s="21">
        <v>-20</v>
      </c>
      <c r="U3082" s="21" t="s">
        <v>1218</v>
      </c>
      <c r="V3082" s="9" t="s">
        <v>1247</v>
      </c>
      <c r="W3082" s="21">
        <v>28</v>
      </c>
      <c r="X3082" s="9" t="s">
        <v>3088</v>
      </c>
      <c r="Y3082" t="s">
        <v>3101</v>
      </c>
      <c r="Z3082" s="22">
        <v>8</v>
      </c>
      <c r="AD3082" s="22" t="s">
        <v>1165</v>
      </c>
      <c r="AF3082" s="24" t="s">
        <v>153</v>
      </c>
      <c r="AG3082" t="s">
        <v>1160</v>
      </c>
      <c r="AH3082">
        <f t="shared" si="33"/>
        <v>4320</v>
      </c>
      <c r="AI3082" s="21" t="s">
        <v>153</v>
      </c>
      <c r="AJ3082" s="21" t="s">
        <v>1278</v>
      </c>
      <c r="AK3082" s="21">
        <v>21</v>
      </c>
      <c r="AL3082" s="21" t="s">
        <v>1321</v>
      </c>
      <c r="AM3082" s="21"/>
      <c r="AN3082" s="21">
        <v>3</v>
      </c>
      <c r="AO3082" s="21">
        <v>50</v>
      </c>
      <c r="AP3082" s="21">
        <v>30</v>
      </c>
      <c r="AQ3082" s="22" t="s">
        <v>3016</v>
      </c>
      <c r="AR3082" s="21" t="s">
        <v>1298</v>
      </c>
      <c r="AS3082" t="s">
        <v>3085</v>
      </c>
    </row>
    <row r="3083" spans="1:45" x14ac:dyDescent="0.2">
      <c r="A3083" s="21" t="s">
        <v>1685</v>
      </c>
      <c r="B3083" s="21" t="s">
        <v>1146</v>
      </c>
      <c r="C3083" s="21" t="s">
        <v>1149</v>
      </c>
      <c r="D3083" s="21" t="s">
        <v>420</v>
      </c>
      <c r="E3083" s="21" t="s">
        <v>3094</v>
      </c>
      <c r="G3083" s="21" t="s">
        <v>153</v>
      </c>
      <c r="H3083" s="21" t="s">
        <v>1165</v>
      </c>
      <c r="I3083" s="21" t="s">
        <v>3096</v>
      </c>
      <c r="J3083" s="21">
        <v>49</v>
      </c>
      <c r="K3083">
        <v>-121.5</v>
      </c>
      <c r="L3083">
        <v>1220</v>
      </c>
      <c r="M3083" s="21" t="s">
        <v>3034</v>
      </c>
      <c r="O3083" s="21">
        <v>1982</v>
      </c>
      <c r="Q3083" s="21" t="s">
        <v>3086</v>
      </c>
      <c r="T3083" s="21">
        <v>-20</v>
      </c>
      <c r="U3083" s="21" t="s">
        <v>1218</v>
      </c>
      <c r="V3083" s="9" t="s">
        <v>1247</v>
      </c>
      <c r="W3083" s="21">
        <v>56</v>
      </c>
      <c r="X3083" s="9" t="s">
        <v>3088</v>
      </c>
      <c r="Y3083" t="s">
        <v>3101</v>
      </c>
      <c r="Z3083" s="22">
        <v>8</v>
      </c>
      <c r="AD3083" s="22" t="s">
        <v>1165</v>
      </c>
      <c r="AF3083" s="24" t="s">
        <v>153</v>
      </c>
      <c r="AG3083" t="s">
        <v>1160</v>
      </c>
      <c r="AH3083">
        <f t="shared" si="33"/>
        <v>4320</v>
      </c>
      <c r="AI3083" s="21" t="s">
        <v>153</v>
      </c>
      <c r="AJ3083" s="21" t="s">
        <v>1148</v>
      </c>
      <c r="AK3083" s="21">
        <v>59</v>
      </c>
      <c r="AL3083" s="21" t="s">
        <v>1321</v>
      </c>
      <c r="AM3083" s="21"/>
      <c r="AN3083" s="21">
        <v>3</v>
      </c>
      <c r="AO3083" s="21">
        <v>50</v>
      </c>
      <c r="AP3083" s="21">
        <v>30</v>
      </c>
      <c r="AQ3083" s="22" t="s">
        <v>3016</v>
      </c>
      <c r="AR3083" s="21" t="s">
        <v>1298</v>
      </c>
      <c r="AS3083" t="s">
        <v>3085</v>
      </c>
    </row>
    <row r="3084" spans="1:45" x14ac:dyDescent="0.2">
      <c r="A3084" s="21" t="s">
        <v>1685</v>
      </c>
      <c r="B3084" s="21" t="s">
        <v>1146</v>
      </c>
      <c r="C3084" s="21" t="s">
        <v>1149</v>
      </c>
      <c r="D3084" s="21" t="s">
        <v>420</v>
      </c>
      <c r="E3084" s="21" t="s">
        <v>3094</v>
      </c>
      <c r="G3084" s="21" t="s">
        <v>153</v>
      </c>
      <c r="H3084" s="21" t="s">
        <v>1165</v>
      </c>
      <c r="I3084" s="21" t="s">
        <v>3096</v>
      </c>
      <c r="J3084" s="21">
        <v>49</v>
      </c>
      <c r="K3084">
        <v>-121.5</v>
      </c>
      <c r="L3084">
        <v>1220</v>
      </c>
      <c r="M3084" s="21" t="s">
        <v>3034</v>
      </c>
      <c r="O3084" s="21">
        <v>1982</v>
      </c>
      <c r="Q3084" s="21" t="s">
        <v>3086</v>
      </c>
      <c r="T3084" s="21">
        <v>-20</v>
      </c>
      <c r="U3084" s="21" t="s">
        <v>1218</v>
      </c>
      <c r="V3084" s="9" t="s">
        <v>1247</v>
      </c>
      <c r="W3084" s="21">
        <v>56</v>
      </c>
      <c r="X3084" s="9" t="s">
        <v>3088</v>
      </c>
      <c r="Y3084" t="s">
        <v>3101</v>
      </c>
      <c r="Z3084" s="22">
        <v>8</v>
      </c>
      <c r="AD3084" s="22" t="s">
        <v>1165</v>
      </c>
      <c r="AF3084" s="24" t="s">
        <v>153</v>
      </c>
      <c r="AG3084" t="s">
        <v>1160</v>
      </c>
      <c r="AH3084">
        <f t="shared" si="33"/>
        <v>4320</v>
      </c>
      <c r="AI3084" s="21" t="s">
        <v>153</v>
      </c>
      <c r="AJ3084" s="21" t="s">
        <v>1278</v>
      </c>
      <c r="AK3084" s="21">
        <v>27</v>
      </c>
      <c r="AL3084" s="21" t="s">
        <v>1321</v>
      </c>
      <c r="AM3084" s="21"/>
      <c r="AN3084" s="21">
        <v>3</v>
      </c>
      <c r="AO3084" s="21">
        <v>50</v>
      </c>
      <c r="AP3084" s="21">
        <v>30</v>
      </c>
      <c r="AQ3084" s="22" t="s">
        <v>3016</v>
      </c>
      <c r="AR3084" s="21" t="s">
        <v>1298</v>
      </c>
      <c r="AS3084" t="s">
        <v>3085</v>
      </c>
    </row>
    <row r="3085" spans="1:45" x14ac:dyDescent="0.2">
      <c r="A3085" s="21" t="s">
        <v>1685</v>
      </c>
      <c r="B3085" s="21" t="s">
        <v>1146</v>
      </c>
      <c r="C3085" s="21" t="s">
        <v>1149</v>
      </c>
      <c r="D3085" s="21" t="s">
        <v>420</v>
      </c>
      <c r="E3085" s="21" t="s">
        <v>3094</v>
      </c>
      <c r="G3085" s="21" t="s">
        <v>153</v>
      </c>
      <c r="H3085" s="21" t="s">
        <v>1165</v>
      </c>
      <c r="I3085" s="21" t="s">
        <v>3096</v>
      </c>
      <c r="J3085" s="21">
        <v>49</v>
      </c>
      <c r="K3085">
        <v>-121.5</v>
      </c>
      <c r="L3085">
        <v>1220</v>
      </c>
      <c r="M3085" s="21" t="s">
        <v>3034</v>
      </c>
      <c r="O3085" s="21">
        <v>1982</v>
      </c>
      <c r="Q3085" s="21" t="s">
        <v>3086</v>
      </c>
      <c r="T3085" s="21">
        <v>-20</v>
      </c>
      <c r="U3085" s="21" t="s">
        <v>1218</v>
      </c>
      <c r="V3085" s="9" t="s">
        <v>1247</v>
      </c>
      <c r="W3085" s="21">
        <v>84</v>
      </c>
      <c r="X3085" s="9" t="s">
        <v>3088</v>
      </c>
      <c r="Y3085" t="s">
        <v>3101</v>
      </c>
      <c r="Z3085" s="22">
        <v>8</v>
      </c>
      <c r="AD3085" s="22" t="s">
        <v>1165</v>
      </c>
      <c r="AF3085" s="24" t="s">
        <v>153</v>
      </c>
      <c r="AG3085" t="s">
        <v>1160</v>
      </c>
      <c r="AH3085">
        <f t="shared" si="33"/>
        <v>4320</v>
      </c>
      <c r="AI3085" s="21" t="s">
        <v>153</v>
      </c>
      <c r="AJ3085" s="21" t="s">
        <v>1148</v>
      </c>
      <c r="AK3085" s="21">
        <v>29</v>
      </c>
      <c r="AL3085" s="21" t="s">
        <v>1321</v>
      </c>
      <c r="AM3085" s="21"/>
      <c r="AN3085" s="21">
        <v>3</v>
      </c>
      <c r="AO3085" s="21">
        <v>50</v>
      </c>
      <c r="AP3085" s="21">
        <v>30</v>
      </c>
      <c r="AQ3085" s="22" t="s">
        <v>3016</v>
      </c>
      <c r="AR3085" s="21" t="s">
        <v>1298</v>
      </c>
      <c r="AS3085" t="s">
        <v>3085</v>
      </c>
    </row>
    <row r="3086" spans="1:45" x14ac:dyDescent="0.2">
      <c r="A3086" s="21" t="s">
        <v>1685</v>
      </c>
      <c r="B3086" s="21" t="s">
        <v>1146</v>
      </c>
      <c r="C3086" s="21" t="s">
        <v>1149</v>
      </c>
      <c r="D3086" s="21" t="s">
        <v>420</v>
      </c>
      <c r="E3086" s="21" t="s">
        <v>3094</v>
      </c>
      <c r="G3086" s="21" t="s">
        <v>153</v>
      </c>
      <c r="H3086" s="21" t="s">
        <v>1165</v>
      </c>
      <c r="I3086" s="21" t="s">
        <v>3096</v>
      </c>
      <c r="J3086" s="21">
        <v>49</v>
      </c>
      <c r="K3086">
        <v>-121.5</v>
      </c>
      <c r="L3086">
        <v>1220</v>
      </c>
      <c r="M3086" s="21" t="s">
        <v>3034</v>
      </c>
      <c r="O3086" s="21">
        <v>1982</v>
      </c>
      <c r="Q3086" s="21" t="s">
        <v>3086</v>
      </c>
      <c r="T3086" s="21">
        <v>-20</v>
      </c>
      <c r="U3086" s="21" t="s">
        <v>1218</v>
      </c>
      <c r="V3086" s="9" t="s">
        <v>1247</v>
      </c>
      <c r="W3086" s="21">
        <v>84</v>
      </c>
      <c r="X3086" s="9" t="s">
        <v>3088</v>
      </c>
      <c r="Y3086" t="s">
        <v>3101</v>
      </c>
      <c r="Z3086" s="22">
        <v>8</v>
      </c>
      <c r="AD3086" s="22" t="s">
        <v>1165</v>
      </c>
      <c r="AF3086" s="24" t="s">
        <v>153</v>
      </c>
      <c r="AG3086" t="s">
        <v>1160</v>
      </c>
      <c r="AH3086">
        <f t="shared" si="33"/>
        <v>4320</v>
      </c>
      <c r="AI3086" s="21" t="s">
        <v>153</v>
      </c>
      <c r="AJ3086" s="21" t="s">
        <v>1278</v>
      </c>
      <c r="AK3086" s="21">
        <v>17</v>
      </c>
      <c r="AL3086" s="21" t="s">
        <v>1321</v>
      </c>
      <c r="AM3086" s="21"/>
      <c r="AN3086" s="21">
        <v>3</v>
      </c>
      <c r="AO3086" s="21">
        <v>50</v>
      </c>
      <c r="AP3086" s="21">
        <v>30</v>
      </c>
      <c r="AQ3086" s="22" t="s">
        <v>3016</v>
      </c>
      <c r="AR3086" s="21" t="s">
        <v>1298</v>
      </c>
      <c r="AS3086" t="s">
        <v>3085</v>
      </c>
    </row>
    <row r="3087" spans="1:45" x14ac:dyDescent="0.2">
      <c r="A3087" s="21" t="s">
        <v>1685</v>
      </c>
      <c r="B3087" s="21" t="s">
        <v>1146</v>
      </c>
      <c r="C3087" s="21" t="s">
        <v>1149</v>
      </c>
      <c r="D3087" s="21" t="s">
        <v>420</v>
      </c>
      <c r="E3087" s="21" t="s">
        <v>3094</v>
      </c>
      <c r="G3087" s="21" t="s">
        <v>153</v>
      </c>
      <c r="H3087" s="21" t="s">
        <v>1165</v>
      </c>
      <c r="I3087" s="21" t="s">
        <v>3096</v>
      </c>
      <c r="J3087" s="21">
        <v>49</v>
      </c>
      <c r="K3087">
        <v>-121.5</v>
      </c>
      <c r="L3087">
        <v>1220</v>
      </c>
      <c r="M3087" s="21" t="s">
        <v>3034</v>
      </c>
      <c r="O3087" s="21">
        <v>1982</v>
      </c>
      <c r="Q3087" s="21" t="s">
        <v>3086</v>
      </c>
      <c r="T3087" s="21">
        <v>-20</v>
      </c>
      <c r="U3087" s="21" t="s">
        <v>1218</v>
      </c>
      <c r="V3087" s="9" t="s">
        <v>1247</v>
      </c>
      <c r="W3087" s="21">
        <v>28</v>
      </c>
      <c r="X3087" s="9" t="s">
        <v>3088</v>
      </c>
      <c r="Y3087" t="s">
        <v>3102</v>
      </c>
      <c r="Z3087" s="22">
        <v>8</v>
      </c>
      <c r="AD3087" s="22" t="s">
        <v>1165</v>
      </c>
      <c r="AF3087" s="24" t="s">
        <v>153</v>
      </c>
      <c r="AG3087" t="s">
        <v>1160</v>
      </c>
      <c r="AH3087">
        <f t="shared" si="33"/>
        <v>4320</v>
      </c>
      <c r="AI3087" s="21" t="s">
        <v>153</v>
      </c>
      <c r="AJ3087" s="21" t="s">
        <v>1148</v>
      </c>
      <c r="AK3087" s="21">
        <v>30</v>
      </c>
      <c r="AL3087" s="21" t="s">
        <v>1321</v>
      </c>
      <c r="AM3087" s="21"/>
      <c r="AN3087" s="21">
        <v>3</v>
      </c>
      <c r="AO3087" s="21">
        <v>50</v>
      </c>
      <c r="AP3087" s="21">
        <v>30</v>
      </c>
      <c r="AQ3087" s="22" t="s">
        <v>3016</v>
      </c>
      <c r="AR3087" s="21" t="s">
        <v>1298</v>
      </c>
      <c r="AS3087" t="s">
        <v>3085</v>
      </c>
    </row>
    <row r="3088" spans="1:45" x14ac:dyDescent="0.2">
      <c r="A3088" s="21" t="s">
        <v>1685</v>
      </c>
      <c r="B3088" s="21" t="s">
        <v>1146</v>
      </c>
      <c r="C3088" s="21" t="s">
        <v>1149</v>
      </c>
      <c r="D3088" s="21" t="s">
        <v>420</v>
      </c>
      <c r="E3088" s="21" t="s">
        <v>3094</v>
      </c>
      <c r="G3088" s="21" t="s">
        <v>153</v>
      </c>
      <c r="H3088" s="21" t="s">
        <v>1165</v>
      </c>
      <c r="I3088" s="21" t="s">
        <v>3096</v>
      </c>
      <c r="J3088" s="21">
        <v>49</v>
      </c>
      <c r="K3088">
        <v>-121.5</v>
      </c>
      <c r="L3088">
        <v>1220</v>
      </c>
      <c r="M3088" s="21" t="s">
        <v>3034</v>
      </c>
      <c r="O3088" s="21">
        <v>1982</v>
      </c>
      <c r="Q3088" s="21" t="s">
        <v>3086</v>
      </c>
      <c r="T3088" s="21">
        <v>-20</v>
      </c>
      <c r="U3088" s="21" t="s">
        <v>1218</v>
      </c>
      <c r="V3088" s="9" t="s">
        <v>1247</v>
      </c>
      <c r="W3088" s="21">
        <v>28</v>
      </c>
      <c r="X3088" s="9" t="s">
        <v>3088</v>
      </c>
      <c r="Y3088" t="s">
        <v>3102</v>
      </c>
      <c r="Z3088" s="22">
        <v>8</v>
      </c>
      <c r="AD3088" s="22" t="s">
        <v>1165</v>
      </c>
      <c r="AF3088" s="24" t="s">
        <v>153</v>
      </c>
      <c r="AG3088" t="s">
        <v>1160</v>
      </c>
      <c r="AH3088">
        <f t="shared" si="33"/>
        <v>4320</v>
      </c>
      <c r="AI3088" s="21" t="s">
        <v>153</v>
      </c>
      <c r="AJ3088" s="21" t="s">
        <v>1278</v>
      </c>
      <c r="AK3088" s="21">
        <v>12</v>
      </c>
      <c r="AL3088" s="21" t="s">
        <v>1321</v>
      </c>
      <c r="AM3088" s="21"/>
      <c r="AN3088" s="21">
        <v>3</v>
      </c>
      <c r="AO3088" s="21">
        <v>50</v>
      </c>
      <c r="AP3088" s="21">
        <v>30</v>
      </c>
      <c r="AQ3088" s="22" t="s">
        <v>3016</v>
      </c>
      <c r="AR3088" s="21" t="s">
        <v>1298</v>
      </c>
      <c r="AS3088" t="s">
        <v>3085</v>
      </c>
    </row>
    <row r="3089" spans="1:45" x14ac:dyDescent="0.2">
      <c r="A3089" s="21" t="s">
        <v>1685</v>
      </c>
      <c r="B3089" s="21" t="s">
        <v>1146</v>
      </c>
      <c r="C3089" s="21" t="s">
        <v>1149</v>
      </c>
      <c r="D3089" s="21" t="s">
        <v>420</v>
      </c>
      <c r="E3089" s="21" t="s">
        <v>3094</v>
      </c>
      <c r="G3089" s="21" t="s">
        <v>153</v>
      </c>
      <c r="H3089" s="21" t="s">
        <v>1165</v>
      </c>
      <c r="I3089" s="21" t="s">
        <v>3096</v>
      </c>
      <c r="J3089" s="21">
        <v>49</v>
      </c>
      <c r="K3089">
        <v>-121.5</v>
      </c>
      <c r="L3089">
        <v>1220</v>
      </c>
      <c r="M3089" s="21" t="s">
        <v>3034</v>
      </c>
      <c r="O3089" s="21">
        <v>1982</v>
      </c>
      <c r="Q3089" s="21" t="s">
        <v>3086</v>
      </c>
      <c r="T3089" s="21">
        <v>-20</v>
      </c>
      <c r="U3089" s="21" t="s">
        <v>1218</v>
      </c>
      <c r="V3089" s="9" t="s">
        <v>1247</v>
      </c>
      <c r="W3089" s="21">
        <v>56</v>
      </c>
      <c r="X3089" s="9" t="s">
        <v>3088</v>
      </c>
      <c r="Y3089" t="s">
        <v>3102</v>
      </c>
      <c r="Z3089" s="22">
        <v>8</v>
      </c>
      <c r="AD3089" s="22" t="s">
        <v>1165</v>
      </c>
      <c r="AF3089" s="24" t="s">
        <v>153</v>
      </c>
      <c r="AG3089" t="s">
        <v>1160</v>
      </c>
      <c r="AH3089">
        <f t="shared" si="33"/>
        <v>4320</v>
      </c>
      <c r="AI3089" s="21" t="s">
        <v>153</v>
      </c>
      <c r="AJ3089" s="21" t="s">
        <v>1148</v>
      </c>
      <c r="AK3089" s="21">
        <v>42</v>
      </c>
      <c r="AL3089" s="21" t="s">
        <v>1321</v>
      </c>
      <c r="AM3089" s="21"/>
      <c r="AN3089" s="21">
        <v>3</v>
      </c>
      <c r="AO3089" s="21">
        <v>50</v>
      </c>
      <c r="AP3089" s="21">
        <v>30</v>
      </c>
      <c r="AQ3089" s="22" t="s">
        <v>3016</v>
      </c>
      <c r="AR3089" s="21" t="s">
        <v>1298</v>
      </c>
      <c r="AS3089" t="s">
        <v>3085</v>
      </c>
    </row>
    <row r="3090" spans="1:45" x14ac:dyDescent="0.2">
      <c r="A3090" s="21" t="s">
        <v>1685</v>
      </c>
      <c r="B3090" s="21" t="s">
        <v>1146</v>
      </c>
      <c r="C3090" s="21" t="s">
        <v>1149</v>
      </c>
      <c r="D3090" s="21" t="s">
        <v>420</v>
      </c>
      <c r="E3090" s="21" t="s">
        <v>3094</v>
      </c>
      <c r="G3090" s="21" t="s">
        <v>153</v>
      </c>
      <c r="H3090" s="21" t="s">
        <v>1165</v>
      </c>
      <c r="I3090" s="21" t="s">
        <v>3096</v>
      </c>
      <c r="J3090" s="21">
        <v>49</v>
      </c>
      <c r="K3090">
        <v>-121.5</v>
      </c>
      <c r="L3090">
        <v>1220</v>
      </c>
      <c r="M3090" s="21" t="s">
        <v>3034</v>
      </c>
      <c r="O3090" s="21">
        <v>1982</v>
      </c>
      <c r="Q3090" s="21" t="s">
        <v>3086</v>
      </c>
      <c r="T3090" s="21">
        <v>-20</v>
      </c>
      <c r="U3090" s="21" t="s">
        <v>1218</v>
      </c>
      <c r="V3090" s="9" t="s">
        <v>1247</v>
      </c>
      <c r="W3090" s="21">
        <v>56</v>
      </c>
      <c r="X3090" s="9" t="s">
        <v>3088</v>
      </c>
      <c r="Y3090" t="s">
        <v>3102</v>
      </c>
      <c r="Z3090" s="22">
        <v>8</v>
      </c>
      <c r="AD3090" s="22" t="s">
        <v>1165</v>
      </c>
      <c r="AF3090" s="24" t="s">
        <v>153</v>
      </c>
      <c r="AG3090" t="s">
        <v>1160</v>
      </c>
      <c r="AH3090">
        <f t="shared" si="33"/>
        <v>4320</v>
      </c>
      <c r="AI3090" s="21" t="s">
        <v>153</v>
      </c>
      <c r="AJ3090" s="21" t="s">
        <v>1278</v>
      </c>
      <c r="AK3090" s="21">
        <v>22</v>
      </c>
      <c r="AL3090" s="21" t="s">
        <v>1321</v>
      </c>
      <c r="AM3090" s="21"/>
      <c r="AN3090" s="21">
        <v>3</v>
      </c>
      <c r="AO3090" s="21">
        <v>50</v>
      </c>
      <c r="AP3090" s="21">
        <v>30</v>
      </c>
      <c r="AQ3090" s="22" t="s">
        <v>3016</v>
      </c>
      <c r="AR3090" s="21" t="s">
        <v>1298</v>
      </c>
      <c r="AS3090" t="s">
        <v>3085</v>
      </c>
    </row>
    <row r="3091" spans="1:45" x14ac:dyDescent="0.2">
      <c r="A3091" s="21" t="s">
        <v>1685</v>
      </c>
      <c r="B3091" s="21" t="s">
        <v>1146</v>
      </c>
      <c r="C3091" s="21" t="s">
        <v>1149</v>
      </c>
      <c r="D3091" s="21" t="s">
        <v>420</v>
      </c>
      <c r="E3091" s="21" t="s">
        <v>3094</v>
      </c>
      <c r="G3091" s="21" t="s">
        <v>153</v>
      </c>
      <c r="H3091" s="21" t="s">
        <v>1165</v>
      </c>
      <c r="I3091" s="21" t="s">
        <v>3096</v>
      </c>
      <c r="J3091" s="21">
        <v>49</v>
      </c>
      <c r="K3091">
        <v>-121.5</v>
      </c>
      <c r="L3091">
        <v>1220</v>
      </c>
      <c r="M3091" s="21" t="s">
        <v>3034</v>
      </c>
      <c r="O3091" s="21">
        <v>1982</v>
      </c>
      <c r="Q3091" s="21" t="s">
        <v>3086</v>
      </c>
      <c r="T3091" s="21">
        <v>-20</v>
      </c>
      <c r="U3091" s="21" t="s">
        <v>1218</v>
      </c>
      <c r="V3091" s="9" t="s">
        <v>1247</v>
      </c>
      <c r="W3091" s="21">
        <v>84</v>
      </c>
      <c r="X3091" s="9" t="s">
        <v>3088</v>
      </c>
      <c r="Y3091" t="s">
        <v>3102</v>
      </c>
      <c r="Z3091" s="22">
        <v>8</v>
      </c>
      <c r="AD3091" s="22" t="s">
        <v>1165</v>
      </c>
      <c r="AF3091" s="24" t="s">
        <v>153</v>
      </c>
      <c r="AG3091" t="s">
        <v>1160</v>
      </c>
      <c r="AH3091">
        <f t="shared" si="33"/>
        <v>4320</v>
      </c>
      <c r="AI3091" s="21" t="s">
        <v>153</v>
      </c>
      <c r="AJ3091" s="21" t="s">
        <v>1148</v>
      </c>
      <c r="AK3091" s="21">
        <v>23</v>
      </c>
      <c r="AL3091" s="21" t="s">
        <v>1321</v>
      </c>
      <c r="AM3091" s="21"/>
      <c r="AN3091" s="21">
        <v>3</v>
      </c>
      <c r="AO3091" s="21">
        <v>50</v>
      </c>
      <c r="AP3091" s="21">
        <v>30</v>
      </c>
      <c r="AQ3091" s="22" t="s">
        <v>3016</v>
      </c>
      <c r="AR3091" s="21" t="s">
        <v>1298</v>
      </c>
      <c r="AS3091" t="s">
        <v>3085</v>
      </c>
    </row>
    <row r="3092" spans="1:45" x14ac:dyDescent="0.2">
      <c r="A3092" s="21" t="s">
        <v>1685</v>
      </c>
      <c r="B3092" s="21" t="s">
        <v>1146</v>
      </c>
      <c r="C3092" s="21" t="s">
        <v>1149</v>
      </c>
      <c r="D3092" s="21" t="s">
        <v>420</v>
      </c>
      <c r="E3092" s="21" t="s">
        <v>3094</v>
      </c>
      <c r="G3092" s="21" t="s">
        <v>153</v>
      </c>
      <c r="H3092" s="21" t="s">
        <v>1165</v>
      </c>
      <c r="I3092" s="21" t="s">
        <v>3096</v>
      </c>
      <c r="J3092" s="21">
        <v>49</v>
      </c>
      <c r="K3092">
        <v>-121.5</v>
      </c>
      <c r="L3092">
        <v>1220</v>
      </c>
      <c r="M3092" s="21" t="s">
        <v>3034</v>
      </c>
      <c r="O3092" s="21">
        <v>1982</v>
      </c>
      <c r="Q3092" s="21" t="s">
        <v>3086</v>
      </c>
      <c r="T3092" s="21">
        <v>-20</v>
      </c>
      <c r="U3092" s="21" t="s">
        <v>1218</v>
      </c>
      <c r="V3092" s="9" t="s">
        <v>1247</v>
      </c>
      <c r="W3092" s="21">
        <v>84</v>
      </c>
      <c r="X3092" s="9" t="s">
        <v>3088</v>
      </c>
      <c r="Y3092" t="s">
        <v>3102</v>
      </c>
      <c r="Z3092" s="22">
        <v>8</v>
      </c>
      <c r="AD3092" s="22" t="s">
        <v>1165</v>
      </c>
      <c r="AF3092" s="24" t="s">
        <v>153</v>
      </c>
      <c r="AG3092" t="s">
        <v>1160</v>
      </c>
      <c r="AH3092">
        <f t="shared" si="33"/>
        <v>4320</v>
      </c>
      <c r="AI3092" s="21" t="s">
        <v>153</v>
      </c>
      <c r="AJ3092" s="21" t="s">
        <v>1278</v>
      </c>
      <c r="AK3092" s="21">
        <v>13</v>
      </c>
      <c r="AL3092" s="21" t="s">
        <v>1321</v>
      </c>
      <c r="AM3092" s="21"/>
      <c r="AN3092" s="21">
        <v>3</v>
      </c>
      <c r="AO3092" s="21">
        <v>50</v>
      </c>
      <c r="AP3092" s="21">
        <v>30</v>
      </c>
      <c r="AQ3092" s="22" t="s">
        <v>3016</v>
      </c>
      <c r="AR3092" s="21" t="s">
        <v>1298</v>
      </c>
      <c r="AS3092" t="s">
        <v>3085</v>
      </c>
    </row>
    <row r="3093" spans="1:45" x14ac:dyDescent="0.2">
      <c r="A3093" s="21" t="s">
        <v>1685</v>
      </c>
      <c r="B3093" s="21" t="s">
        <v>1146</v>
      </c>
      <c r="C3093" s="21" t="s">
        <v>1149</v>
      </c>
      <c r="D3093" s="21" t="s">
        <v>420</v>
      </c>
      <c r="E3093" s="21" t="s">
        <v>3094</v>
      </c>
      <c r="G3093" s="21" t="s">
        <v>153</v>
      </c>
      <c r="H3093" s="21" t="s">
        <v>1165</v>
      </c>
      <c r="I3093" s="21" t="s">
        <v>3096</v>
      </c>
      <c r="J3093" s="21">
        <v>49</v>
      </c>
      <c r="K3093">
        <v>-121.5</v>
      </c>
      <c r="L3093">
        <v>1220</v>
      </c>
      <c r="M3093" s="21" t="s">
        <v>3034</v>
      </c>
      <c r="O3093" s="21">
        <v>1982</v>
      </c>
      <c r="Q3093" s="21" t="s">
        <v>3086</v>
      </c>
      <c r="T3093" s="21">
        <v>-20</v>
      </c>
      <c r="U3093" s="21" t="s">
        <v>1147</v>
      </c>
      <c r="W3093" s="21"/>
      <c r="X3093" s="9" t="s">
        <v>3088</v>
      </c>
      <c r="Z3093" s="22">
        <v>8</v>
      </c>
      <c r="AD3093" s="22" t="s">
        <v>1165</v>
      </c>
      <c r="AF3093" s="24" t="s">
        <v>153</v>
      </c>
      <c r="AG3093" t="s">
        <v>1160</v>
      </c>
      <c r="AH3093">
        <f t="shared" si="33"/>
        <v>4320</v>
      </c>
      <c r="AI3093" s="21" t="s">
        <v>153</v>
      </c>
      <c r="AJ3093" s="21" t="s">
        <v>1148</v>
      </c>
      <c r="AK3093" s="21">
        <v>24</v>
      </c>
      <c r="AL3093" s="21" t="s">
        <v>1321</v>
      </c>
      <c r="AM3093" s="21"/>
      <c r="AN3093" s="21">
        <v>3</v>
      </c>
      <c r="AO3093" s="21">
        <v>50</v>
      </c>
      <c r="AP3093" s="21">
        <v>30</v>
      </c>
      <c r="AQ3093" s="22" t="s">
        <v>3016</v>
      </c>
      <c r="AR3093" s="21" t="s">
        <v>1298</v>
      </c>
      <c r="AS3093" t="s">
        <v>3085</v>
      </c>
    </row>
    <row r="3094" spans="1:45" x14ac:dyDescent="0.2">
      <c r="A3094" s="21" t="s">
        <v>1685</v>
      </c>
      <c r="B3094" s="21" t="s">
        <v>1146</v>
      </c>
      <c r="C3094" s="21" t="s">
        <v>1149</v>
      </c>
      <c r="D3094" s="21" t="s">
        <v>420</v>
      </c>
      <c r="E3094" s="21" t="s">
        <v>3094</v>
      </c>
      <c r="G3094" s="21" t="s">
        <v>153</v>
      </c>
      <c r="H3094" s="21" t="s">
        <v>1165</v>
      </c>
      <c r="I3094" s="21" t="s">
        <v>3096</v>
      </c>
      <c r="J3094" s="21">
        <v>49</v>
      </c>
      <c r="K3094">
        <v>-121.5</v>
      </c>
      <c r="L3094">
        <v>1220</v>
      </c>
      <c r="M3094" s="21" t="s">
        <v>3034</v>
      </c>
      <c r="O3094" s="21">
        <v>1982</v>
      </c>
      <c r="Q3094" s="21" t="s">
        <v>3086</v>
      </c>
      <c r="T3094" s="21">
        <v>-20</v>
      </c>
      <c r="U3094" s="21" t="s">
        <v>1147</v>
      </c>
      <c r="W3094" s="21"/>
      <c r="X3094" s="9" t="s">
        <v>3088</v>
      </c>
      <c r="Z3094" s="22">
        <v>8</v>
      </c>
      <c r="AD3094" s="22" t="s">
        <v>1165</v>
      </c>
      <c r="AF3094" s="24" t="s">
        <v>153</v>
      </c>
      <c r="AG3094" t="s">
        <v>1160</v>
      </c>
      <c r="AH3094">
        <f t="shared" si="33"/>
        <v>4320</v>
      </c>
      <c r="AI3094" s="21" t="s">
        <v>153</v>
      </c>
      <c r="AJ3094" s="21" t="s">
        <v>1278</v>
      </c>
      <c r="AK3094" s="21">
        <v>6</v>
      </c>
      <c r="AL3094" s="21" t="s">
        <v>1321</v>
      </c>
      <c r="AM3094" s="21"/>
      <c r="AN3094" s="21">
        <v>3</v>
      </c>
      <c r="AO3094" s="21">
        <v>50</v>
      </c>
      <c r="AP3094" s="21">
        <v>30</v>
      </c>
      <c r="AQ3094" s="22" t="s">
        <v>3016</v>
      </c>
      <c r="AR3094" s="21" t="s">
        <v>1298</v>
      </c>
      <c r="AS3094" t="s">
        <v>3085</v>
      </c>
    </row>
    <row r="3095" spans="1:45" x14ac:dyDescent="0.2">
      <c r="A3095" s="21" t="s">
        <v>1685</v>
      </c>
      <c r="B3095" s="21" t="s">
        <v>1146</v>
      </c>
      <c r="C3095" s="21" t="s">
        <v>1149</v>
      </c>
      <c r="D3095" s="21" t="s">
        <v>420</v>
      </c>
      <c r="E3095" s="21" t="s">
        <v>3094</v>
      </c>
      <c r="G3095" s="21" t="s">
        <v>153</v>
      </c>
      <c r="H3095" s="21" t="s">
        <v>1165</v>
      </c>
      <c r="I3095" s="21" t="s">
        <v>3096</v>
      </c>
      <c r="J3095" s="21">
        <v>49</v>
      </c>
      <c r="K3095">
        <v>-121.5</v>
      </c>
      <c r="L3095">
        <v>1220</v>
      </c>
      <c r="M3095" s="21" t="s">
        <v>3034</v>
      </c>
      <c r="O3095" s="21">
        <v>1982</v>
      </c>
      <c r="Q3095" s="21" t="s">
        <v>3086</v>
      </c>
      <c r="T3095" s="21">
        <v>-20</v>
      </c>
      <c r="U3095" s="21" t="s">
        <v>1147</v>
      </c>
      <c r="W3095" s="21"/>
      <c r="X3095" s="9" t="s">
        <v>3088</v>
      </c>
      <c r="Z3095" s="22">
        <v>8</v>
      </c>
      <c r="AD3095" s="22" t="s">
        <v>1165</v>
      </c>
      <c r="AF3095" s="24" t="s">
        <v>153</v>
      </c>
      <c r="AG3095" t="s">
        <v>1160</v>
      </c>
      <c r="AH3095">
        <f t="shared" si="33"/>
        <v>4320</v>
      </c>
      <c r="AI3095" s="21" t="s">
        <v>153</v>
      </c>
      <c r="AJ3095" s="21" t="s">
        <v>1148</v>
      </c>
      <c r="AK3095" s="21">
        <v>24</v>
      </c>
      <c r="AL3095" s="21" t="s">
        <v>1321</v>
      </c>
      <c r="AM3095" s="21"/>
      <c r="AN3095" s="21">
        <v>3</v>
      </c>
      <c r="AO3095" s="21">
        <v>50</v>
      </c>
      <c r="AP3095" s="21">
        <v>30</v>
      </c>
      <c r="AQ3095" s="22" t="s">
        <v>3016</v>
      </c>
      <c r="AR3095" s="21" t="s">
        <v>1298</v>
      </c>
      <c r="AS3095" t="s">
        <v>3085</v>
      </c>
    </row>
    <row r="3096" spans="1:45" x14ac:dyDescent="0.2">
      <c r="A3096" s="21" t="s">
        <v>1685</v>
      </c>
      <c r="B3096" s="21" t="s">
        <v>1146</v>
      </c>
      <c r="C3096" s="21" t="s">
        <v>1149</v>
      </c>
      <c r="D3096" s="21" t="s">
        <v>420</v>
      </c>
      <c r="E3096" s="21" t="s">
        <v>3094</v>
      </c>
      <c r="G3096" s="21" t="s">
        <v>153</v>
      </c>
      <c r="H3096" s="21" t="s">
        <v>1165</v>
      </c>
      <c r="I3096" s="21" t="s">
        <v>3096</v>
      </c>
      <c r="J3096" s="21">
        <v>49</v>
      </c>
      <c r="K3096">
        <v>-121.5</v>
      </c>
      <c r="L3096">
        <v>1220</v>
      </c>
      <c r="M3096" s="21" t="s">
        <v>3034</v>
      </c>
      <c r="O3096" s="21">
        <v>1982</v>
      </c>
      <c r="Q3096" s="21" t="s">
        <v>3086</v>
      </c>
      <c r="T3096" s="21">
        <v>-20</v>
      </c>
      <c r="U3096" s="21" t="s">
        <v>1147</v>
      </c>
      <c r="W3096" s="21"/>
      <c r="X3096" s="9" t="s">
        <v>3088</v>
      </c>
      <c r="Z3096" s="22">
        <v>8</v>
      </c>
      <c r="AD3096" s="22" t="s">
        <v>1165</v>
      </c>
      <c r="AF3096" s="24" t="s">
        <v>153</v>
      </c>
      <c r="AG3096" t="s">
        <v>1160</v>
      </c>
      <c r="AH3096">
        <f t="shared" si="33"/>
        <v>4320</v>
      </c>
      <c r="AI3096" s="21" t="s">
        <v>153</v>
      </c>
      <c r="AJ3096" s="21" t="s">
        <v>1278</v>
      </c>
      <c r="AK3096" s="21">
        <v>6</v>
      </c>
      <c r="AL3096" s="21" t="s">
        <v>1321</v>
      </c>
      <c r="AM3096" s="21"/>
      <c r="AN3096" s="21">
        <v>3</v>
      </c>
      <c r="AO3096" s="21">
        <v>50</v>
      </c>
      <c r="AP3096" s="21">
        <v>30</v>
      </c>
      <c r="AQ3096" s="22" t="s">
        <v>3016</v>
      </c>
      <c r="AR3096" s="21" t="s">
        <v>1298</v>
      </c>
      <c r="AS3096" t="s">
        <v>3085</v>
      </c>
    </row>
    <row r="3097" spans="1:45" x14ac:dyDescent="0.2">
      <c r="A3097" s="21" t="s">
        <v>1685</v>
      </c>
      <c r="B3097" s="21" t="s">
        <v>1146</v>
      </c>
      <c r="C3097" s="21" t="s">
        <v>1149</v>
      </c>
      <c r="D3097" s="21" t="s">
        <v>420</v>
      </c>
      <c r="E3097" s="21" t="s">
        <v>3094</v>
      </c>
      <c r="G3097" s="21" t="s">
        <v>153</v>
      </c>
      <c r="H3097" s="21" t="s">
        <v>1165</v>
      </c>
      <c r="I3097" s="21" t="s">
        <v>3096</v>
      </c>
      <c r="J3097" s="21">
        <v>49</v>
      </c>
      <c r="K3097">
        <v>-121.5</v>
      </c>
      <c r="L3097">
        <v>1220</v>
      </c>
      <c r="M3097" s="21" t="s">
        <v>3034</v>
      </c>
      <c r="O3097" s="21">
        <v>1982</v>
      </c>
      <c r="Q3097" s="21" t="s">
        <v>3086</v>
      </c>
      <c r="T3097" s="21">
        <v>-20</v>
      </c>
      <c r="U3097" s="21" t="s">
        <v>1147</v>
      </c>
      <c r="W3097" s="21"/>
      <c r="X3097" s="9" t="s">
        <v>3088</v>
      </c>
      <c r="Z3097" s="22">
        <v>8</v>
      </c>
      <c r="AD3097" s="22" t="s">
        <v>1165</v>
      </c>
      <c r="AF3097" s="24" t="s">
        <v>153</v>
      </c>
      <c r="AG3097" t="s">
        <v>1160</v>
      </c>
      <c r="AH3097">
        <f t="shared" si="33"/>
        <v>4320</v>
      </c>
      <c r="AI3097" s="21" t="s">
        <v>153</v>
      </c>
      <c r="AJ3097" s="21" t="s">
        <v>1148</v>
      </c>
      <c r="AK3097" s="21">
        <v>24</v>
      </c>
      <c r="AL3097" s="21" t="s">
        <v>1321</v>
      </c>
      <c r="AM3097" s="21"/>
      <c r="AN3097" s="21">
        <v>3</v>
      </c>
      <c r="AO3097" s="21">
        <v>50</v>
      </c>
      <c r="AP3097" s="21">
        <v>30</v>
      </c>
      <c r="AQ3097" s="22" t="s">
        <v>3016</v>
      </c>
      <c r="AR3097" s="21" t="s">
        <v>1298</v>
      </c>
      <c r="AS3097" t="s">
        <v>3085</v>
      </c>
    </row>
    <row r="3098" spans="1:45" x14ac:dyDescent="0.2">
      <c r="A3098" s="21" t="s">
        <v>1685</v>
      </c>
      <c r="B3098" s="21" t="s">
        <v>1146</v>
      </c>
      <c r="C3098" s="21" t="s">
        <v>1149</v>
      </c>
      <c r="D3098" s="21" t="s">
        <v>420</v>
      </c>
      <c r="E3098" s="21" t="s">
        <v>3094</v>
      </c>
      <c r="G3098" s="21" t="s">
        <v>153</v>
      </c>
      <c r="H3098" s="21" t="s">
        <v>1165</v>
      </c>
      <c r="I3098" s="21" t="s">
        <v>3096</v>
      </c>
      <c r="J3098" s="21">
        <v>49</v>
      </c>
      <c r="K3098">
        <v>-121.5</v>
      </c>
      <c r="L3098">
        <v>1220</v>
      </c>
      <c r="M3098" s="21" t="s">
        <v>3034</v>
      </c>
      <c r="O3098" s="21">
        <v>1982</v>
      </c>
      <c r="Q3098" s="21" t="s">
        <v>3086</v>
      </c>
      <c r="T3098" s="21">
        <v>-20</v>
      </c>
      <c r="U3098" s="21" t="s">
        <v>1147</v>
      </c>
      <c r="W3098" s="21"/>
      <c r="X3098" s="9" t="s">
        <v>3088</v>
      </c>
      <c r="Z3098" s="22">
        <v>8</v>
      </c>
      <c r="AD3098" s="22" t="s">
        <v>1165</v>
      </c>
      <c r="AF3098" s="24" t="s">
        <v>153</v>
      </c>
      <c r="AG3098" t="s">
        <v>1160</v>
      </c>
      <c r="AH3098">
        <f t="shared" si="33"/>
        <v>4320</v>
      </c>
      <c r="AI3098" s="21" t="s">
        <v>153</v>
      </c>
      <c r="AJ3098" s="21" t="s">
        <v>1278</v>
      </c>
      <c r="AK3098" s="21">
        <v>6</v>
      </c>
      <c r="AL3098" s="21" t="s">
        <v>1321</v>
      </c>
      <c r="AM3098" s="21"/>
      <c r="AN3098" s="21">
        <v>3</v>
      </c>
      <c r="AO3098" s="21">
        <v>50</v>
      </c>
      <c r="AP3098" s="21">
        <v>30</v>
      </c>
      <c r="AQ3098" s="22" t="s">
        <v>3016</v>
      </c>
      <c r="AR3098" s="21" t="s">
        <v>1298</v>
      </c>
      <c r="AS3098" t="s">
        <v>3085</v>
      </c>
    </row>
    <row r="3099" spans="1:45" x14ac:dyDescent="0.2">
      <c r="A3099" s="21" t="s">
        <v>1685</v>
      </c>
      <c r="B3099" s="21" t="s">
        <v>1146</v>
      </c>
      <c r="C3099" s="21" t="s">
        <v>1149</v>
      </c>
      <c r="D3099" s="21" t="s">
        <v>420</v>
      </c>
      <c r="E3099" s="21" t="s">
        <v>3193</v>
      </c>
      <c r="G3099" s="21" t="s">
        <v>153</v>
      </c>
      <c r="H3099" s="21" t="s">
        <v>1165</v>
      </c>
      <c r="I3099" s="21" t="s">
        <v>3084</v>
      </c>
      <c r="J3099" s="21">
        <v>49.133333333333297</v>
      </c>
      <c r="K3099">
        <v>-122.75</v>
      </c>
      <c r="L3099">
        <v>1415</v>
      </c>
      <c r="M3099" s="21" t="s">
        <v>3034</v>
      </c>
      <c r="O3099" s="21">
        <v>1985</v>
      </c>
      <c r="Q3099" s="21" t="s">
        <v>3086</v>
      </c>
      <c r="T3099" s="21">
        <v>-20</v>
      </c>
      <c r="U3099" s="21" t="s">
        <v>1218</v>
      </c>
      <c r="V3099" s="9" t="s">
        <v>1247</v>
      </c>
      <c r="W3099">
        <v>56</v>
      </c>
      <c r="X3099" s="9" t="s">
        <v>3088</v>
      </c>
      <c r="Y3099" t="s">
        <v>3194</v>
      </c>
      <c r="Z3099" s="22">
        <v>8</v>
      </c>
      <c r="AD3099" s="22" t="s">
        <v>1165</v>
      </c>
      <c r="AF3099" s="24" t="s">
        <v>153</v>
      </c>
      <c r="AG3099" t="s">
        <v>1160</v>
      </c>
      <c r="AH3099">
        <f t="shared" si="33"/>
        <v>4320</v>
      </c>
      <c r="AI3099" s="21" t="s">
        <v>153</v>
      </c>
      <c r="AJ3099" s="21" t="s">
        <v>1148</v>
      </c>
      <c r="AK3099" s="21">
        <v>76</v>
      </c>
      <c r="AL3099" s="21" t="s">
        <v>1321</v>
      </c>
      <c r="AM3099" s="21"/>
      <c r="AN3099" s="21">
        <v>3</v>
      </c>
      <c r="AO3099" s="21">
        <v>50</v>
      </c>
      <c r="AP3099" s="21">
        <v>30</v>
      </c>
      <c r="AQ3099" s="22" t="s">
        <v>3016</v>
      </c>
      <c r="AR3099" s="21" t="s">
        <v>1249</v>
      </c>
      <c r="AS3099" t="s">
        <v>3085</v>
      </c>
    </row>
    <row r="3100" spans="1:45" x14ac:dyDescent="0.2">
      <c r="A3100" s="21" t="s">
        <v>1685</v>
      </c>
      <c r="B3100" s="21" t="s">
        <v>1146</v>
      </c>
      <c r="C3100" s="21" t="s">
        <v>1149</v>
      </c>
      <c r="D3100" s="21" t="s">
        <v>420</v>
      </c>
      <c r="E3100" s="21" t="s">
        <v>3193</v>
      </c>
      <c r="G3100" s="21" t="s">
        <v>153</v>
      </c>
      <c r="H3100" s="21" t="s">
        <v>1165</v>
      </c>
      <c r="I3100" s="21" t="s">
        <v>3084</v>
      </c>
      <c r="J3100" s="21">
        <v>49.133333333333297</v>
      </c>
      <c r="K3100">
        <v>-122.75</v>
      </c>
      <c r="L3100">
        <v>1415</v>
      </c>
      <c r="M3100" s="21" t="s">
        <v>3034</v>
      </c>
      <c r="O3100" s="21">
        <v>1985</v>
      </c>
      <c r="Q3100" s="21" t="s">
        <v>3086</v>
      </c>
      <c r="T3100" s="21">
        <v>-20</v>
      </c>
      <c r="U3100" s="21" t="s">
        <v>1218</v>
      </c>
      <c r="V3100" s="9" t="s">
        <v>1247</v>
      </c>
      <c r="W3100">
        <v>56</v>
      </c>
      <c r="X3100" s="9" t="s">
        <v>3088</v>
      </c>
      <c r="Y3100" t="s">
        <v>3194</v>
      </c>
      <c r="Z3100" s="22">
        <v>8</v>
      </c>
      <c r="AD3100" s="22" t="s">
        <v>1165</v>
      </c>
      <c r="AF3100" s="24" t="s">
        <v>153</v>
      </c>
      <c r="AG3100" t="s">
        <v>1160</v>
      </c>
      <c r="AH3100">
        <f t="shared" si="33"/>
        <v>4320</v>
      </c>
      <c r="AI3100" s="21" t="s">
        <v>153</v>
      </c>
      <c r="AJ3100" s="21" t="s">
        <v>1278</v>
      </c>
      <c r="AK3100" s="21">
        <v>41</v>
      </c>
      <c r="AL3100" s="21" t="s">
        <v>1321</v>
      </c>
      <c r="AM3100" s="21"/>
      <c r="AN3100" s="21">
        <v>3</v>
      </c>
      <c r="AO3100" s="21">
        <v>50</v>
      </c>
      <c r="AP3100" s="21">
        <v>30</v>
      </c>
      <c r="AQ3100" s="22" t="s">
        <v>3016</v>
      </c>
      <c r="AR3100" s="21" t="s">
        <v>1249</v>
      </c>
      <c r="AS3100" t="s">
        <v>3085</v>
      </c>
    </row>
    <row r="3101" spans="1:45" x14ac:dyDescent="0.2">
      <c r="A3101" s="21" t="s">
        <v>1685</v>
      </c>
      <c r="B3101" s="21" t="s">
        <v>1146</v>
      </c>
      <c r="C3101" s="21" t="s">
        <v>1149</v>
      </c>
      <c r="D3101" s="21" t="s">
        <v>420</v>
      </c>
      <c r="E3101" s="21" t="s">
        <v>3193</v>
      </c>
      <c r="G3101" s="21" t="s">
        <v>153</v>
      </c>
      <c r="H3101" s="21" t="s">
        <v>1165</v>
      </c>
      <c r="I3101" s="21" t="s">
        <v>3084</v>
      </c>
      <c r="J3101" s="21">
        <v>49.133333333333297</v>
      </c>
      <c r="K3101">
        <v>-122.75</v>
      </c>
      <c r="L3101">
        <v>1415</v>
      </c>
      <c r="M3101" s="21" t="s">
        <v>3034</v>
      </c>
      <c r="O3101" s="21">
        <v>1985</v>
      </c>
      <c r="Q3101" s="21" t="s">
        <v>3086</v>
      </c>
      <c r="T3101" s="21">
        <v>-20</v>
      </c>
      <c r="U3101" s="21" t="s">
        <v>1218</v>
      </c>
      <c r="V3101" s="9" t="s">
        <v>1247</v>
      </c>
      <c r="W3101">
        <f>12*7</f>
        <v>84</v>
      </c>
      <c r="X3101" s="9" t="s">
        <v>3088</v>
      </c>
      <c r="Y3101" t="s">
        <v>3195</v>
      </c>
      <c r="Z3101" s="22">
        <v>8</v>
      </c>
      <c r="AD3101" s="22" t="s">
        <v>1165</v>
      </c>
      <c r="AF3101" s="24" t="s">
        <v>153</v>
      </c>
      <c r="AG3101" t="s">
        <v>1160</v>
      </c>
      <c r="AH3101">
        <f t="shared" si="33"/>
        <v>4320</v>
      </c>
      <c r="AI3101" s="21" t="s">
        <v>153</v>
      </c>
      <c r="AJ3101" s="21" t="s">
        <v>1148</v>
      </c>
      <c r="AK3101" s="21">
        <v>65</v>
      </c>
      <c r="AL3101" s="21" t="s">
        <v>1321</v>
      </c>
      <c r="AM3101" s="21"/>
      <c r="AN3101" s="21">
        <v>3</v>
      </c>
      <c r="AO3101" s="21">
        <v>50</v>
      </c>
      <c r="AP3101" s="21">
        <v>30</v>
      </c>
      <c r="AQ3101" s="22" t="s">
        <v>3016</v>
      </c>
      <c r="AR3101" s="21" t="s">
        <v>1249</v>
      </c>
      <c r="AS3101" t="s">
        <v>3085</v>
      </c>
    </row>
    <row r="3102" spans="1:45" x14ac:dyDescent="0.2">
      <c r="A3102" s="21" t="s">
        <v>1685</v>
      </c>
      <c r="B3102" s="21" t="s">
        <v>1146</v>
      </c>
      <c r="C3102" s="21" t="s">
        <v>1149</v>
      </c>
      <c r="D3102" s="21" t="s">
        <v>420</v>
      </c>
      <c r="E3102" s="21" t="s">
        <v>3193</v>
      </c>
      <c r="G3102" s="21" t="s">
        <v>153</v>
      </c>
      <c r="H3102" s="21" t="s">
        <v>1165</v>
      </c>
      <c r="I3102" s="21" t="s">
        <v>3084</v>
      </c>
      <c r="J3102" s="21">
        <v>49.133333333333297</v>
      </c>
      <c r="K3102">
        <v>-122.75</v>
      </c>
      <c r="L3102">
        <v>1415</v>
      </c>
      <c r="M3102" s="21" t="s">
        <v>3034</v>
      </c>
      <c r="O3102" s="21">
        <v>1985</v>
      </c>
      <c r="Q3102" s="21" t="s">
        <v>3086</v>
      </c>
      <c r="T3102" s="21">
        <v>-20</v>
      </c>
      <c r="U3102" s="21" t="s">
        <v>1218</v>
      </c>
      <c r="V3102" s="9" t="s">
        <v>1247</v>
      </c>
      <c r="W3102">
        <v>84</v>
      </c>
      <c r="X3102" s="9" t="s">
        <v>3088</v>
      </c>
      <c r="Y3102" t="s">
        <v>3195</v>
      </c>
      <c r="Z3102" s="22">
        <v>8</v>
      </c>
      <c r="AD3102" s="22" t="s">
        <v>1165</v>
      </c>
      <c r="AF3102" s="24" t="s">
        <v>153</v>
      </c>
      <c r="AG3102" t="s">
        <v>1160</v>
      </c>
      <c r="AH3102">
        <f t="shared" si="33"/>
        <v>4320</v>
      </c>
      <c r="AI3102" s="21" t="s">
        <v>153</v>
      </c>
      <c r="AJ3102" s="21" t="s">
        <v>1278</v>
      </c>
      <c r="AK3102" s="21">
        <v>34</v>
      </c>
      <c r="AL3102" s="21" t="s">
        <v>1321</v>
      </c>
      <c r="AM3102" s="21"/>
      <c r="AN3102" s="21">
        <v>3</v>
      </c>
      <c r="AO3102" s="21">
        <v>50</v>
      </c>
      <c r="AP3102" s="21">
        <v>30</v>
      </c>
      <c r="AQ3102" s="22" t="s">
        <v>3016</v>
      </c>
      <c r="AR3102" s="21" t="s">
        <v>1249</v>
      </c>
      <c r="AS3102" t="s">
        <v>3085</v>
      </c>
    </row>
    <row r="3103" spans="1:45" x14ac:dyDescent="0.2">
      <c r="A3103" s="21" t="s">
        <v>1685</v>
      </c>
      <c r="B3103" s="21" t="s">
        <v>1146</v>
      </c>
      <c r="C3103" s="21" t="s">
        <v>1149</v>
      </c>
      <c r="D3103" s="21" t="s">
        <v>420</v>
      </c>
      <c r="E3103" s="21" t="s">
        <v>3093</v>
      </c>
      <c r="G3103" s="21" t="s">
        <v>153</v>
      </c>
      <c r="H3103" s="21" t="s">
        <v>1165</v>
      </c>
      <c r="I3103" s="21" t="s">
        <v>3087</v>
      </c>
      <c r="J3103" s="21">
        <v>55.266666666666602</v>
      </c>
      <c r="K3103">
        <v>-128.4</v>
      </c>
      <c r="L3103">
        <v>1100</v>
      </c>
      <c r="M3103" s="21" t="s">
        <v>3034</v>
      </c>
      <c r="O3103" s="21">
        <v>1992</v>
      </c>
      <c r="Q3103" s="21" t="s">
        <v>3086</v>
      </c>
      <c r="T3103" s="21">
        <v>-20</v>
      </c>
      <c r="U3103" s="21" t="s">
        <v>1218</v>
      </c>
      <c r="V3103" s="9" t="s">
        <v>1247</v>
      </c>
      <c r="W3103">
        <v>56</v>
      </c>
      <c r="X3103" s="9" t="s">
        <v>3088</v>
      </c>
      <c r="Y3103" t="s">
        <v>3196</v>
      </c>
      <c r="Z3103" s="22">
        <v>8</v>
      </c>
      <c r="AD3103" s="22" t="s">
        <v>1165</v>
      </c>
      <c r="AF3103" s="24" t="s">
        <v>153</v>
      </c>
      <c r="AG3103" t="s">
        <v>1160</v>
      </c>
      <c r="AH3103">
        <f t="shared" si="33"/>
        <v>4320</v>
      </c>
      <c r="AI3103" s="21" t="s">
        <v>153</v>
      </c>
      <c r="AJ3103" s="21" t="s">
        <v>1148</v>
      </c>
      <c r="AK3103" s="21">
        <v>80</v>
      </c>
      <c r="AL3103" s="21" t="s">
        <v>1321</v>
      </c>
      <c r="AM3103" s="21"/>
      <c r="AN3103" s="21">
        <v>3</v>
      </c>
      <c r="AO3103" s="21">
        <v>50</v>
      </c>
      <c r="AP3103" s="21">
        <v>30</v>
      </c>
      <c r="AQ3103" s="22" t="s">
        <v>3016</v>
      </c>
      <c r="AR3103" s="21" t="s">
        <v>1249</v>
      </c>
      <c r="AS3103" t="s">
        <v>3085</v>
      </c>
    </row>
    <row r="3104" spans="1:45" x14ac:dyDescent="0.2">
      <c r="A3104" s="21" t="s">
        <v>1685</v>
      </c>
      <c r="B3104" s="21" t="s">
        <v>1146</v>
      </c>
      <c r="C3104" s="21" t="s">
        <v>1149</v>
      </c>
      <c r="D3104" s="21" t="s">
        <v>420</v>
      </c>
      <c r="E3104" s="21" t="s">
        <v>3093</v>
      </c>
      <c r="G3104" s="21" t="s">
        <v>153</v>
      </c>
      <c r="H3104" s="21" t="s">
        <v>1165</v>
      </c>
      <c r="I3104" s="21" t="s">
        <v>3087</v>
      </c>
      <c r="J3104" s="21">
        <v>55.266666666666602</v>
      </c>
      <c r="K3104">
        <v>-128.4</v>
      </c>
      <c r="L3104">
        <v>1100</v>
      </c>
      <c r="M3104" s="21" t="s">
        <v>3034</v>
      </c>
      <c r="O3104" s="21">
        <v>1992</v>
      </c>
      <c r="Q3104" s="21" t="s">
        <v>3086</v>
      </c>
      <c r="T3104" s="21">
        <v>-20</v>
      </c>
      <c r="U3104" s="21" t="s">
        <v>1218</v>
      </c>
      <c r="V3104" s="9" t="s">
        <v>1247</v>
      </c>
      <c r="W3104">
        <v>56</v>
      </c>
      <c r="X3104" s="9" t="s">
        <v>3088</v>
      </c>
      <c r="Y3104" t="s">
        <v>3196</v>
      </c>
      <c r="Z3104" s="22">
        <v>8</v>
      </c>
      <c r="AD3104" s="22" t="s">
        <v>1165</v>
      </c>
      <c r="AF3104" s="24" t="s">
        <v>153</v>
      </c>
      <c r="AG3104" t="s">
        <v>1160</v>
      </c>
      <c r="AH3104">
        <f t="shared" si="33"/>
        <v>4320</v>
      </c>
      <c r="AI3104" s="21" t="s">
        <v>153</v>
      </c>
      <c r="AJ3104" s="21" t="s">
        <v>1278</v>
      </c>
      <c r="AK3104" s="21">
        <v>43</v>
      </c>
      <c r="AL3104" s="21" t="s">
        <v>1321</v>
      </c>
      <c r="AM3104" s="21"/>
      <c r="AN3104" s="21">
        <v>3</v>
      </c>
      <c r="AO3104" s="21">
        <v>50</v>
      </c>
      <c r="AP3104" s="21">
        <v>30</v>
      </c>
      <c r="AQ3104" s="22" t="s">
        <v>3016</v>
      </c>
      <c r="AR3104" s="21" t="s">
        <v>1249</v>
      </c>
      <c r="AS3104" t="s">
        <v>3085</v>
      </c>
    </row>
    <row r="3105" spans="1:45" x14ac:dyDescent="0.2">
      <c r="A3105" s="21" t="s">
        <v>1685</v>
      </c>
      <c r="B3105" s="21" t="s">
        <v>1146</v>
      </c>
      <c r="C3105" s="21" t="s">
        <v>1149</v>
      </c>
      <c r="D3105" s="21" t="s">
        <v>420</v>
      </c>
      <c r="E3105" s="21" t="s">
        <v>3093</v>
      </c>
      <c r="G3105" s="21" t="s">
        <v>153</v>
      </c>
      <c r="H3105" s="21" t="s">
        <v>1165</v>
      </c>
      <c r="I3105" s="21" t="s">
        <v>3087</v>
      </c>
      <c r="J3105" s="21">
        <v>55.266666666666602</v>
      </c>
      <c r="K3105">
        <v>-128.4</v>
      </c>
      <c r="L3105">
        <v>1100</v>
      </c>
      <c r="M3105" s="21" t="s">
        <v>3034</v>
      </c>
      <c r="O3105" s="21">
        <v>1992</v>
      </c>
      <c r="Q3105" s="21" t="s">
        <v>3086</v>
      </c>
      <c r="T3105" s="21">
        <v>-20</v>
      </c>
      <c r="U3105" s="21" t="s">
        <v>1218</v>
      </c>
      <c r="V3105" s="9" t="s">
        <v>1247</v>
      </c>
      <c r="W3105">
        <f>12*7</f>
        <v>84</v>
      </c>
      <c r="X3105" s="9" t="s">
        <v>3088</v>
      </c>
      <c r="Y3105" t="s">
        <v>3196</v>
      </c>
      <c r="Z3105" s="22">
        <v>8</v>
      </c>
      <c r="AD3105" s="22" t="s">
        <v>1165</v>
      </c>
      <c r="AF3105" s="24" t="s">
        <v>153</v>
      </c>
      <c r="AG3105" t="s">
        <v>1160</v>
      </c>
      <c r="AH3105">
        <f t="shared" si="33"/>
        <v>4320</v>
      </c>
      <c r="AI3105" s="21" t="s">
        <v>153</v>
      </c>
      <c r="AJ3105" s="21" t="s">
        <v>1148</v>
      </c>
      <c r="AK3105" s="21">
        <v>51</v>
      </c>
      <c r="AL3105" s="21" t="s">
        <v>1321</v>
      </c>
      <c r="AM3105" s="21"/>
      <c r="AN3105" s="21">
        <v>3</v>
      </c>
      <c r="AO3105" s="21">
        <v>50</v>
      </c>
      <c r="AP3105" s="21">
        <v>30</v>
      </c>
      <c r="AQ3105" s="22" t="s">
        <v>3016</v>
      </c>
      <c r="AR3105" s="21" t="s">
        <v>1249</v>
      </c>
      <c r="AS3105" t="s">
        <v>3085</v>
      </c>
    </row>
    <row r="3106" spans="1:45" x14ac:dyDescent="0.2">
      <c r="A3106" s="21" t="s">
        <v>1685</v>
      </c>
      <c r="B3106" s="21" t="s">
        <v>1146</v>
      </c>
      <c r="C3106" s="21" t="s">
        <v>1149</v>
      </c>
      <c r="D3106" s="21" t="s">
        <v>420</v>
      </c>
      <c r="E3106" s="21" t="s">
        <v>3093</v>
      </c>
      <c r="G3106" s="21" t="s">
        <v>153</v>
      </c>
      <c r="H3106" s="21" t="s">
        <v>1165</v>
      </c>
      <c r="I3106" s="21" t="s">
        <v>3087</v>
      </c>
      <c r="J3106" s="21">
        <v>55.266666666666602</v>
      </c>
      <c r="K3106">
        <v>-128.4</v>
      </c>
      <c r="L3106">
        <v>1100</v>
      </c>
      <c r="M3106" s="21" t="s">
        <v>3034</v>
      </c>
      <c r="O3106" s="21">
        <v>1992</v>
      </c>
      <c r="Q3106" s="21" t="s">
        <v>3086</v>
      </c>
      <c r="T3106" s="21">
        <v>-20</v>
      </c>
      <c r="U3106" s="21" t="s">
        <v>1218</v>
      </c>
      <c r="V3106" s="9" t="s">
        <v>1247</v>
      </c>
      <c r="W3106">
        <v>84</v>
      </c>
      <c r="X3106" s="9" t="s">
        <v>3088</v>
      </c>
      <c r="Y3106" t="s">
        <v>3196</v>
      </c>
      <c r="Z3106" s="22">
        <v>8</v>
      </c>
      <c r="AD3106" s="22" t="s">
        <v>1165</v>
      </c>
      <c r="AF3106" s="24" t="s">
        <v>153</v>
      </c>
      <c r="AG3106" t="s">
        <v>1160</v>
      </c>
      <c r="AH3106">
        <f t="shared" si="33"/>
        <v>4320</v>
      </c>
      <c r="AI3106" s="21" t="s">
        <v>153</v>
      </c>
      <c r="AJ3106" s="21" t="s">
        <v>1278</v>
      </c>
      <c r="AK3106" s="21">
        <v>28</v>
      </c>
      <c r="AL3106" s="21" t="s">
        <v>1321</v>
      </c>
      <c r="AM3106" s="21"/>
      <c r="AN3106" s="21">
        <v>3</v>
      </c>
      <c r="AO3106" s="21">
        <v>50</v>
      </c>
      <c r="AP3106" s="21">
        <v>30</v>
      </c>
      <c r="AQ3106" s="22" t="s">
        <v>3016</v>
      </c>
      <c r="AR3106" s="21" t="s">
        <v>1249</v>
      </c>
      <c r="AS3106" t="s">
        <v>3085</v>
      </c>
    </row>
    <row r="3107" spans="1:45" x14ac:dyDescent="0.2">
      <c r="A3107" s="21" t="s">
        <v>1685</v>
      </c>
      <c r="B3107" s="21" t="s">
        <v>1146</v>
      </c>
      <c r="C3107" s="21" t="s">
        <v>1149</v>
      </c>
      <c r="D3107" s="21" t="s">
        <v>420</v>
      </c>
      <c r="E3107" s="21" t="s">
        <v>2027</v>
      </c>
      <c r="G3107" s="21" t="s">
        <v>153</v>
      </c>
      <c r="H3107" s="21" t="s">
        <v>1165</v>
      </c>
      <c r="I3107" s="21" t="s">
        <v>3095</v>
      </c>
      <c r="J3107" s="21">
        <v>49.466666666666598</v>
      </c>
      <c r="K3107">
        <v>-124.8</v>
      </c>
      <c r="L3107">
        <v>40</v>
      </c>
      <c r="M3107" s="21" t="s">
        <v>3034</v>
      </c>
      <c r="O3107" s="21">
        <v>1981</v>
      </c>
      <c r="Q3107" s="21" t="s">
        <v>3086</v>
      </c>
      <c r="T3107" s="21">
        <v>-20</v>
      </c>
      <c r="U3107" s="21" t="s">
        <v>1218</v>
      </c>
      <c r="V3107" s="9" t="s">
        <v>1247</v>
      </c>
      <c r="W3107">
        <v>56</v>
      </c>
      <c r="X3107" s="9" t="s">
        <v>3088</v>
      </c>
      <c r="Y3107" t="s">
        <v>3197</v>
      </c>
      <c r="Z3107" s="22">
        <v>8</v>
      </c>
      <c r="AD3107" s="22" t="s">
        <v>1165</v>
      </c>
      <c r="AF3107" s="24" t="s">
        <v>153</v>
      </c>
      <c r="AG3107" t="s">
        <v>1160</v>
      </c>
      <c r="AH3107">
        <f t="shared" si="33"/>
        <v>4320</v>
      </c>
      <c r="AI3107" s="21" t="s">
        <v>153</v>
      </c>
      <c r="AJ3107" s="21" t="s">
        <v>1148</v>
      </c>
      <c r="AK3107" s="21">
        <v>82</v>
      </c>
      <c r="AL3107" s="21" t="s">
        <v>1321</v>
      </c>
      <c r="AM3107" s="21"/>
      <c r="AN3107" s="21">
        <v>3</v>
      </c>
      <c r="AO3107" s="21">
        <v>50</v>
      </c>
      <c r="AP3107" s="21">
        <v>30</v>
      </c>
      <c r="AQ3107" s="22" t="s">
        <v>3016</v>
      </c>
      <c r="AR3107" s="21" t="s">
        <v>1249</v>
      </c>
      <c r="AS3107" t="s">
        <v>3085</v>
      </c>
    </row>
    <row r="3108" spans="1:45" x14ac:dyDescent="0.2">
      <c r="A3108" s="21" t="s">
        <v>1685</v>
      </c>
      <c r="B3108" s="21" t="s">
        <v>1146</v>
      </c>
      <c r="C3108" s="21" t="s">
        <v>1149</v>
      </c>
      <c r="D3108" s="21" t="s">
        <v>420</v>
      </c>
      <c r="E3108" s="21" t="s">
        <v>2027</v>
      </c>
      <c r="G3108" s="21" t="s">
        <v>153</v>
      </c>
      <c r="H3108" s="21" t="s">
        <v>1165</v>
      </c>
      <c r="I3108" s="21" t="s">
        <v>3095</v>
      </c>
      <c r="J3108" s="21">
        <v>49.466666666666598</v>
      </c>
      <c r="K3108">
        <v>-124.8</v>
      </c>
      <c r="L3108">
        <v>40</v>
      </c>
      <c r="M3108" s="21" t="s">
        <v>3034</v>
      </c>
      <c r="O3108" s="21">
        <v>1981</v>
      </c>
      <c r="Q3108" s="21" t="s">
        <v>3086</v>
      </c>
      <c r="T3108" s="21">
        <v>-20</v>
      </c>
      <c r="U3108" s="21" t="s">
        <v>1218</v>
      </c>
      <c r="V3108" s="9" t="s">
        <v>1247</v>
      </c>
      <c r="W3108">
        <v>56</v>
      </c>
      <c r="X3108" s="9" t="s">
        <v>3088</v>
      </c>
      <c r="Y3108" t="s">
        <v>3197</v>
      </c>
      <c r="Z3108" s="22">
        <v>8</v>
      </c>
      <c r="AD3108" s="22" t="s">
        <v>1165</v>
      </c>
      <c r="AF3108" s="24" t="s">
        <v>153</v>
      </c>
      <c r="AG3108" t="s">
        <v>1160</v>
      </c>
      <c r="AH3108">
        <f t="shared" si="33"/>
        <v>4320</v>
      </c>
      <c r="AI3108" s="21" t="s">
        <v>153</v>
      </c>
      <c r="AJ3108" s="21" t="s">
        <v>1278</v>
      </c>
      <c r="AK3108" s="21">
        <v>37</v>
      </c>
      <c r="AL3108" s="21" t="s">
        <v>1321</v>
      </c>
      <c r="AM3108" s="21"/>
      <c r="AN3108" s="21">
        <v>3</v>
      </c>
      <c r="AO3108" s="21">
        <v>50</v>
      </c>
      <c r="AP3108" s="21">
        <v>30</v>
      </c>
      <c r="AQ3108" s="22" t="s">
        <v>3016</v>
      </c>
      <c r="AR3108" s="21" t="s">
        <v>1249</v>
      </c>
      <c r="AS3108" t="s">
        <v>3085</v>
      </c>
    </row>
    <row r="3109" spans="1:45" x14ac:dyDescent="0.2">
      <c r="A3109" s="21" t="s">
        <v>1685</v>
      </c>
      <c r="B3109" s="21" t="s">
        <v>1146</v>
      </c>
      <c r="C3109" s="21" t="s">
        <v>1149</v>
      </c>
      <c r="D3109" s="21" t="s">
        <v>420</v>
      </c>
      <c r="E3109" s="21" t="s">
        <v>2027</v>
      </c>
      <c r="G3109" s="21" t="s">
        <v>153</v>
      </c>
      <c r="H3109" s="21" t="s">
        <v>1165</v>
      </c>
      <c r="I3109" s="21" t="s">
        <v>3095</v>
      </c>
      <c r="J3109" s="21">
        <v>49.466666666666598</v>
      </c>
      <c r="K3109">
        <v>-124.8</v>
      </c>
      <c r="L3109">
        <v>40</v>
      </c>
      <c r="M3109" s="21" t="s">
        <v>3034</v>
      </c>
      <c r="O3109" s="21">
        <v>1981</v>
      </c>
      <c r="Q3109" s="21" t="s">
        <v>3086</v>
      </c>
      <c r="T3109" s="21">
        <v>-20</v>
      </c>
      <c r="U3109" s="21" t="s">
        <v>1218</v>
      </c>
      <c r="V3109" s="9" t="s">
        <v>1247</v>
      </c>
      <c r="W3109">
        <f>12*7</f>
        <v>84</v>
      </c>
      <c r="X3109" s="9" t="s">
        <v>3088</v>
      </c>
      <c r="Y3109" t="s">
        <v>3197</v>
      </c>
      <c r="Z3109" s="22">
        <v>8</v>
      </c>
      <c r="AD3109" s="22" t="s">
        <v>1165</v>
      </c>
      <c r="AF3109" s="24" t="s">
        <v>153</v>
      </c>
      <c r="AG3109" t="s">
        <v>1160</v>
      </c>
      <c r="AH3109">
        <f t="shared" si="33"/>
        <v>4320</v>
      </c>
      <c r="AI3109" s="21" t="s">
        <v>153</v>
      </c>
      <c r="AJ3109" s="21" t="s">
        <v>1148</v>
      </c>
      <c r="AK3109" s="21">
        <v>70</v>
      </c>
      <c r="AL3109" s="21" t="s">
        <v>1321</v>
      </c>
      <c r="AM3109" s="21"/>
      <c r="AN3109" s="21">
        <v>3</v>
      </c>
      <c r="AO3109" s="21">
        <v>50</v>
      </c>
      <c r="AP3109" s="21">
        <v>30</v>
      </c>
      <c r="AQ3109" s="22" t="s">
        <v>3016</v>
      </c>
      <c r="AR3109" s="21" t="s">
        <v>1249</v>
      </c>
      <c r="AS3109" t="s">
        <v>3085</v>
      </c>
    </row>
    <row r="3110" spans="1:45" x14ac:dyDescent="0.2">
      <c r="A3110" s="21" t="s">
        <v>1685</v>
      </c>
      <c r="B3110" s="21" t="s">
        <v>1146</v>
      </c>
      <c r="C3110" s="21" t="s">
        <v>1149</v>
      </c>
      <c r="D3110" s="21" t="s">
        <v>420</v>
      </c>
      <c r="E3110" s="21" t="s">
        <v>2027</v>
      </c>
      <c r="G3110" s="21" t="s">
        <v>153</v>
      </c>
      <c r="H3110" s="21" t="s">
        <v>1165</v>
      </c>
      <c r="I3110" s="21" t="s">
        <v>3095</v>
      </c>
      <c r="J3110" s="21">
        <v>49.466666666666598</v>
      </c>
      <c r="K3110">
        <v>-124.8</v>
      </c>
      <c r="L3110">
        <v>40</v>
      </c>
      <c r="M3110" s="21" t="s">
        <v>3034</v>
      </c>
      <c r="O3110" s="21">
        <v>1981</v>
      </c>
      <c r="Q3110" s="21" t="s">
        <v>3086</v>
      </c>
      <c r="T3110" s="21">
        <v>-20</v>
      </c>
      <c r="U3110" s="21" t="s">
        <v>1218</v>
      </c>
      <c r="V3110" s="9" t="s">
        <v>1247</v>
      </c>
      <c r="W3110">
        <v>84</v>
      </c>
      <c r="X3110" s="9" t="s">
        <v>3088</v>
      </c>
      <c r="Y3110" t="s">
        <v>3197</v>
      </c>
      <c r="Z3110" s="22">
        <v>8</v>
      </c>
      <c r="AD3110" s="22" t="s">
        <v>1165</v>
      </c>
      <c r="AF3110" s="24" t="s">
        <v>153</v>
      </c>
      <c r="AG3110" t="s">
        <v>1160</v>
      </c>
      <c r="AH3110">
        <f t="shared" si="33"/>
        <v>4320</v>
      </c>
      <c r="AI3110" s="21" t="s">
        <v>153</v>
      </c>
      <c r="AJ3110" s="21" t="s">
        <v>1278</v>
      </c>
      <c r="AK3110" s="21">
        <v>40</v>
      </c>
      <c r="AL3110" s="21" t="s">
        <v>1321</v>
      </c>
      <c r="AM3110" s="21"/>
      <c r="AN3110" s="21">
        <v>3</v>
      </c>
      <c r="AO3110" s="21">
        <v>50</v>
      </c>
      <c r="AP3110" s="21">
        <v>30</v>
      </c>
      <c r="AQ3110" s="22" t="s">
        <v>3016</v>
      </c>
      <c r="AR3110" s="21" t="s">
        <v>1249</v>
      </c>
      <c r="AS3110" t="s">
        <v>3085</v>
      </c>
    </row>
    <row r="3111" spans="1:45" x14ac:dyDescent="0.2">
      <c r="A3111" s="21" t="s">
        <v>1685</v>
      </c>
      <c r="B3111" s="21" t="s">
        <v>1146</v>
      </c>
      <c r="C3111" s="21" t="s">
        <v>1149</v>
      </c>
      <c r="D3111" s="21" t="s">
        <v>420</v>
      </c>
      <c r="E3111" s="21" t="s">
        <v>3094</v>
      </c>
      <c r="G3111" s="21" t="s">
        <v>153</v>
      </c>
      <c r="H3111" s="21" t="s">
        <v>1165</v>
      </c>
      <c r="I3111" s="21" t="s">
        <v>3096</v>
      </c>
      <c r="J3111" s="21">
        <v>49</v>
      </c>
      <c r="K3111">
        <v>-121.5</v>
      </c>
      <c r="L3111">
        <v>1220</v>
      </c>
      <c r="M3111" s="21" t="s">
        <v>3034</v>
      </c>
      <c r="O3111" s="21">
        <v>1982</v>
      </c>
      <c r="Q3111" s="21" t="s">
        <v>3086</v>
      </c>
      <c r="T3111" s="21">
        <v>-20</v>
      </c>
      <c r="U3111" s="21" t="s">
        <v>1218</v>
      </c>
      <c r="V3111" s="9" t="s">
        <v>1247</v>
      </c>
      <c r="W3111">
        <v>56</v>
      </c>
      <c r="X3111" s="9" t="s">
        <v>3088</v>
      </c>
      <c r="Y3111" t="s">
        <v>3194</v>
      </c>
      <c r="Z3111" s="22">
        <v>8</v>
      </c>
      <c r="AD3111" s="22" t="s">
        <v>1165</v>
      </c>
      <c r="AF3111" s="24" t="s">
        <v>153</v>
      </c>
      <c r="AG3111" t="s">
        <v>1160</v>
      </c>
      <c r="AH3111">
        <f t="shared" si="33"/>
        <v>4320</v>
      </c>
      <c r="AI3111" s="21" t="s">
        <v>153</v>
      </c>
      <c r="AJ3111" s="21" t="s">
        <v>1148</v>
      </c>
      <c r="AK3111" s="21">
        <v>55</v>
      </c>
      <c r="AL3111" s="21" t="s">
        <v>1321</v>
      </c>
      <c r="AM3111" s="21"/>
      <c r="AN3111" s="21">
        <v>3</v>
      </c>
      <c r="AO3111" s="21">
        <v>50</v>
      </c>
      <c r="AP3111" s="21">
        <v>30</v>
      </c>
      <c r="AQ3111" s="22" t="s">
        <v>3016</v>
      </c>
      <c r="AR3111" s="21" t="s">
        <v>1249</v>
      </c>
      <c r="AS3111" t="s">
        <v>3085</v>
      </c>
    </row>
    <row r="3112" spans="1:45" x14ac:dyDescent="0.2">
      <c r="A3112" s="21" t="s">
        <v>1685</v>
      </c>
      <c r="B3112" s="21" t="s">
        <v>1146</v>
      </c>
      <c r="C3112" s="21" t="s">
        <v>1149</v>
      </c>
      <c r="D3112" s="21" t="s">
        <v>420</v>
      </c>
      <c r="E3112" s="21" t="s">
        <v>3094</v>
      </c>
      <c r="G3112" s="21" t="s">
        <v>153</v>
      </c>
      <c r="H3112" s="21" t="s">
        <v>1165</v>
      </c>
      <c r="I3112" s="21" t="s">
        <v>3096</v>
      </c>
      <c r="J3112" s="21">
        <v>49</v>
      </c>
      <c r="K3112">
        <v>-121.5</v>
      </c>
      <c r="L3112">
        <v>1220</v>
      </c>
      <c r="M3112" s="21" t="s">
        <v>3034</v>
      </c>
      <c r="O3112" s="21">
        <v>1982</v>
      </c>
      <c r="Q3112" s="21" t="s">
        <v>3086</v>
      </c>
      <c r="T3112" s="21">
        <v>-20</v>
      </c>
      <c r="U3112" s="21" t="s">
        <v>1218</v>
      </c>
      <c r="V3112" s="9" t="s">
        <v>1247</v>
      </c>
      <c r="W3112">
        <v>56</v>
      </c>
      <c r="X3112" s="9" t="s">
        <v>3088</v>
      </c>
      <c r="Y3112" t="s">
        <v>3194</v>
      </c>
      <c r="Z3112" s="22">
        <v>8</v>
      </c>
      <c r="AD3112" s="22" t="s">
        <v>1165</v>
      </c>
      <c r="AF3112" s="24" t="s">
        <v>153</v>
      </c>
      <c r="AG3112" t="s">
        <v>1160</v>
      </c>
      <c r="AH3112">
        <f t="shared" si="33"/>
        <v>4320</v>
      </c>
      <c r="AI3112" s="21" t="s">
        <v>153</v>
      </c>
      <c r="AJ3112" s="21" t="s">
        <v>1278</v>
      </c>
      <c r="AK3112" s="21">
        <v>31</v>
      </c>
      <c r="AL3112" s="21" t="s">
        <v>1321</v>
      </c>
      <c r="AM3112" s="21"/>
      <c r="AN3112" s="21">
        <v>3</v>
      </c>
      <c r="AO3112" s="21">
        <v>50</v>
      </c>
      <c r="AP3112" s="21">
        <v>30</v>
      </c>
      <c r="AQ3112" s="22" t="s">
        <v>3016</v>
      </c>
      <c r="AR3112" s="21" t="s">
        <v>1249</v>
      </c>
      <c r="AS3112" t="s">
        <v>3085</v>
      </c>
    </row>
    <row r="3113" spans="1:45" x14ac:dyDescent="0.2">
      <c r="A3113" s="21" t="s">
        <v>1685</v>
      </c>
      <c r="B3113" s="21" t="s">
        <v>1146</v>
      </c>
      <c r="C3113" s="21" t="s">
        <v>1149</v>
      </c>
      <c r="D3113" s="21" t="s">
        <v>420</v>
      </c>
      <c r="E3113" s="21" t="s">
        <v>3094</v>
      </c>
      <c r="G3113" s="21" t="s">
        <v>153</v>
      </c>
      <c r="H3113" s="21" t="s">
        <v>1165</v>
      </c>
      <c r="I3113" s="21" t="s">
        <v>3096</v>
      </c>
      <c r="J3113" s="21">
        <v>49</v>
      </c>
      <c r="K3113">
        <v>-121.5</v>
      </c>
      <c r="L3113">
        <v>1220</v>
      </c>
      <c r="M3113" s="21" t="s">
        <v>3034</v>
      </c>
      <c r="O3113" s="21">
        <v>1982</v>
      </c>
      <c r="Q3113" s="21" t="s">
        <v>3086</v>
      </c>
      <c r="T3113" s="21">
        <v>-20</v>
      </c>
      <c r="U3113" s="21" t="s">
        <v>1218</v>
      </c>
      <c r="V3113" s="9" t="s">
        <v>1247</v>
      </c>
      <c r="W3113">
        <f>12*7</f>
        <v>84</v>
      </c>
      <c r="X3113" s="9" t="s">
        <v>3088</v>
      </c>
      <c r="Y3113" t="s">
        <v>3195</v>
      </c>
      <c r="Z3113" s="22">
        <v>8</v>
      </c>
      <c r="AD3113" s="22" t="s">
        <v>1165</v>
      </c>
      <c r="AF3113" s="24" t="s">
        <v>153</v>
      </c>
      <c r="AG3113" t="s">
        <v>1160</v>
      </c>
      <c r="AH3113">
        <f t="shared" si="33"/>
        <v>4320</v>
      </c>
      <c r="AI3113" s="21" t="s">
        <v>153</v>
      </c>
      <c r="AJ3113" s="21" t="s">
        <v>1148</v>
      </c>
      <c r="AK3113" s="21">
        <v>37</v>
      </c>
      <c r="AL3113" s="21" t="s">
        <v>1321</v>
      </c>
      <c r="AM3113" s="21"/>
      <c r="AN3113" s="21">
        <v>3</v>
      </c>
      <c r="AO3113" s="21">
        <v>50</v>
      </c>
      <c r="AP3113" s="21">
        <v>30</v>
      </c>
      <c r="AQ3113" s="22" t="s">
        <v>3016</v>
      </c>
      <c r="AR3113" s="21" t="s">
        <v>1249</v>
      </c>
      <c r="AS3113" t="s">
        <v>3085</v>
      </c>
    </row>
    <row r="3114" spans="1:45" x14ac:dyDescent="0.2">
      <c r="A3114" s="21" t="s">
        <v>1685</v>
      </c>
      <c r="B3114" s="21" t="s">
        <v>1146</v>
      </c>
      <c r="C3114" s="21" t="s">
        <v>1149</v>
      </c>
      <c r="D3114" s="21" t="s">
        <v>420</v>
      </c>
      <c r="E3114" s="21" t="s">
        <v>3094</v>
      </c>
      <c r="G3114" s="21" t="s">
        <v>153</v>
      </c>
      <c r="H3114" s="21" t="s">
        <v>1165</v>
      </c>
      <c r="I3114" s="21" t="s">
        <v>3096</v>
      </c>
      <c r="J3114" s="21">
        <v>49</v>
      </c>
      <c r="K3114">
        <v>-121.5</v>
      </c>
      <c r="L3114">
        <v>1220</v>
      </c>
      <c r="M3114" s="21" t="s">
        <v>3034</v>
      </c>
      <c r="O3114" s="21">
        <v>1982</v>
      </c>
      <c r="Q3114" s="21" t="s">
        <v>3086</v>
      </c>
      <c r="T3114" s="21">
        <v>-20</v>
      </c>
      <c r="U3114" s="21" t="s">
        <v>1218</v>
      </c>
      <c r="V3114" s="9" t="s">
        <v>1247</v>
      </c>
      <c r="W3114">
        <v>84</v>
      </c>
      <c r="X3114" s="9" t="s">
        <v>3088</v>
      </c>
      <c r="Y3114" t="s">
        <v>3195</v>
      </c>
      <c r="Z3114" s="22">
        <v>8</v>
      </c>
      <c r="AD3114" s="22" t="s">
        <v>1165</v>
      </c>
      <c r="AF3114" s="24" t="s">
        <v>153</v>
      </c>
      <c r="AG3114" t="s">
        <v>1160</v>
      </c>
      <c r="AH3114">
        <f t="shared" si="33"/>
        <v>4320</v>
      </c>
      <c r="AI3114" s="21" t="s">
        <v>153</v>
      </c>
      <c r="AJ3114" s="21" t="s">
        <v>1278</v>
      </c>
      <c r="AK3114" s="21">
        <v>21</v>
      </c>
      <c r="AL3114" s="21" t="s">
        <v>1321</v>
      </c>
      <c r="AM3114" s="21"/>
      <c r="AN3114" s="21">
        <v>3</v>
      </c>
      <c r="AO3114" s="21">
        <v>50</v>
      </c>
      <c r="AP3114" s="21">
        <v>30</v>
      </c>
      <c r="AQ3114" s="22" t="s">
        <v>3016</v>
      </c>
      <c r="AR3114" s="21" t="s">
        <v>1249</v>
      </c>
      <c r="AS3114" t="s">
        <v>3085</v>
      </c>
    </row>
    <row r="3115" spans="1:45" x14ac:dyDescent="0.2">
      <c r="A3115" s="21" t="s">
        <v>1685</v>
      </c>
      <c r="B3115" s="21" t="s">
        <v>1146</v>
      </c>
      <c r="C3115" s="21" t="s">
        <v>1149</v>
      </c>
      <c r="D3115" s="21" t="s">
        <v>420</v>
      </c>
      <c r="E3115" s="21" t="s">
        <v>3083</v>
      </c>
      <c r="G3115" s="21" t="s">
        <v>153</v>
      </c>
      <c r="H3115" s="21" t="s">
        <v>1165</v>
      </c>
      <c r="I3115" s="21" t="s">
        <v>3084</v>
      </c>
      <c r="J3115" s="21">
        <v>49.133333333333297</v>
      </c>
      <c r="K3115">
        <v>-122.75</v>
      </c>
      <c r="L3115">
        <v>1415</v>
      </c>
      <c r="M3115" s="21" t="s">
        <v>3034</v>
      </c>
      <c r="O3115" s="21">
        <v>1985</v>
      </c>
      <c r="Q3115" s="21" t="s">
        <v>3086</v>
      </c>
      <c r="T3115" s="21">
        <v>-20</v>
      </c>
      <c r="U3115" s="21" t="s">
        <v>1218</v>
      </c>
      <c r="V3115" s="9" t="s">
        <v>1247</v>
      </c>
      <c r="W3115" s="21">
        <v>56</v>
      </c>
      <c r="X3115" s="9" t="s">
        <v>3088</v>
      </c>
      <c r="Y3115" t="s">
        <v>3210</v>
      </c>
      <c r="Z3115" s="22">
        <v>8</v>
      </c>
      <c r="AD3115" s="22" t="s">
        <v>1165</v>
      </c>
      <c r="AF3115" s="24" t="s">
        <v>153</v>
      </c>
      <c r="AG3115" t="s">
        <v>1160</v>
      </c>
      <c r="AH3115">
        <f t="shared" si="33"/>
        <v>4320</v>
      </c>
      <c r="AI3115" s="21" t="s">
        <v>153</v>
      </c>
      <c r="AJ3115" s="21" t="s">
        <v>1148</v>
      </c>
      <c r="AK3115" s="21">
        <v>0</v>
      </c>
      <c r="AL3115" s="21" t="s">
        <v>1321</v>
      </c>
      <c r="AM3115" s="21">
        <v>0</v>
      </c>
      <c r="AN3115" s="21">
        <v>3</v>
      </c>
      <c r="AO3115" s="21">
        <v>50</v>
      </c>
      <c r="AP3115" s="21">
        <v>3</v>
      </c>
      <c r="AQ3115" s="22" t="s">
        <v>3016</v>
      </c>
      <c r="AR3115" s="21" t="s">
        <v>1279</v>
      </c>
      <c r="AS3115" t="s">
        <v>3085</v>
      </c>
    </row>
    <row r="3116" spans="1:45" x14ac:dyDescent="0.2">
      <c r="A3116" s="21" t="s">
        <v>1685</v>
      </c>
      <c r="B3116" s="21" t="s">
        <v>1146</v>
      </c>
      <c r="C3116" s="21" t="s">
        <v>1149</v>
      </c>
      <c r="D3116" s="21" t="s">
        <v>420</v>
      </c>
      <c r="E3116" s="21" t="s">
        <v>3083</v>
      </c>
      <c r="G3116" s="21" t="s">
        <v>153</v>
      </c>
      <c r="H3116" s="21" t="s">
        <v>1165</v>
      </c>
      <c r="I3116" s="21" t="s">
        <v>3084</v>
      </c>
      <c r="J3116" s="21">
        <v>49.133333333333297</v>
      </c>
      <c r="K3116">
        <v>-122.75</v>
      </c>
      <c r="L3116">
        <v>1415</v>
      </c>
      <c r="M3116" s="21" t="s">
        <v>3034</v>
      </c>
      <c r="O3116" s="21">
        <v>1985</v>
      </c>
      <c r="Q3116" s="21" t="s">
        <v>3086</v>
      </c>
      <c r="T3116" s="21">
        <v>-20</v>
      </c>
      <c r="U3116" s="21" t="s">
        <v>1218</v>
      </c>
      <c r="V3116" s="9" t="s">
        <v>1247</v>
      </c>
      <c r="W3116" s="21">
        <v>56</v>
      </c>
      <c r="X3116" s="9" t="s">
        <v>3088</v>
      </c>
      <c r="Y3116" t="s">
        <v>3210</v>
      </c>
      <c r="Z3116" s="22">
        <v>8</v>
      </c>
      <c r="AD3116" s="22" t="s">
        <v>1165</v>
      </c>
      <c r="AF3116" s="24" t="s">
        <v>153</v>
      </c>
      <c r="AG3116" t="s">
        <v>1160</v>
      </c>
      <c r="AH3116">
        <f t="shared" si="33"/>
        <v>4320</v>
      </c>
      <c r="AI3116" s="21" t="s">
        <v>153</v>
      </c>
      <c r="AJ3116" s="21" t="s">
        <v>1148</v>
      </c>
      <c r="AK3116" s="21">
        <v>0</v>
      </c>
      <c r="AL3116" s="21" t="s">
        <v>1321</v>
      </c>
      <c r="AM3116" s="21">
        <v>0</v>
      </c>
      <c r="AN3116" s="21">
        <v>3</v>
      </c>
      <c r="AO3116" s="21">
        <v>50</v>
      </c>
      <c r="AP3116" s="21">
        <v>6</v>
      </c>
      <c r="AQ3116" s="22" t="s">
        <v>3016</v>
      </c>
      <c r="AR3116" s="21" t="s">
        <v>1279</v>
      </c>
      <c r="AS3116" t="s">
        <v>3085</v>
      </c>
    </row>
    <row r="3117" spans="1:45" x14ac:dyDescent="0.2">
      <c r="A3117" s="21" t="s">
        <v>1685</v>
      </c>
      <c r="B3117" s="21" t="s">
        <v>1146</v>
      </c>
      <c r="C3117" s="21" t="s">
        <v>1149</v>
      </c>
      <c r="D3117" s="21" t="s">
        <v>420</v>
      </c>
      <c r="E3117" s="21" t="s">
        <v>3083</v>
      </c>
      <c r="G3117" s="21" t="s">
        <v>153</v>
      </c>
      <c r="H3117" s="21" t="s">
        <v>1165</v>
      </c>
      <c r="I3117" s="21" t="s">
        <v>3084</v>
      </c>
      <c r="J3117" s="21">
        <v>49.133333333333297</v>
      </c>
      <c r="K3117">
        <v>-122.75</v>
      </c>
      <c r="L3117">
        <v>1415</v>
      </c>
      <c r="M3117" s="21" t="s">
        <v>3034</v>
      </c>
      <c r="O3117" s="21">
        <v>1985</v>
      </c>
      <c r="Q3117" s="21" t="s">
        <v>3086</v>
      </c>
      <c r="T3117" s="21">
        <v>-20</v>
      </c>
      <c r="U3117" s="21" t="s">
        <v>1218</v>
      </c>
      <c r="V3117" s="9" t="s">
        <v>1247</v>
      </c>
      <c r="W3117" s="21">
        <v>56</v>
      </c>
      <c r="X3117" s="9" t="s">
        <v>3088</v>
      </c>
      <c r="Y3117" t="s">
        <v>3210</v>
      </c>
      <c r="Z3117" s="22">
        <v>8</v>
      </c>
      <c r="AD3117" s="22" t="s">
        <v>1165</v>
      </c>
      <c r="AF3117" s="24" t="s">
        <v>153</v>
      </c>
      <c r="AG3117" t="s">
        <v>1160</v>
      </c>
      <c r="AH3117">
        <f t="shared" si="33"/>
        <v>4320</v>
      </c>
      <c r="AI3117" s="21" t="s">
        <v>153</v>
      </c>
      <c r="AJ3117" s="21" t="s">
        <v>1148</v>
      </c>
      <c r="AK3117" s="21">
        <v>2.8929999999999998</v>
      </c>
      <c r="AL3117" s="21" t="s">
        <v>1321</v>
      </c>
      <c r="AM3117" s="21">
        <v>0</v>
      </c>
      <c r="AN3117" s="21">
        <v>3</v>
      </c>
      <c r="AO3117" s="21">
        <v>50</v>
      </c>
      <c r="AP3117" s="21">
        <v>9</v>
      </c>
      <c r="AQ3117" s="22" t="s">
        <v>3016</v>
      </c>
      <c r="AR3117" s="21" t="s">
        <v>1279</v>
      </c>
      <c r="AS3117" t="s">
        <v>3085</v>
      </c>
    </row>
    <row r="3118" spans="1:45" x14ac:dyDescent="0.2">
      <c r="A3118" s="21" t="s">
        <v>1685</v>
      </c>
      <c r="B3118" s="21" t="s">
        <v>1146</v>
      </c>
      <c r="C3118" s="21" t="s">
        <v>1149</v>
      </c>
      <c r="D3118" s="21" t="s">
        <v>420</v>
      </c>
      <c r="E3118" s="21" t="s">
        <v>3083</v>
      </c>
      <c r="G3118" s="21" t="s">
        <v>153</v>
      </c>
      <c r="H3118" s="21" t="s">
        <v>1165</v>
      </c>
      <c r="I3118" s="21" t="s">
        <v>3084</v>
      </c>
      <c r="J3118" s="21">
        <v>49.133333333333297</v>
      </c>
      <c r="K3118">
        <v>-122.75</v>
      </c>
      <c r="L3118">
        <v>1415</v>
      </c>
      <c r="M3118" s="21" t="s">
        <v>3034</v>
      </c>
      <c r="O3118" s="21">
        <v>1985</v>
      </c>
      <c r="Q3118" s="21" t="s">
        <v>3086</v>
      </c>
      <c r="T3118" s="21">
        <v>-20</v>
      </c>
      <c r="U3118" s="21" t="s">
        <v>1218</v>
      </c>
      <c r="V3118" s="9" t="s">
        <v>1247</v>
      </c>
      <c r="W3118" s="21">
        <v>56</v>
      </c>
      <c r="X3118" s="9" t="s">
        <v>3088</v>
      </c>
      <c r="Y3118" t="s">
        <v>3210</v>
      </c>
      <c r="Z3118" s="22">
        <v>8</v>
      </c>
      <c r="AD3118" s="22" t="s">
        <v>1165</v>
      </c>
      <c r="AF3118" s="24" t="s">
        <v>153</v>
      </c>
      <c r="AG3118" t="s">
        <v>1160</v>
      </c>
      <c r="AH3118">
        <f t="shared" si="33"/>
        <v>4320</v>
      </c>
      <c r="AI3118" s="21" t="s">
        <v>153</v>
      </c>
      <c r="AJ3118" s="21" t="s">
        <v>1148</v>
      </c>
      <c r="AK3118" s="21">
        <v>19.664999999999999</v>
      </c>
      <c r="AL3118" s="21" t="s">
        <v>1321</v>
      </c>
      <c r="AM3118" s="21">
        <v>0</v>
      </c>
      <c r="AN3118" s="21">
        <v>3</v>
      </c>
      <c r="AO3118" s="21">
        <v>50</v>
      </c>
      <c r="AP3118" s="21">
        <v>12</v>
      </c>
      <c r="AQ3118" s="22" t="s">
        <v>3016</v>
      </c>
      <c r="AR3118" s="21" t="s">
        <v>1279</v>
      </c>
      <c r="AS3118" t="s">
        <v>3085</v>
      </c>
    </row>
    <row r="3119" spans="1:45" x14ac:dyDescent="0.2">
      <c r="A3119" s="21" t="s">
        <v>1685</v>
      </c>
      <c r="B3119" s="21" t="s">
        <v>1146</v>
      </c>
      <c r="C3119" s="21" t="s">
        <v>1149</v>
      </c>
      <c r="D3119" s="21" t="s">
        <v>420</v>
      </c>
      <c r="E3119" s="21" t="s">
        <v>3083</v>
      </c>
      <c r="G3119" s="21" t="s">
        <v>153</v>
      </c>
      <c r="H3119" s="21" t="s">
        <v>1165</v>
      </c>
      <c r="I3119" s="21" t="s">
        <v>3084</v>
      </c>
      <c r="J3119" s="21">
        <v>49.133333333333297</v>
      </c>
      <c r="K3119">
        <v>-122.75</v>
      </c>
      <c r="L3119">
        <v>1415</v>
      </c>
      <c r="M3119" s="21" t="s">
        <v>3034</v>
      </c>
      <c r="O3119" s="21">
        <v>1985</v>
      </c>
      <c r="Q3119" s="21" t="s">
        <v>3086</v>
      </c>
      <c r="T3119" s="21">
        <v>-20</v>
      </c>
      <c r="U3119" s="21" t="s">
        <v>1218</v>
      </c>
      <c r="V3119" s="9" t="s">
        <v>1247</v>
      </c>
      <c r="W3119" s="21">
        <v>56</v>
      </c>
      <c r="X3119" s="9" t="s">
        <v>3088</v>
      </c>
      <c r="Y3119" t="s">
        <v>3210</v>
      </c>
      <c r="Z3119" s="22">
        <v>8</v>
      </c>
      <c r="AD3119" s="22" t="s">
        <v>1165</v>
      </c>
      <c r="AF3119" s="24" t="s">
        <v>153</v>
      </c>
      <c r="AG3119" t="s">
        <v>1160</v>
      </c>
      <c r="AH3119">
        <f t="shared" si="33"/>
        <v>4320</v>
      </c>
      <c r="AI3119" s="21" t="s">
        <v>153</v>
      </c>
      <c r="AJ3119" s="21" t="s">
        <v>1148</v>
      </c>
      <c r="AK3119" s="21">
        <v>30.062999999999999</v>
      </c>
      <c r="AL3119" s="21" t="s">
        <v>1321</v>
      </c>
      <c r="AM3119" s="21">
        <v>0</v>
      </c>
      <c r="AN3119" s="21">
        <v>3</v>
      </c>
      <c r="AO3119" s="21">
        <v>50</v>
      </c>
      <c r="AP3119" s="21">
        <v>15</v>
      </c>
      <c r="AQ3119" s="22" t="s">
        <v>3016</v>
      </c>
      <c r="AR3119" s="21" t="s">
        <v>1279</v>
      </c>
      <c r="AS3119" t="s">
        <v>3085</v>
      </c>
    </row>
    <row r="3120" spans="1:45" x14ac:dyDescent="0.2">
      <c r="A3120" s="21" t="s">
        <v>1685</v>
      </c>
      <c r="B3120" s="21" t="s">
        <v>1146</v>
      </c>
      <c r="C3120" s="21" t="s">
        <v>1149</v>
      </c>
      <c r="D3120" s="21" t="s">
        <v>420</v>
      </c>
      <c r="E3120" s="21" t="s">
        <v>3083</v>
      </c>
      <c r="G3120" s="21" t="s">
        <v>153</v>
      </c>
      <c r="H3120" s="21" t="s">
        <v>1165</v>
      </c>
      <c r="I3120" s="21" t="s">
        <v>3084</v>
      </c>
      <c r="J3120" s="21">
        <v>49.133333333333297</v>
      </c>
      <c r="K3120">
        <v>-122.75</v>
      </c>
      <c r="L3120">
        <v>1415</v>
      </c>
      <c r="M3120" s="21" t="s">
        <v>3034</v>
      </c>
      <c r="O3120" s="21">
        <v>1985</v>
      </c>
      <c r="Q3120" s="21" t="s">
        <v>3086</v>
      </c>
      <c r="T3120" s="21">
        <v>-20</v>
      </c>
      <c r="U3120" s="21" t="s">
        <v>1218</v>
      </c>
      <c r="V3120" s="9" t="s">
        <v>1247</v>
      </c>
      <c r="W3120" s="21">
        <v>56</v>
      </c>
      <c r="X3120" s="9" t="s">
        <v>3088</v>
      </c>
      <c r="Y3120" t="s">
        <v>3210</v>
      </c>
      <c r="Z3120" s="22">
        <v>8</v>
      </c>
      <c r="AD3120" s="22" t="s">
        <v>1165</v>
      </c>
      <c r="AF3120" s="24" t="s">
        <v>153</v>
      </c>
      <c r="AG3120" t="s">
        <v>1160</v>
      </c>
      <c r="AH3120">
        <f t="shared" ref="AH3120:AH3174" si="34">24*60*3</f>
        <v>4320</v>
      </c>
      <c r="AI3120" s="21" t="s">
        <v>153</v>
      </c>
      <c r="AJ3120" s="21" t="s">
        <v>1148</v>
      </c>
      <c r="AK3120" s="21">
        <v>48.176000000000002</v>
      </c>
      <c r="AL3120" s="21" t="s">
        <v>1321</v>
      </c>
      <c r="AM3120" s="21">
        <v>0</v>
      </c>
      <c r="AN3120" s="21">
        <v>3</v>
      </c>
      <c r="AO3120" s="21">
        <v>50</v>
      </c>
      <c r="AP3120" s="21">
        <v>18</v>
      </c>
      <c r="AQ3120" s="22" t="s">
        <v>3016</v>
      </c>
      <c r="AR3120" s="21" t="s">
        <v>1279</v>
      </c>
      <c r="AS3120" t="s">
        <v>3085</v>
      </c>
    </row>
    <row r="3121" spans="1:45" x14ac:dyDescent="0.2">
      <c r="A3121" s="21" t="s">
        <v>1685</v>
      </c>
      <c r="B3121" s="21" t="s">
        <v>1146</v>
      </c>
      <c r="C3121" s="21" t="s">
        <v>1149</v>
      </c>
      <c r="D3121" s="21" t="s">
        <v>420</v>
      </c>
      <c r="E3121" s="21" t="s">
        <v>3083</v>
      </c>
      <c r="G3121" s="21" t="s">
        <v>153</v>
      </c>
      <c r="H3121" s="21" t="s">
        <v>1165</v>
      </c>
      <c r="I3121" s="21" t="s">
        <v>3084</v>
      </c>
      <c r="J3121" s="21">
        <v>49.133333333333297</v>
      </c>
      <c r="K3121">
        <v>-122.75</v>
      </c>
      <c r="L3121">
        <v>1415</v>
      </c>
      <c r="M3121" s="21" t="s">
        <v>3034</v>
      </c>
      <c r="O3121" s="21">
        <v>1985</v>
      </c>
      <c r="Q3121" s="21" t="s">
        <v>3086</v>
      </c>
      <c r="T3121" s="21">
        <v>-20</v>
      </c>
      <c r="U3121" s="21" t="s">
        <v>1218</v>
      </c>
      <c r="V3121" s="9" t="s">
        <v>1247</v>
      </c>
      <c r="W3121" s="21">
        <v>56</v>
      </c>
      <c r="X3121" s="9" t="s">
        <v>3088</v>
      </c>
      <c r="Y3121" t="s">
        <v>3210</v>
      </c>
      <c r="Z3121" s="22">
        <v>8</v>
      </c>
      <c r="AD3121" s="22" t="s">
        <v>1165</v>
      </c>
      <c r="AF3121" s="24" t="s">
        <v>153</v>
      </c>
      <c r="AG3121" t="s">
        <v>1160</v>
      </c>
      <c r="AH3121">
        <f t="shared" si="34"/>
        <v>4320</v>
      </c>
      <c r="AI3121" s="21" t="s">
        <v>153</v>
      </c>
      <c r="AJ3121" s="21" t="s">
        <v>1148</v>
      </c>
      <c r="AK3121" s="21">
        <v>55.555999999999997</v>
      </c>
      <c r="AL3121" s="21" t="s">
        <v>1321</v>
      </c>
      <c r="AM3121" s="21">
        <v>0</v>
      </c>
      <c r="AN3121" s="21">
        <v>3</v>
      </c>
      <c r="AO3121" s="21">
        <v>50</v>
      </c>
      <c r="AP3121" s="21">
        <v>21</v>
      </c>
      <c r="AQ3121" s="22" t="s">
        <v>3016</v>
      </c>
      <c r="AR3121" s="21" t="s">
        <v>1279</v>
      </c>
      <c r="AS3121" t="s">
        <v>3085</v>
      </c>
    </row>
    <row r="3122" spans="1:45" x14ac:dyDescent="0.2">
      <c r="A3122" s="21" t="s">
        <v>1685</v>
      </c>
      <c r="B3122" s="21" t="s">
        <v>1146</v>
      </c>
      <c r="C3122" s="21" t="s">
        <v>1149</v>
      </c>
      <c r="D3122" s="21" t="s">
        <v>420</v>
      </c>
      <c r="E3122" s="21" t="s">
        <v>3083</v>
      </c>
      <c r="G3122" s="21" t="s">
        <v>153</v>
      </c>
      <c r="H3122" s="21" t="s">
        <v>1165</v>
      </c>
      <c r="I3122" s="21" t="s">
        <v>3084</v>
      </c>
      <c r="J3122" s="21">
        <v>49.133333333333297</v>
      </c>
      <c r="K3122">
        <v>-122.75</v>
      </c>
      <c r="L3122">
        <v>1415</v>
      </c>
      <c r="M3122" s="21" t="s">
        <v>3034</v>
      </c>
      <c r="O3122" s="21">
        <v>1985</v>
      </c>
      <c r="Q3122" s="21" t="s">
        <v>3086</v>
      </c>
      <c r="T3122" s="21">
        <v>-20</v>
      </c>
      <c r="U3122" s="21" t="s">
        <v>1218</v>
      </c>
      <c r="V3122" s="9" t="s">
        <v>1247</v>
      </c>
      <c r="W3122" s="21">
        <v>56</v>
      </c>
      <c r="X3122" s="9" t="s">
        <v>3088</v>
      </c>
      <c r="Y3122" t="s">
        <v>3210</v>
      </c>
      <c r="Z3122" s="22">
        <v>8</v>
      </c>
      <c r="AD3122" s="22" t="s">
        <v>1165</v>
      </c>
      <c r="AF3122" s="24" t="s">
        <v>153</v>
      </c>
      <c r="AG3122" t="s">
        <v>1160</v>
      </c>
      <c r="AH3122">
        <f t="shared" si="34"/>
        <v>4320</v>
      </c>
      <c r="AI3122" s="21" t="s">
        <v>153</v>
      </c>
      <c r="AJ3122" s="21" t="s">
        <v>1148</v>
      </c>
      <c r="AK3122" s="21">
        <v>60.921999999999997</v>
      </c>
      <c r="AL3122" s="21" t="s">
        <v>1321</v>
      </c>
      <c r="AM3122" s="21">
        <v>0</v>
      </c>
      <c r="AN3122" s="21">
        <v>3</v>
      </c>
      <c r="AO3122" s="21">
        <v>50</v>
      </c>
      <c r="AP3122" s="21">
        <v>24</v>
      </c>
      <c r="AQ3122" s="22" t="s">
        <v>3016</v>
      </c>
      <c r="AR3122" s="21" t="s">
        <v>1279</v>
      </c>
      <c r="AS3122" t="s">
        <v>3085</v>
      </c>
    </row>
    <row r="3123" spans="1:45" x14ac:dyDescent="0.2">
      <c r="A3123" s="21" t="s">
        <v>1685</v>
      </c>
      <c r="B3123" s="21" t="s">
        <v>1146</v>
      </c>
      <c r="C3123" s="21" t="s">
        <v>1149</v>
      </c>
      <c r="D3123" s="21" t="s">
        <v>420</v>
      </c>
      <c r="E3123" s="21" t="s">
        <v>3083</v>
      </c>
      <c r="G3123" s="21" t="s">
        <v>153</v>
      </c>
      <c r="H3123" s="21" t="s">
        <v>1165</v>
      </c>
      <c r="I3123" s="21" t="s">
        <v>3084</v>
      </c>
      <c r="J3123" s="21">
        <v>49.133333333333297</v>
      </c>
      <c r="K3123">
        <v>-122.75</v>
      </c>
      <c r="L3123">
        <v>1415</v>
      </c>
      <c r="M3123" s="21" t="s">
        <v>3034</v>
      </c>
      <c r="O3123" s="21">
        <v>1985</v>
      </c>
      <c r="Q3123" s="21" t="s">
        <v>3086</v>
      </c>
      <c r="T3123" s="21">
        <v>-20</v>
      </c>
      <c r="U3123" s="21" t="s">
        <v>1218</v>
      </c>
      <c r="V3123" s="9" t="s">
        <v>1247</v>
      </c>
      <c r="W3123" s="21">
        <v>56</v>
      </c>
      <c r="X3123" s="9" t="s">
        <v>3088</v>
      </c>
      <c r="Y3123" t="s">
        <v>3210</v>
      </c>
      <c r="Z3123" s="22">
        <v>8</v>
      </c>
      <c r="AD3123" s="22" t="s">
        <v>1165</v>
      </c>
      <c r="AF3123" s="24" t="s">
        <v>153</v>
      </c>
      <c r="AG3123" t="s">
        <v>1160</v>
      </c>
      <c r="AH3123">
        <f t="shared" si="34"/>
        <v>4320</v>
      </c>
      <c r="AI3123" s="21" t="s">
        <v>153</v>
      </c>
      <c r="AJ3123" s="21" t="s">
        <v>1148</v>
      </c>
      <c r="AK3123" s="21">
        <v>61.593000000000004</v>
      </c>
      <c r="AL3123" s="21" t="s">
        <v>1321</v>
      </c>
      <c r="AM3123" s="21">
        <v>0</v>
      </c>
      <c r="AN3123" s="21">
        <v>3</v>
      </c>
      <c r="AO3123" s="21">
        <v>50</v>
      </c>
      <c r="AP3123" s="21">
        <v>27</v>
      </c>
      <c r="AQ3123" s="22" t="s">
        <v>3016</v>
      </c>
      <c r="AR3123" s="21" t="s">
        <v>1279</v>
      </c>
      <c r="AS3123" t="s">
        <v>3085</v>
      </c>
    </row>
    <row r="3124" spans="1:45" x14ac:dyDescent="0.2">
      <c r="A3124" s="21" t="s">
        <v>1685</v>
      </c>
      <c r="B3124" s="21" t="s">
        <v>1146</v>
      </c>
      <c r="C3124" s="21" t="s">
        <v>1149</v>
      </c>
      <c r="D3124" s="21" t="s">
        <v>420</v>
      </c>
      <c r="E3124" s="21" t="s">
        <v>3083</v>
      </c>
      <c r="G3124" s="21" t="s">
        <v>153</v>
      </c>
      <c r="H3124" s="21" t="s">
        <v>1165</v>
      </c>
      <c r="I3124" s="21" t="s">
        <v>3084</v>
      </c>
      <c r="J3124" s="21">
        <v>49.133333333333297</v>
      </c>
      <c r="K3124">
        <v>-122.75</v>
      </c>
      <c r="L3124">
        <v>1415</v>
      </c>
      <c r="M3124" s="21" t="s">
        <v>3034</v>
      </c>
      <c r="O3124" s="21">
        <v>1985</v>
      </c>
      <c r="Q3124" s="21" t="s">
        <v>3086</v>
      </c>
      <c r="T3124" s="21">
        <v>-20</v>
      </c>
      <c r="U3124" s="21" t="s">
        <v>1218</v>
      </c>
      <c r="V3124" s="9" t="s">
        <v>1247</v>
      </c>
      <c r="W3124" s="21">
        <v>56</v>
      </c>
      <c r="X3124" s="9" t="s">
        <v>3088</v>
      </c>
      <c r="Y3124" t="s">
        <v>3210</v>
      </c>
      <c r="Z3124" s="22">
        <v>8</v>
      </c>
      <c r="AD3124" s="22" t="s">
        <v>1165</v>
      </c>
      <c r="AF3124" s="24" t="s">
        <v>153</v>
      </c>
      <c r="AG3124" t="s">
        <v>1160</v>
      </c>
      <c r="AH3124">
        <f t="shared" si="34"/>
        <v>4320</v>
      </c>
      <c r="AI3124" s="21" t="s">
        <v>153</v>
      </c>
      <c r="AJ3124" s="21" t="s">
        <v>1148</v>
      </c>
      <c r="AK3124" s="21">
        <v>62.935000000000002</v>
      </c>
      <c r="AL3124" s="21" t="s">
        <v>1321</v>
      </c>
      <c r="AM3124" s="21">
        <v>0</v>
      </c>
      <c r="AN3124" s="21">
        <v>3</v>
      </c>
      <c r="AO3124" s="21">
        <v>50</v>
      </c>
      <c r="AP3124" s="21">
        <v>30</v>
      </c>
      <c r="AQ3124" s="22" t="s">
        <v>3016</v>
      </c>
      <c r="AR3124" s="21" t="s">
        <v>1279</v>
      </c>
      <c r="AS3124" t="s">
        <v>3085</v>
      </c>
    </row>
    <row r="3125" spans="1:45" x14ac:dyDescent="0.2">
      <c r="A3125" s="21" t="s">
        <v>1685</v>
      </c>
      <c r="B3125" s="21" t="s">
        <v>1146</v>
      </c>
      <c r="C3125" s="21" t="s">
        <v>1149</v>
      </c>
      <c r="D3125" s="21" t="s">
        <v>420</v>
      </c>
      <c r="E3125" s="21" t="s">
        <v>3083</v>
      </c>
      <c r="G3125" s="21" t="s">
        <v>153</v>
      </c>
      <c r="H3125" s="21" t="s">
        <v>1165</v>
      </c>
      <c r="I3125" s="21" t="s">
        <v>3084</v>
      </c>
      <c r="J3125" s="21">
        <v>49.133333333333297</v>
      </c>
      <c r="K3125">
        <v>-122.75</v>
      </c>
      <c r="L3125">
        <v>1415</v>
      </c>
      <c r="M3125" s="21" t="s">
        <v>3034</v>
      </c>
      <c r="O3125" s="21">
        <v>1985</v>
      </c>
      <c r="Q3125" s="21" t="s">
        <v>3086</v>
      </c>
      <c r="T3125" s="21">
        <v>-20</v>
      </c>
      <c r="U3125" s="21" t="s">
        <v>1218</v>
      </c>
      <c r="V3125" s="9" t="s">
        <v>1247</v>
      </c>
      <c r="W3125" s="21">
        <v>56</v>
      </c>
      <c r="X3125" s="9" t="s">
        <v>3088</v>
      </c>
      <c r="Y3125" t="s">
        <v>3211</v>
      </c>
      <c r="Z3125" s="22">
        <v>8</v>
      </c>
      <c r="AD3125" s="22" t="s">
        <v>1165</v>
      </c>
      <c r="AF3125" s="24" t="s">
        <v>153</v>
      </c>
      <c r="AG3125" t="s">
        <v>1160</v>
      </c>
      <c r="AH3125">
        <f t="shared" si="34"/>
        <v>4320</v>
      </c>
      <c r="AI3125" s="21" t="s">
        <v>153</v>
      </c>
      <c r="AJ3125" s="21" t="s">
        <v>1148</v>
      </c>
      <c r="AK3125" s="21">
        <v>0</v>
      </c>
      <c r="AL3125" s="21" t="s">
        <v>1321</v>
      </c>
      <c r="AM3125" s="21">
        <v>0</v>
      </c>
      <c r="AN3125" s="21">
        <v>3</v>
      </c>
      <c r="AO3125" s="21">
        <v>50</v>
      </c>
      <c r="AP3125" s="21">
        <v>3</v>
      </c>
      <c r="AQ3125" s="22" t="s">
        <v>3016</v>
      </c>
      <c r="AR3125" s="21" t="s">
        <v>1279</v>
      </c>
      <c r="AS3125" t="s">
        <v>3085</v>
      </c>
    </row>
    <row r="3126" spans="1:45" x14ac:dyDescent="0.2">
      <c r="A3126" s="21" t="s">
        <v>1685</v>
      </c>
      <c r="B3126" s="21" t="s">
        <v>1146</v>
      </c>
      <c r="C3126" s="21" t="s">
        <v>1149</v>
      </c>
      <c r="D3126" s="21" t="s">
        <v>420</v>
      </c>
      <c r="E3126" s="21" t="s">
        <v>3083</v>
      </c>
      <c r="G3126" s="21" t="s">
        <v>153</v>
      </c>
      <c r="H3126" s="21" t="s">
        <v>1165</v>
      </c>
      <c r="I3126" s="21" t="s">
        <v>3084</v>
      </c>
      <c r="J3126" s="21">
        <v>49.133333333333297</v>
      </c>
      <c r="K3126">
        <v>-122.75</v>
      </c>
      <c r="L3126">
        <v>1415</v>
      </c>
      <c r="M3126" s="21" t="s">
        <v>3034</v>
      </c>
      <c r="O3126" s="21">
        <v>1985</v>
      </c>
      <c r="Q3126" s="21" t="s">
        <v>3086</v>
      </c>
      <c r="T3126" s="21">
        <v>-20</v>
      </c>
      <c r="U3126" s="21" t="s">
        <v>1218</v>
      </c>
      <c r="V3126" s="9" t="s">
        <v>1247</v>
      </c>
      <c r="W3126" s="21">
        <v>56</v>
      </c>
      <c r="X3126" s="9" t="s">
        <v>3088</v>
      </c>
      <c r="Y3126" t="s">
        <v>3211</v>
      </c>
      <c r="Z3126" s="22">
        <v>8</v>
      </c>
      <c r="AD3126" s="22" t="s">
        <v>1165</v>
      </c>
      <c r="AF3126" s="24" t="s">
        <v>153</v>
      </c>
      <c r="AG3126" t="s">
        <v>1160</v>
      </c>
      <c r="AH3126">
        <f t="shared" si="34"/>
        <v>4320</v>
      </c>
      <c r="AI3126" s="21" t="s">
        <v>153</v>
      </c>
      <c r="AJ3126" s="21" t="s">
        <v>1148</v>
      </c>
      <c r="AK3126" s="21">
        <v>0</v>
      </c>
      <c r="AL3126" s="21" t="s">
        <v>1321</v>
      </c>
      <c r="AM3126" s="21">
        <v>0</v>
      </c>
      <c r="AN3126" s="21">
        <v>3</v>
      </c>
      <c r="AO3126" s="21">
        <v>50</v>
      </c>
      <c r="AP3126" s="21">
        <v>6</v>
      </c>
      <c r="AQ3126" s="22" t="s">
        <v>3016</v>
      </c>
      <c r="AR3126" s="21" t="s">
        <v>1279</v>
      </c>
      <c r="AS3126" t="s">
        <v>3085</v>
      </c>
    </row>
    <row r="3127" spans="1:45" x14ac:dyDescent="0.2">
      <c r="A3127" s="21" t="s">
        <v>1685</v>
      </c>
      <c r="B3127" s="21" t="s">
        <v>1146</v>
      </c>
      <c r="C3127" s="21" t="s">
        <v>1149</v>
      </c>
      <c r="D3127" s="21" t="s">
        <v>420</v>
      </c>
      <c r="E3127" s="21" t="s">
        <v>3083</v>
      </c>
      <c r="G3127" s="21" t="s">
        <v>153</v>
      </c>
      <c r="H3127" s="21" t="s">
        <v>1165</v>
      </c>
      <c r="I3127" s="21" t="s">
        <v>3084</v>
      </c>
      <c r="J3127" s="21">
        <v>49.133333333333297</v>
      </c>
      <c r="K3127">
        <v>-122.75</v>
      </c>
      <c r="L3127">
        <v>1415</v>
      </c>
      <c r="M3127" s="21" t="s">
        <v>3034</v>
      </c>
      <c r="O3127" s="21">
        <v>1985</v>
      </c>
      <c r="Q3127" s="21" t="s">
        <v>3086</v>
      </c>
      <c r="T3127" s="21">
        <v>-20</v>
      </c>
      <c r="U3127" s="21" t="s">
        <v>1218</v>
      </c>
      <c r="V3127" s="9" t="s">
        <v>1247</v>
      </c>
      <c r="W3127" s="21">
        <v>56</v>
      </c>
      <c r="X3127" s="9" t="s">
        <v>3088</v>
      </c>
      <c r="Y3127" t="s">
        <v>3211</v>
      </c>
      <c r="Z3127" s="22">
        <v>8</v>
      </c>
      <c r="AD3127" s="22" t="s">
        <v>1165</v>
      </c>
      <c r="AF3127" s="24" t="s">
        <v>153</v>
      </c>
      <c r="AG3127" t="s">
        <v>1160</v>
      </c>
      <c r="AH3127">
        <f t="shared" si="34"/>
        <v>4320</v>
      </c>
      <c r="AI3127" s="21" t="s">
        <v>153</v>
      </c>
      <c r="AJ3127" s="21" t="s">
        <v>1148</v>
      </c>
      <c r="AK3127" s="21">
        <v>0</v>
      </c>
      <c r="AL3127" s="21" t="s">
        <v>1321</v>
      </c>
      <c r="AM3127" s="21">
        <v>0</v>
      </c>
      <c r="AN3127" s="21">
        <v>3</v>
      </c>
      <c r="AO3127" s="21">
        <v>50</v>
      </c>
      <c r="AP3127" s="21">
        <v>9</v>
      </c>
      <c r="AQ3127" s="22" t="s">
        <v>3016</v>
      </c>
      <c r="AR3127" s="21" t="s">
        <v>1279</v>
      </c>
      <c r="AS3127" t="s">
        <v>3085</v>
      </c>
    </row>
    <row r="3128" spans="1:45" x14ac:dyDescent="0.2">
      <c r="A3128" s="21" t="s">
        <v>1685</v>
      </c>
      <c r="B3128" s="21" t="s">
        <v>1146</v>
      </c>
      <c r="C3128" s="21" t="s">
        <v>1149</v>
      </c>
      <c r="D3128" s="21" t="s">
        <v>420</v>
      </c>
      <c r="E3128" s="21" t="s">
        <v>3083</v>
      </c>
      <c r="G3128" s="21" t="s">
        <v>153</v>
      </c>
      <c r="H3128" s="21" t="s">
        <v>1165</v>
      </c>
      <c r="I3128" s="21" t="s">
        <v>3084</v>
      </c>
      <c r="J3128" s="21">
        <v>49.133333333333297</v>
      </c>
      <c r="K3128">
        <v>-122.75</v>
      </c>
      <c r="L3128">
        <v>1415</v>
      </c>
      <c r="M3128" s="21" t="s">
        <v>3034</v>
      </c>
      <c r="O3128" s="21">
        <v>1985</v>
      </c>
      <c r="Q3128" s="21" t="s">
        <v>3086</v>
      </c>
      <c r="T3128" s="21">
        <v>-20</v>
      </c>
      <c r="U3128" s="21" t="s">
        <v>1218</v>
      </c>
      <c r="V3128" s="9" t="s">
        <v>1247</v>
      </c>
      <c r="W3128" s="21">
        <v>56</v>
      </c>
      <c r="X3128" s="9" t="s">
        <v>3088</v>
      </c>
      <c r="Y3128" t="s">
        <v>3211</v>
      </c>
      <c r="Z3128" s="22">
        <v>8</v>
      </c>
      <c r="AD3128" s="22" t="s">
        <v>1165</v>
      </c>
      <c r="AF3128" s="24" t="s">
        <v>153</v>
      </c>
      <c r="AG3128" t="s">
        <v>1160</v>
      </c>
      <c r="AH3128">
        <f t="shared" si="34"/>
        <v>4320</v>
      </c>
      <c r="AI3128" s="21" t="s">
        <v>153</v>
      </c>
      <c r="AJ3128" s="21" t="s">
        <v>1148</v>
      </c>
      <c r="AK3128" s="21">
        <v>10.943</v>
      </c>
      <c r="AL3128" s="21" t="s">
        <v>1321</v>
      </c>
      <c r="AM3128" s="21" t="s">
        <v>3003</v>
      </c>
      <c r="AN3128" s="21">
        <v>3</v>
      </c>
      <c r="AO3128" s="21">
        <v>50</v>
      </c>
      <c r="AP3128" s="21">
        <v>12</v>
      </c>
      <c r="AQ3128" s="22" t="s">
        <v>3016</v>
      </c>
      <c r="AR3128" s="21" t="s">
        <v>1279</v>
      </c>
      <c r="AS3128" t="s">
        <v>3085</v>
      </c>
    </row>
    <row r="3129" spans="1:45" x14ac:dyDescent="0.2">
      <c r="A3129" s="21" t="s">
        <v>1685</v>
      </c>
      <c r="B3129" s="21" t="s">
        <v>1146</v>
      </c>
      <c r="C3129" s="21" t="s">
        <v>1149</v>
      </c>
      <c r="D3129" s="21" t="s">
        <v>420</v>
      </c>
      <c r="E3129" s="21" t="s">
        <v>3083</v>
      </c>
      <c r="G3129" s="21" t="s">
        <v>153</v>
      </c>
      <c r="H3129" s="21" t="s">
        <v>1165</v>
      </c>
      <c r="I3129" s="21" t="s">
        <v>3084</v>
      </c>
      <c r="J3129" s="21">
        <v>49.133333333333297</v>
      </c>
      <c r="K3129">
        <v>-122.75</v>
      </c>
      <c r="L3129">
        <v>1415</v>
      </c>
      <c r="M3129" s="21" t="s">
        <v>3034</v>
      </c>
      <c r="O3129" s="21">
        <v>1985</v>
      </c>
      <c r="Q3129" s="21" t="s">
        <v>3086</v>
      </c>
      <c r="T3129" s="21">
        <v>-20</v>
      </c>
      <c r="U3129" s="21" t="s">
        <v>1218</v>
      </c>
      <c r="V3129" s="9" t="s">
        <v>1247</v>
      </c>
      <c r="W3129" s="21">
        <v>56</v>
      </c>
      <c r="X3129" s="9" t="s">
        <v>3088</v>
      </c>
      <c r="Y3129" t="s">
        <v>3211</v>
      </c>
      <c r="Z3129" s="22">
        <v>8</v>
      </c>
      <c r="AD3129" s="22" t="s">
        <v>1165</v>
      </c>
      <c r="AF3129" s="24" t="s">
        <v>153</v>
      </c>
      <c r="AG3129" t="s">
        <v>1160</v>
      </c>
      <c r="AH3129">
        <f t="shared" si="34"/>
        <v>4320</v>
      </c>
      <c r="AI3129" s="21" t="s">
        <v>153</v>
      </c>
      <c r="AJ3129" s="21" t="s">
        <v>1148</v>
      </c>
      <c r="AK3129" s="21">
        <v>22.013000000000002</v>
      </c>
      <c r="AL3129" s="21" t="s">
        <v>1321</v>
      </c>
      <c r="AM3129" s="21" t="s">
        <v>3003</v>
      </c>
      <c r="AN3129" s="21">
        <v>3</v>
      </c>
      <c r="AO3129" s="21">
        <v>50</v>
      </c>
      <c r="AP3129" s="21">
        <v>15</v>
      </c>
      <c r="AQ3129" s="22" t="s">
        <v>3016</v>
      </c>
      <c r="AR3129" s="21" t="s">
        <v>1279</v>
      </c>
      <c r="AS3129" t="s">
        <v>3085</v>
      </c>
    </row>
    <row r="3130" spans="1:45" x14ac:dyDescent="0.2">
      <c r="A3130" s="21" t="s">
        <v>1685</v>
      </c>
      <c r="B3130" s="21" t="s">
        <v>1146</v>
      </c>
      <c r="C3130" s="21" t="s">
        <v>1149</v>
      </c>
      <c r="D3130" s="21" t="s">
        <v>420</v>
      </c>
      <c r="E3130" s="21" t="s">
        <v>3083</v>
      </c>
      <c r="G3130" s="21" t="s">
        <v>153</v>
      </c>
      <c r="H3130" s="21" t="s">
        <v>1165</v>
      </c>
      <c r="I3130" s="21" t="s">
        <v>3084</v>
      </c>
      <c r="J3130" s="21">
        <v>49.133333333333297</v>
      </c>
      <c r="K3130">
        <v>-122.75</v>
      </c>
      <c r="L3130">
        <v>1415</v>
      </c>
      <c r="M3130" s="21" t="s">
        <v>3034</v>
      </c>
      <c r="O3130" s="21">
        <v>1985</v>
      </c>
      <c r="Q3130" s="21" t="s">
        <v>3086</v>
      </c>
      <c r="T3130" s="21">
        <v>-20</v>
      </c>
      <c r="U3130" s="21" t="s">
        <v>1218</v>
      </c>
      <c r="V3130" s="9" t="s">
        <v>1247</v>
      </c>
      <c r="W3130" s="21">
        <v>56</v>
      </c>
      <c r="X3130" s="9" t="s">
        <v>3088</v>
      </c>
      <c r="Y3130" t="s">
        <v>3211</v>
      </c>
      <c r="Z3130" s="22">
        <v>8</v>
      </c>
      <c r="AD3130" s="22" t="s">
        <v>1165</v>
      </c>
      <c r="AF3130" s="24" t="s">
        <v>153</v>
      </c>
      <c r="AG3130" t="s">
        <v>1160</v>
      </c>
      <c r="AH3130">
        <f t="shared" si="34"/>
        <v>4320</v>
      </c>
      <c r="AI3130" s="21" t="s">
        <v>153</v>
      </c>
      <c r="AJ3130" s="21" t="s">
        <v>1148</v>
      </c>
      <c r="AK3130" s="21">
        <v>41.131999999999998</v>
      </c>
      <c r="AL3130" s="21" t="s">
        <v>1321</v>
      </c>
      <c r="AM3130" s="21">
        <f>43.48-39.79</f>
        <v>3.6899999999999977</v>
      </c>
      <c r="AN3130" s="21">
        <v>3</v>
      </c>
      <c r="AO3130" s="21">
        <v>50</v>
      </c>
      <c r="AP3130" s="21">
        <v>18</v>
      </c>
      <c r="AQ3130" s="22" t="s">
        <v>3016</v>
      </c>
      <c r="AR3130" s="21" t="s">
        <v>1279</v>
      </c>
      <c r="AS3130" t="s">
        <v>3085</v>
      </c>
    </row>
    <row r="3131" spans="1:45" x14ac:dyDescent="0.2">
      <c r="A3131" s="21" t="s">
        <v>1685</v>
      </c>
      <c r="B3131" s="21" t="s">
        <v>1146</v>
      </c>
      <c r="C3131" s="21" t="s">
        <v>1149</v>
      </c>
      <c r="D3131" s="21" t="s">
        <v>420</v>
      </c>
      <c r="E3131" s="21" t="s">
        <v>3083</v>
      </c>
      <c r="G3131" s="21" t="s">
        <v>153</v>
      </c>
      <c r="H3131" s="21" t="s">
        <v>1165</v>
      </c>
      <c r="I3131" s="21" t="s">
        <v>3084</v>
      </c>
      <c r="J3131" s="21">
        <v>49.133333333333297</v>
      </c>
      <c r="K3131">
        <v>-122.75</v>
      </c>
      <c r="L3131">
        <v>1415</v>
      </c>
      <c r="M3131" s="21" t="s">
        <v>3034</v>
      </c>
      <c r="O3131" s="21">
        <v>1985</v>
      </c>
      <c r="Q3131" s="21" t="s">
        <v>3086</v>
      </c>
      <c r="T3131" s="21">
        <v>-20</v>
      </c>
      <c r="U3131" s="21" t="s">
        <v>1218</v>
      </c>
      <c r="V3131" s="9" t="s">
        <v>1247</v>
      </c>
      <c r="W3131" s="21">
        <v>56</v>
      </c>
      <c r="X3131" s="9" t="s">
        <v>3088</v>
      </c>
      <c r="Y3131" t="s">
        <v>3211</v>
      </c>
      <c r="Z3131" s="22">
        <v>8</v>
      </c>
      <c r="AD3131" s="22" t="s">
        <v>1165</v>
      </c>
      <c r="AF3131" s="24" t="s">
        <v>153</v>
      </c>
      <c r="AG3131" t="s">
        <v>1160</v>
      </c>
      <c r="AH3131">
        <f t="shared" si="34"/>
        <v>4320</v>
      </c>
      <c r="AI3131" s="21" t="s">
        <v>153</v>
      </c>
      <c r="AJ3131" s="21" t="s">
        <v>1148</v>
      </c>
      <c r="AK3131" s="21">
        <v>47.841000000000001</v>
      </c>
      <c r="AL3131" s="21" t="s">
        <v>1321</v>
      </c>
      <c r="AM3131" s="21">
        <f>50.063-46.499</f>
        <v>3.5640000000000001</v>
      </c>
      <c r="AN3131" s="21">
        <v>3</v>
      </c>
      <c r="AO3131" s="21">
        <v>50</v>
      </c>
      <c r="AP3131" s="21">
        <v>21</v>
      </c>
      <c r="AQ3131" s="22" t="s">
        <v>3016</v>
      </c>
      <c r="AR3131" s="21" t="s">
        <v>1279</v>
      </c>
      <c r="AS3131" t="s">
        <v>3085</v>
      </c>
    </row>
    <row r="3132" spans="1:45" x14ac:dyDescent="0.2">
      <c r="A3132" s="21" t="s">
        <v>1685</v>
      </c>
      <c r="B3132" s="21" t="s">
        <v>1146</v>
      </c>
      <c r="C3132" s="21" t="s">
        <v>1149</v>
      </c>
      <c r="D3132" s="21" t="s">
        <v>420</v>
      </c>
      <c r="E3132" s="21" t="s">
        <v>3083</v>
      </c>
      <c r="G3132" s="21" t="s">
        <v>153</v>
      </c>
      <c r="H3132" s="21" t="s">
        <v>1165</v>
      </c>
      <c r="I3132" s="21" t="s">
        <v>3084</v>
      </c>
      <c r="J3132" s="21">
        <v>49.133333333333297</v>
      </c>
      <c r="K3132">
        <v>-122.75</v>
      </c>
      <c r="L3132">
        <v>1415</v>
      </c>
      <c r="M3132" s="21" t="s">
        <v>3034</v>
      </c>
      <c r="O3132" s="21">
        <v>1985</v>
      </c>
      <c r="Q3132" s="21" t="s">
        <v>3086</v>
      </c>
      <c r="T3132" s="21">
        <v>-20</v>
      </c>
      <c r="U3132" s="21" t="s">
        <v>1218</v>
      </c>
      <c r="V3132" s="9" t="s">
        <v>1247</v>
      </c>
      <c r="W3132" s="21">
        <v>56</v>
      </c>
      <c r="X3132" s="9" t="s">
        <v>3088</v>
      </c>
      <c r="Y3132" t="s">
        <v>3211</v>
      </c>
      <c r="Z3132" s="22">
        <v>8</v>
      </c>
      <c r="AD3132" s="22" t="s">
        <v>1165</v>
      </c>
      <c r="AF3132" s="24" t="s">
        <v>153</v>
      </c>
      <c r="AG3132" t="s">
        <v>1160</v>
      </c>
      <c r="AH3132">
        <f t="shared" si="34"/>
        <v>4320</v>
      </c>
      <c r="AI3132" s="21" t="s">
        <v>153</v>
      </c>
      <c r="AJ3132" s="21" t="s">
        <v>1148</v>
      </c>
      <c r="AK3132" s="21">
        <v>51.195</v>
      </c>
      <c r="AL3132" s="21" t="s">
        <v>1321</v>
      </c>
      <c r="AM3132" s="21">
        <f>52.537-50.189</f>
        <v>2.347999999999999</v>
      </c>
      <c r="AN3132" s="21">
        <v>3</v>
      </c>
      <c r="AO3132" s="21">
        <v>50</v>
      </c>
      <c r="AP3132" s="21">
        <v>24</v>
      </c>
      <c r="AQ3132" s="22" t="s">
        <v>3016</v>
      </c>
      <c r="AR3132" s="21" t="s">
        <v>1279</v>
      </c>
      <c r="AS3132" t="s">
        <v>3085</v>
      </c>
    </row>
    <row r="3133" spans="1:45" x14ac:dyDescent="0.2">
      <c r="A3133" s="21" t="s">
        <v>1685</v>
      </c>
      <c r="B3133" s="21" t="s">
        <v>1146</v>
      </c>
      <c r="C3133" s="21" t="s">
        <v>1149</v>
      </c>
      <c r="D3133" s="21" t="s">
        <v>420</v>
      </c>
      <c r="E3133" s="21" t="s">
        <v>3083</v>
      </c>
      <c r="G3133" s="21" t="s">
        <v>153</v>
      </c>
      <c r="H3133" s="21" t="s">
        <v>1165</v>
      </c>
      <c r="I3133" s="21" t="s">
        <v>3084</v>
      </c>
      <c r="J3133" s="21">
        <v>49.133333333333297</v>
      </c>
      <c r="K3133">
        <v>-122.75</v>
      </c>
      <c r="L3133">
        <v>1415</v>
      </c>
      <c r="M3133" s="21" t="s">
        <v>3034</v>
      </c>
      <c r="O3133" s="21">
        <v>1985</v>
      </c>
      <c r="Q3133" s="21" t="s">
        <v>3086</v>
      </c>
      <c r="T3133" s="21">
        <v>-20</v>
      </c>
      <c r="U3133" s="21" t="s">
        <v>1218</v>
      </c>
      <c r="V3133" s="9" t="s">
        <v>1247</v>
      </c>
      <c r="W3133" s="21">
        <v>56</v>
      </c>
      <c r="X3133" s="9" t="s">
        <v>3088</v>
      </c>
      <c r="Y3133" t="s">
        <v>3211</v>
      </c>
      <c r="Z3133" s="22">
        <v>8</v>
      </c>
      <c r="AD3133" s="22" t="s">
        <v>1165</v>
      </c>
      <c r="AF3133" s="24" t="s">
        <v>153</v>
      </c>
      <c r="AG3133" t="s">
        <v>1160</v>
      </c>
      <c r="AH3133">
        <f t="shared" si="34"/>
        <v>4320</v>
      </c>
      <c r="AI3133" s="21" t="s">
        <v>153</v>
      </c>
      <c r="AJ3133" s="21" t="s">
        <v>1148</v>
      </c>
      <c r="AK3133" s="21">
        <v>53.585000000000001</v>
      </c>
      <c r="AL3133" s="21" t="s">
        <v>1321</v>
      </c>
      <c r="AM3133" s="21">
        <f>55.891-52.537</f>
        <v>3.3539999999999992</v>
      </c>
      <c r="AN3133" s="21">
        <v>3</v>
      </c>
      <c r="AO3133" s="21">
        <v>50</v>
      </c>
      <c r="AP3133" s="21">
        <v>27</v>
      </c>
      <c r="AQ3133" s="22" t="s">
        <v>3016</v>
      </c>
      <c r="AR3133" s="21" t="s">
        <v>1279</v>
      </c>
      <c r="AS3133" t="s">
        <v>3085</v>
      </c>
    </row>
    <row r="3134" spans="1:45" x14ac:dyDescent="0.2">
      <c r="A3134" s="21" t="s">
        <v>1685</v>
      </c>
      <c r="B3134" s="21" t="s">
        <v>1146</v>
      </c>
      <c r="C3134" s="21" t="s">
        <v>1149</v>
      </c>
      <c r="D3134" s="21" t="s">
        <v>420</v>
      </c>
      <c r="E3134" s="21" t="s">
        <v>3083</v>
      </c>
      <c r="G3134" s="21" t="s">
        <v>153</v>
      </c>
      <c r="H3134" s="21" t="s">
        <v>1165</v>
      </c>
      <c r="I3134" s="21" t="s">
        <v>3084</v>
      </c>
      <c r="J3134" s="21">
        <v>49.133333333333297</v>
      </c>
      <c r="K3134">
        <v>-122.75</v>
      </c>
      <c r="L3134">
        <v>1415</v>
      </c>
      <c r="M3134" s="21" t="s">
        <v>3034</v>
      </c>
      <c r="O3134" s="21">
        <v>1985</v>
      </c>
      <c r="Q3134" s="21" t="s">
        <v>3086</v>
      </c>
      <c r="T3134" s="21">
        <v>-20</v>
      </c>
      <c r="U3134" s="21" t="s">
        <v>1218</v>
      </c>
      <c r="V3134" s="9" t="s">
        <v>1247</v>
      </c>
      <c r="W3134" s="21">
        <v>56</v>
      </c>
      <c r="X3134" s="9" t="s">
        <v>3088</v>
      </c>
      <c r="Y3134" t="s">
        <v>3211</v>
      </c>
      <c r="Z3134" s="22">
        <v>8</v>
      </c>
      <c r="AD3134" s="22" t="s">
        <v>1165</v>
      </c>
      <c r="AF3134" s="24" t="s">
        <v>153</v>
      </c>
      <c r="AG3134" t="s">
        <v>1160</v>
      </c>
      <c r="AH3134">
        <f t="shared" si="34"/>
        <v>4320</v>
      </c>
      <c r="AI3134" s="21" t="s">
        <v>153</v>
      </c>
      <c r="AJ3134" s="21" t="s">
        <v>1148</v>
      </c>
      <c r="AK3134" s="21">
        <v>55.22</v>
      </c>
      <c r="AL3134" s="21" t="s">
        <v>1321</v>
      </c>
      <c r="AM3134" s="21">
        <f>56.562-54.214</f>
        <v>2.347999999999999</v>
      </c>
      <c r="AN3134" s="21">
        <v>3</v>
      </c>
      <c r="AO3134" s="21">
        <v>50</v>
      </c>
      <c r="AP3134" s="21">
        <v>30</v>
      </c>
      <c r="AQ3134" s="22" t="s">
        <v>3016</v>
      </c>
      <c r="AR3134" s="21" t="s">
        <v>1279</v>
      </c>
      <c r="AS3134" t="s">
        <v>3085</v>
      </c>
    </row>
    <row r="3135" spans="1:45" x14ac:dyDescent="0.2">
      <c r="A3135" s="21" t="s">
        <v>1685</v>
      </c>
      <c r="B3135" s="21" t="s">
        <v>1146</v>
      </c>
      <c r="C3135" s="21" t="s">
        <v>1149</v>
      </c>
      <c r="D3135" s="21" t="s">
        <v>420</v>
      </c>
      <c r="E3135" s="21" t="s">
        <v>3083</v>
      </c>
      <c r="G3135" s="21" t="s">
        <v>153</v>
      </c>
      <c r="H3135" s="21" t="s">
        <v>1165</v>
      </c>
      <c r="I3135" s="21" t="s">
        <v>3084</v>
      </c>
      <c r="J3135" s="21">
        <v>49.133333333333297</v>
      </c>
      <c r="K3135">
        <v>-122.75</v>
      </c>
      <c r="L3135">
        <v>1415</v>
      </c>
      <c r="M3135" s="21" t="s">
        <v>3034</v>
      </c>
      <c r="O3135" s="21">
        <v>1985</v>
      </c>
      <c r="Q3135" s="21" t="s">
        <v>3086</v>
      </c>
      <c r="T3135" s="21">
        <v>-20</v>
      </c>
      <c r="U3135" s="21" t="s">
        <v>1218</v>
      </c>
      <c r="V3135" s="9" t="s">
        <v>1247</v>
      </c>
      <c r="W3135" s="21">
        <v>56</v>
      </c>
      <c r="X3135" s="9" t="s">
        <v>3088</v>
      </c>
      <c r="Y3135" t="s">
        <v>3212</v>
      </c>
      <c r="Z3135" s="22">
        <v>8</v>
      </c>
      <c r="AD3135" s="22" t="s">
        <v>1165</v>
      </c>
      <c r="AF3135" s="24" t="s">
        <v>153</v>
      </c>
      <c r="AG3135" t="s">
        <v>1160</v>
      </c>
      <c r="AH3135">
        <f t="shared" si="34"/>
        <v>4320</v>
      </c>
      <c r="AI3135" s="21" t="s">
        <v>153</v>
      </c>
      <c r="AJ3135" s="21" t="s">
        <v>1148</v>
      </c>
      <c r="AK3135" s="21">
        <v>0</v>
      </c>
      <c r="AL3135" s="21" t="s">
        <v>1321</v>
      </c>
      <c r="AM3135">
        <v>0</v>
      </c>
      <c r="AN3135" s="21">
        <v>3</v>
      </c>
      <c r="AO3135" s="21">
        <v>50</v>
      </c>
      <c r="AP3135" s="21">
        <v>3</v>
      </c>
      <c r="AQ3135" s="22" t="s">
        <v>3016</v>
      </c>
      <c r="AR3135" s="21" t="s">
        <v>1279</v>
      </c>
      <c r="AS3135" t="s">
        <v>3085</v>
      </c>
    </row>
    <row r="3136" spans="1:45" x14ac:dyDescent="0.2">
      <c r="A3136" s="21" t="s">
        <v>1685</v>
      </c>
      <c r="B3136" s="21" t="s">
        <v>1146</v>
      </c>
      <c r="C3136" s="21" t="s">
        <v>1149</v>
      </c>
      <c r="D3136" s="21" t="s">
        <v>420</v>
      </c>
      <c r="E3136" s="21" t="s">
        <v>3083</v>
      </c>
      <c r="G3136" s="21" t="s">
        <v>153</v>
      </c>
      <c r="H3136" s="21" t="s">
        <v>1165</v>
      </c>
      <c r="I3136" s="21" t="s">
        <v>3084</v>
      </c>
      <c r="J3136" s="21">
        <v>49.133333333333297</v>
      </c>
      <c r="K3136">
        <v>-122.75</v>
      </c>
      <c r="L3136">
        <v>1415</v>
      </c>
      <c r="M3136" s="21" t="s">
        <v>3034</v>
      </c>
      <c r="O3136" s="21">
        <v>1985</v>
      </c>
      <c r="Q3136" s="21" t="s">
        <v>3086</v>
      </c>
      <c r="T3136" s="21">
        <v>-20</v>
      </c>
      <c r="U3136" s="21" t="s">
        <v>1218</v>
      </c>
      <c r="V3136" s="9" t="s">
        <v>1247</v>
      </c>
      <c r="W3136" s="21">
        <v>56</v>
      </c>
      <c r="X3136" s="9" t="s">
        <v>3088</v>
      </c>
      <c r="Y3136" t="s">
        <v>3212</v>
      </c>
      <c r="Z3136" s="22">
        <v>8</v>
      </c>
      <c r="AD3136" s="22" t="s">
        <v>1165</v>
      </c>
      <c r="AF3136" s="24" t="s">
        <v>153</v>
      </c>
      <c r="AG3136" t="s">
        <v>1160</v>
      </c>
      <c r="AH3136">
        <f t="shared" si="34"/>
        <v>4320</v>
      </c>
      <c r="AI3136" s="21" t="s">
        <v>153</v>
      </c>
      <c r="AJ3136" s="21" t="s">
        <v>1148</v>
      </c>
      <c r="AK3136" s="21">
        <v>0</v>
      </c>
      <c r="AL3136" s="21" t="s">
        <v>1321</v>
      </c>
      <c r="AM3136">
        <v>0</v>
      </c>
      <c r="AN3136" s="21">
        <v>3</v>
      </c>
      <c r="AO3136" s="21">
        <v>50</v>
      </c>
      <c r="AP3136" s="21">
        <v>6</v>
      </c>
      <c r="AQ3136" s="22" t="s">
        <v>3016</v>
      </c>
      <c r="AR3136" s="21" t="s">
        <v>1279</v>
      </c>
      <c r="AS3136" t="s">
        <v>3085</v>
      </c>
    </row>
    <row r="3137" spans="1:45" x14ac:dyDescent="0.2">
      <c r="A3137" s="21" t="s">
        <v>1685</v>
      </c>
      <c r="B3137" s="21" t="s">
        <v>1146</v>
      </c>
      <c r="C3137" s="21" t="s">
        <v>1149</v>
      </c>
      <c r="D3137" s="21" t="s">
        <v>420</v>
      </c>
      <c r="E3137" s="21" t="s">
        <v>3083</v>
      </c>
      <c r="G3137" s="21" t="s">
        <v>153</v>
      </c>
      <c r="H3137" s="21" t="s">
        <v>1165</v>
      </c>
      <c r="I3137" s="21" t="s">
        <v>3084</v>
      </c>
      <c r="J3137" s="21">
        <v>49.133333333333297</v>
      </c>
      <c r="K3137">
        <v>-122.75</v>
      </c>
      <c r="L3137">
        <v>1415</v>
      </c>
      <c r="M3137" s="21" t="s">
        <v>3034</v>
      </c>
      <c r="O3137" s="21">
        <v>1985</v>
      </c>
      <c r="Q3137" s="21" t="s">
        <v>3086</v>
      </c>
      <c r="T3137" s="21">
        <v>-20</v>
      </c>
      <c r="U3137" s="21" t="s">
        <v>1218</v>
      </c>
      <c r="V3137" s="9" t="s">
        <v>1247</v>
      </c>
      <c r="W3137" s="21">
        <v>56</v>
      </c>
      <c r="X3137" s="9" t="s">
        <v>3088</v>
      </c>
      <c r="Y3137" t="s">
        <v>3212</v>
      </c>
      <c r="Z3137" s="22">
        <v>8</v>
      </c>
      <c r="AD3137" s="22" t="s">
        <v>1165</v>
      </c>
      <c r="AF3137" s="24" t="s">
        <v>153</v>
      </c>
      <c r="AG3137" t="s">
        <v>1160</v>
      </c>
      <c r="AH3137">
        <f t="shared" si="34"/>
        <v>4320</v>
      </c>
      <c r="AI3137" s="21" t="s">
        <v>153</v>
      </c>
      <c r="AJ3137" s="21" t="s">
        <v>1148</v>
      </c>
      <c r="AK3137" s="21">
        <v>0</v>
      </c>
      <c r="AL3137" s="21" t="s">
        <v>1321</v>
      </c>
      <c r="AM3137">
        <v>0</v>
      </c>
      <c r="AN3137" s="21">
        <v>3</v>
      </c>
      <c r="AO3137" s="21">
        <v>50</v>
      </c>
      <c r="AP3137" s="21">
        <v>9</v>
      </c>
      <c r="AQ3137" s="22" t="s">
        <v>3016</v>
      </c>
      <c r="AR3137" s="21" t="s">
        <v>1279</v>
      </c>
      <c r="AS3137" t="s">
        <v>3085</v>
      </c>
    </row>
    <row r="3138" spans="1:45" x14ac:dyDescent="0.2">
      <c r="A3138" s="21" t="s">
        <v>1685</v>
      </c>
      <c r="B3138" s="21" t="s">
        <v>1146</v>
      </c>
      <c r="C3138" s="21" t="s">
        <v>1149</v>
      </c>
      <c r="D3138" s="21" t="s">
        <v>420</v>
      </c>
      <c r="E3138" s="21" t="s">
        <v>3083</v>
      </c>
      <c r="G3138" s="21" t="s">
        <v>153</v>
      </c>
      <c r="H3138" s="21" t="s">
        <v>1165</v>
      </c>
      <c r="I3138" s="21" t="s">
        <v>3084</v>
      </c>
      <c r="J3138" s="21">
        <v>49.133333333333297</v>
      </c>
      <c r="K3138">
        <v>-122.75</v>
      </c>
      <c r="L3138">
        <v>1415</v>
      </c>
      <c r="M3138" s="21" t="s">
        <v>3034</v>
      </c>
      <c r="O3138" s="21">
        <v>1985</v>
      </c>
      <c r="Q3138" s="21" t="s">
        <v>3086</v>
      </c>
      <c r="T3138" s="21">
        <v>-20</v>
      </c>
      <c r="U3138" s="21" t="s">
        <v>1218</v>
      </c>
      <c r="V3138" s="9" t="s">
        <v>1247</v>
      </c>
      <c r="W3138" s="21">
        <v>56</v>
      </c>
      <c r="X3138" s="9" t="s">
        <v>3088</v>
      </c>
      <c r="Y3138" t="s">
        <v>3212</v>
      </c>
      <c r="Z3138" s="22">
        <v>8</v>
      </c>
      <c r="AD3138" s="22" t="s">
        <v>1165</v>
      </c>
      <c r="AF3138" s="24" t="s">
        <v>153</v>
      </c>
      <c r="AG3138" t="s">
        <v>1160</v>
      </c>
      <c r="AH3138">
        <f t="shared" si="34"/>
        <v>4320</v>
      </c>
      <c r="AI3138" s="21" t="s">
        <v>153</v>
      </c>
      <c r="AJ3138" s="21" t="s">
        <v>1148</v>
      </c>
      <c r="AK3138" s="21">
        <v>7.5890000000000004</v>
      </c>
      <c r="AL3138" s="21" t="s">
        <v>1321</v>
      </c>
      <c r="AM3138" s="21">
        <v>0</v>
      </c>
      <c r="AN3138" s="21">
        <v>3</v>
      </c>
      <c r="AO3138" s="21">
        <v>50</v>
      </c>
      <c r="AP3138" s="21">
        <v>12</v>
      </c>
      <c r="AQ3138" s="22" t="s">
        <v>3016</v>
      </c>
      <c r="AR3138" s="21" t="s">
        <v>1279</v>
      </c>
      <c r="AS3138" t="s">
        <v>3085</v>
      </c>
    </row>
    <row r="3139" spans="1:45" x14ac:dyDescent="0.2">
      <c r="A3139" s="21" t="s">
        <v>1685</v>
      </c>
      <c r="B3139" s="21" t="s">
        <v>1146</v>
      </c>
      <c r="C3139" s="21" t="s">
        <v>1149</v>
      </c>
      <c r="D3139" s="21" t="s">
        <v>420</v>
      </c>
      <c r="E3139" s="21" t="s">
        <v>3083</v>
      </c>
      <c r="G3139" s="21" t="s">
        <v>153</v>
      </c>
      <c r="H3139" s="21" t="s">
        <v>1165</v>
      </c>
      <c r="I3139" s="21" t="s">
        <v>3084</v>
      </c>
      <c r="J3139" s="21">
        <v>49.133333333333297</v>
      </c>
      <c r="K3139">
        <v>-122.75</v>
      </c>
      <c r="L3139">
        <v>1415</v>
      </c>
      <c r="M3139" s="21" t="s">
        <v>3034</v>
      </c>
      <c r="O3139" s="21">
        <v>1985</v>
      </c>
      <c r="Q3139" s="21" t="s">
        <v>3086</v>
      </c>
      <c r="T3139" s="21">
        <v>-20</v>
      </c>
      <c r="U3139" s="21" t="s">
        <v>1218</v>
      </c>
      <c r="V3139" s="9" t="s">
        <v>1247</v>
      </c>
      <c r="W3139" s="21">
        <v>56</v>
      </c>
      <c r="X3139" s="9" t="s">
        <v>3088</v>
      </c>
      <c r="Y3139" t="s">
        <v>3212</v>
      </c>
      <c r="Z3139" s="22">
        <v>8</v>
      </c>
      <c r="AD3139" s="22" t="s">
        <v>1165</v>
      </c>
      <c r="AF3139" s="24" t="s">
        <v>153</v>
      </c>
      <c r="AG3139" t="s">
        <v>1160</v>
      </c>
      <c r="AH3139">
        <f t="shared" si="34"/>
        <v>4320</v>
      </c>
      <c r="AI3139" s="21" t="s">
        <v>153</v>
      </c>
      <c r="AJ3139" s="21" t="s">
        <v>1148</v>
      </c>
      <c r="AK3139" s="21">
        <v>11.279</v>
      </c>
      <c r="AL3139" s="21" t="s">
        <v>1321</v>
      </c>
      <c r="AM3139" s="21">
        <v>0</v>
      </c>
      <c r="AN3139" s="21">
        <v>3</v>
      </c>
      <c r="AO3139" s="21">
        <v>50</v>
      </c>
      <c r="AP3139" s="21">
        <v>15</v>
      </c>
      <c r="AQ3139" s="22" t="s">
        <v>3016</v>
      </c>
      <c r="AR3139" s="21" t="s">
        <v>1279</v>
      </c>
      <c r="AS3139" t="s">
        <v>3085</v>
      </c>
    </row>
    <row r="3140" spans="1:45" x14ac:dyDescent="0.2">
      <c r="A3140" s="21" t="s">
        <v>1685</v>
      </c>
      <c r="B3140" s="21" t="s">
        <v>1146</v>
      </c>
      <c r="C3140" s="21" t="s">
        <v>1149</v>
      </c>
      <c r="D3140" s="21" t="s">
        <v>420</v>
      </c>
      <c r="E3140" s="21" t="s">
        <v>3083</v>
      </c>
      <c r="G3140" s="21" t="s">
        <v>153</v>
      </c>
      <c r="H3140" s="21" t="s">
        <v>1165</v>
      </c>
      <c r="I3140" s="21" t="s">
        <v>3084</v>
      </c>
      <c r="J3140" s="21">
        <v>49.133333333333297</v>
      </c>
      <c r="K3140">
        <v>-122.75</v>
      </c>
      <c r="L3140">
        <v>1415</v>
      </c>
      <c r="M3140" s="21" t="s">
        <v>3034</v>
      </c>
      <c r="O3140" s="21">
        <v>1985</v>
      </c>
      <c r="Q3140" s="21" t="s">
        <v>3086</v>
      </c>
      <c r="T3140" s="21">
        <v>-20</v>
      </c>
      <c r="U3140" s="21" t="s">
        <v>1218</v>
      </c>
      <c r="V3140" s="9" t="s">
        <v>1247</v>
      </c>
      <c r="W3140" s="21">
        <v>56</v>
      </c>
      <c r="X3140" s="9" t="s">
        <v>3088</v>
      </c>
      <c r="Y3140" t="s">
        <v>3212</v>
      </c>
      <c r="Z3140" s="22">
        <v>8</v>
      </c>
      <c r="AD3140" s="22" t="s">
        <v>1165</v>
      </c>
      <c r="AF3140" s="24" t="s">
        <v>153</v>
      </c>
      <c r="AG3140" t="s">
        <v>1160</v>
      </c>
      <c r="AH3140">
        <f t="shared" si="34"/>
        <v>4320</v>
      </c>
      <c r="AI3140" s="21" t="s">
        <v>153</v>
      </c>
      <c r="AJ3140" s="21" t="s">
        <v>1148</v>
      </c>
      <c r="AK3140" s="21">
        <v>13.962</v>
      </c>
      <c r="AL3140" s="21" t="s">
        <v>1321</v>
      </c>
      <c r="AM3140" s="21">
        <f>15.975-12.621</f>
        <v>3.3539999999999992</v>
      </c>
      <c r="AN3140" s="21">
        <v>3</v>
      </c>
      <c r="AO3140" s="21">
        <v>50</v>
      </c>
      <c r="AP3140" s="21">
        <v>18</v>
      </c>
      <c r="AQ3140" s="22" t="s">
        <v>3016</v>
      </c>
      <c r="AR3140" s="21" t="s">
        <v>1279</v>
      </c>
      <c r="AS3140" t="s">
        <v>3085</v>
      </c>
    </row>
    <row r="3141" spans="1:45" x14ac:dyDescent="0.2">
      <c r="A3141" s="21" t="s">
        <v>1685</v>
      </c>
      <c r="B3141" s="21" t="s">
        <v>1146</v>
      </c>
      <c r="C3141" s="21" t="s">
        <v>1149</v>
      </c>
      <c r="D3141" s="21" t="s">
        <v>420</v>
      </c>
      <c r="E3141" s="21" t="s">
        <v>3083</v>
      </c>
      <c r="G3141" s="21" t="s">
        <v>153</v>
      </c>
      <c r="H3141" s="21" t="s">
        <v>1165</v>
      </c>
      <c r="I3141" s="21" t="s">
        <v>3084</v>
      </c>
      <c r="J3141" s="21">
        <v>49.133333333333297</v>
      </c>
      <c r="K3141">
        <v>-122.75</v>
      </c>
      <c r="L3141">
        <v>1415</v>
      </c>
      <c r="M3141" s="21" t="s">
        <v>3034</v>
      </c>
      <c r="O3141" s="21">
        <v>1985</v>
      </c>
      <c r="Q3141" s="21" t="s">
        <v>3086</v>
      </c>
      <c r="T3141" s="21">
        <v>-20</v>
      </c>
      <c r="U3141" s="21" t="s">
        <v>1218</v>
      </c>
      <c r="V3141" s="9" t="s">
        <v>1247</v>
      </c>
      <c r="W3141" s="21">
        <v>56</v>
      </c>
      <c r="X3141" s="9" t="s">
        <v>3088</v>
      </c>
      <c r="Y3141" t="s">
        <v>3212</v>
      </c>
      <c r="Z3141" s="22">
        <v>8</v>
      </c>
      <c r="AD3141" s="22" t="s">
        <v>1165</v>
      </c>
      <c r="AF3141" s="24" t="s">
        <v>153</v>
      </c>
      <c r="AG3141" t="s">
        <v>1160</v>
      </c>
      <c r="AH3141">
        <f t="shared" si="34"/>
        <v>4320</v>
      </c>
      <c r="AI3141" s="21" t="s">
        <v>153</v>
      </c>
      <c r="AJ3141" s="21" t="s">
        <v>1148</v>
      </c>
      <c r="AK3141" s="21">
        <v>16.855</v>
      </c>
      <c r="AL3141" s="21" t="s">
        <v>1321</v>
      </c>
      <c r="AM3141" s="21">
        <v>0</v>
      </c>
      <c r="AN3141" s="21">
        <v>3</v>
      </c>
      <c r="AO3141" s="21">
        <v>50</v>
      </c>
      <c r="AP3141" s="21">
        <v>21</v>
      </c>
      <c r="AQ3141" s="22" t="s">
        <v>3016</v>
      </c>
      <c r="AR3141" s="21" t="s">
        <v>1279</v>
      </c>
      <c r="AS3141" t="s">
        <v>3085</v>
      </c>
    </row>
    <row r="3142" spans="1:45" x14ac:dyDescent="0.2">
      <c r="A3142" s="21" t="s">
        <v>1685</v>
      </c>
      <c r="B3142" s="21" t="s">
        <v>1146</v>
      </c>
      <c r="C3142" s="21" t="s">
        <v>1149</v>
      </c>
      <c r="D3142" s="21" t="s">
        <v>420</v>
      </c>
      <c r="E3142" s="21" t="s">
        <v>3083</v>
      </c>
      <c r="G3142" s="21" t="s">
        <v>153</v>
      </c>
      <c r="H3142" s="21" t="s">
        <v>1165</v>
      </c>
      <c r="I3142" s="21" t="s">
        <v>3084</v>
      </c>
      <c r="J3142" s="21">
        <v>49.133333333333297</v>
      </c>
      <c r="K3142">
        <v>-122.75</v>
      </c>
      <c r="L3142">
        <v>1415</v>
      </c>
      <c r="M3142" s="21" t="s">
        <v>3034</v>
      </c>
      <c r="O3142" s="21">
        <v>1985</v>
      </c>
      <c r="Q3142" s="21" t="s">
        <v>3086</v>
      </c>
      <c r="T3142" s="21">
        <v>-20</v>
      </c>
      <c r="U3142" s="21" t="s">
        <v>1218</v>
      </c>
      <c r="V3142" s="9" t="s">
        <v>1247</v>
      </c>
      <c r="W3142" s="21">
        <v>56</v>
      </c>
      <c r="X3142" s="9" t="s">
        <v>3088</v>
      </c>
      <c r="Y3142" t="s">
        <v>3212</v>
      </c>
      <c r="Z3142" s="22">
        <v>8</v>
      </c>
      <c r="AD3142" s="22" t="s">
        <v>1165</v>
      </c>
      <c r="AF3142" s="24" t="s">
        <v>153</v>
      </c>
      <c r="AG3142" t="s">
        <v>1160</v>
      </c>
      <c r="AH3142">
        <f t="shared" si="34"/>
        <v>4320</v>
      </c>
      <c r="AI3142" s="21" t="s">
        <v>153</v>
      </c>
      <c r="AJ3142" s="21" t="s">
        <v>1148</v>
      </c>
      <c r="AK3142" s="21">
        <v>18.658000000000001</v>
      </c>
      <c r="AL3142" s="21" t="s">
        <v>1321</v>
      </c>
      <c r="AM3142" s="21">
        <v>0</v>
      </c>
      <c r="AN3142" s="21">
        <v>3</v>
      </c>
      <c r="AO3142" s="21">
        <v>50</v>
      </c>
      <c r="AP3142" s="21">
        <v>24</v>
      </c>
      <c r="AQ3142" s="22" t="s">
        <v>3016</v>
      </c>
      <c r="AR3142" s="21" t="s">
        <v>1279</v>
      </c>
      <c r="AS3142" t="s">
        <v>3085</v>
      </c>
    </row>
    <row r="3143" spans="1:45" x14ac:dyDescent="0.2">
      <c r="A3143" s="21" t="s">
        <v>1685</v>
      </c>
      <c r="B3143" s="21" t="s">
        <v>1146</v>
      </c>
      <c r="C3143" s="21" t="s">
        <v>1149</v>
      </c>
      <c r="D3143" s="21" t="s">
        <v>420</v>
      </c>
      <c r="E3143" s="21" t="s">
        <v>3083</v>
      </c>
      <c r="G3143" s="21" t="s">
        <v>153</v>
      </c>
      <c r="H3143" s="21" t="s">
        <v>1165</v>
      </c>
      <c r="I3143" s="21" t="s">
        <v>3084</v>
      </c>
      <c r="J3143" s="21">
        <v>49.133333333333297</v>
      </c>
      <c r="K3143">
        <v>-122.75</v>
      </c>
      <c r="L3143">
        <v>1415</v>
      </c>
      <c r="M3143" s="21" t="s">
        <v>3034</v>
      </c>
      <c r="O3143" s="21">
        <v>1985</v>
      </c>
      <c r="Q3143" s="21" t="s">
        <v>3086</v>
      </c>
      <c r="T3143" s="21">
        <v>-20</v>
      </c>
      <c r="U3143" s="21" t="s">
        <v>1218</v>
      </c>
      <c r="V3143" s="9" t="s">
        <v>1247</v>
      </c>
      <c r="W3143" s="21">
        <v>56</v>
      </c>
      <c r="X3143" s="9" t="s">
        <v>3088</v>
      </c>
      <c r="Y3143" t="s">
        <v>3212</v>
      </c>
      <c r="Z3143" s="22">
        <v>8</v>
      </c>
      <c r="AD3143" s="22" t="s">
        <v>1165</v>
      </c>
      <c r="AF3143" s="24" t="s">
        <v>153</v>
      </c>
      <c r="AG3143" t="s">
        <v>1160</v>
      </c>
      <c r="AH3143">
        <f t="shared" si="34"/>
        <v>4320</v>
      </c>
      <c r="AI3143" s="21" t="s">
        <v>153</v>
      </c>
      <c r="AJ3143" s="21" t="s">
        <v>1148</v>
      </c>
      <c r="AK3143" s="21">
        <v>20</v>
      </c>
      <c r="AL3143" s="21" t="s">
        <v>1321</v>
      </c>
      <c r="AM3143" s="21">
        <v>0</v>
      </c>
      <c r="AN3143" s="21">
        <v>3</v>
      </c>
      <c r="AO3143" s="21">
        <v>50</v>
      </c>
      <c r="AP3143" s="21">
        <v>27</v>
      </c>
      <c r="AQ3143" s="22" t="s">
        <v>3016</v>
      </c>
      <c r="AR3143" s="21" t="s">
        <v>1279</v>
      </c>
      <c r="AS3143" t="s">
        <v>3085</v>
      </c>
    </row>
    <row r="3144" spans="1:45" x14ac:dyDescent="0.2">
      <c r="A3144" s="21" t="s">
        <v>1685</v>
      </c>
      <c r="B3144" s="21" t="s">
        <v>1146</v>
      </c>
      <c r="C3144" s="21" t="s">
        <v>1149</v>
      </c>
      <c r="D3144" s="21" t="s">
        <v>420</v>
      </c>
      <c r="E3144" s="21" t="s">
        <v>3083</v>
      </c>
      <c r="G3144" s="21" t="s">
        <v>153</v>
      </c>
      <c r="H3144" s="21" t="s">
        <v>1165</v>
      </c>
      <c r="I3144" s="21" t="s">
        <v>3084</v>
      </c>
      <c r="J3144" s="21">
        <v>49.133333333333297</v>
      </c>
      <c r="K3144">
        <v>-122.75</v>
      </c>
      <c r="L3144">
        <v>1415</v>
      </c>
      <c r="M3144" s="21" t="s">
        <v>3034</v>
      </c>
      <c r="O3144" s="21">
        <v>1985</v>
      </c>
      <c r="Q3144" s="21" t="s">
        <v>3086</v>
      </c>
      <c r="T3144" s="21">
        <v>-20</v>
      </c>
      <c r="U3144" s="21" t="s">
        <v>1218</v>
      </c>
      <c r="V3144" s="9" t="s">
        <v>1247</v>
      </c>
      <c r="W3144" s="21">
        <v>56</v>
      </c>
      <c r="X3144" s="9" t="s">
        <v>3088</v>
      </c>
      <c r="Y3144" t="s">
        <v>3212</v>
      </c>
      <c r="Z3144" s="22">
        <v>8</v>
      </c>
      <c r="AD3144" s="22" t="s">
        <v>1165</v>
      </c>
      <c r="AF3144" s="24" t="s">
        <v>153</v>
      </c>
      <c r="AG3144" t="s">
        <v>1160</v>
      </c>
      <c r="AH3144">
        <f t="shared" si="34"/>
        <v>4320</v>
      </c>
      <c r="AI3144" s="21" t="s">
        <v>153</v>
      </c>
      <c r="AJ3144" s="21" t="s">
        <v>1148</v>
      </c>
      <c r="AK3144" s="21">
        <v>21.341999999999999</v>
      </c>
      <c r="AL3144" s="21" t="s">
        <v>1321</v>
      </c>
      <c r="AM3144" s="21">
        <v>0</v>
      </c>
      <c r="AN3144" s="21">
        <v>3</v>
      </c>
      <c r="AO3144" s="21">
        <v>50</v>
      </c>
      <c r="AP3144" s="21">
        <v>30</v>
      </c>
      <c r="AQ3144" s="22" t="s">
        <v>3016</v>
      </c>
      <c r="AR3144" s="21" t="s">
        <v>1279</v>
      </c>
      <c r="AS3144" t="s">
        <v>3085</v>
      </c>
    </row>
    <row r="3145" spans="1:45" x14ac:dyDescent="0.2">
      <c r="A3145" s="21" t="s">
        <v>1685</v>
      </c>
      <c r="B3145" s="21" t="s">
        <v>1146</v>
      </c>
      <c r="C3145" s="21" t="s">
        <v>1149</v>
      </c>
      <c r="D3145" s="21" t="s">
        <v>420</v>
      </c>
      <c r="E3145" s="21" t="s">
        <v>3093</v>
      </c>
      <c r="G3145" s="21" t="s">
        <v>153</v>
      </c>
      <c r="H3145" s="21" t="s">
        <v>1165</v>
      </c>
      <c r="I3145" s="21" t="s">
        <v>3087</v>
      </c>
      <c r="J3145" s="21">
        <v>55.266666666666602</v>
      </c>
      <c r="K3145">
        <v>-128.4</v>
      </c>
      <c r="L3145">
        <v>1100</v>
      </c>
      <c r="M3145" s="21" t="s">
        <v>3034</v>
      </c>
      <c r="O3145" s="21">
        <v>1992</v>
      </c>
      <c r="Q3145" s="21" t="s">
        <v>3086</v>
      </c>
      <c r="T3145" s="21">
        <v>-20</v>
      </c>
      <c r="U3145" s="21" t="s">
        <v>1218</v>
      </c>
      <c r="V3145" s="9" t="s">
        <v>1247</v>
      </c>
      <c r="W3145" s="21">
        <v>56</v>
      </c>
      <c r="X3145" s="9" t="s">
        <v>3088</v>
      </c>
      <c r="Y3145" t="s">
        <v>3210</v>
      </c>
      <c r="Z3145" s="22">
        <v>8</v>
      </c>
      <c r="AD3145" s="22" t="s">
        <v>1165</v>
      </c>
      <c r="AF3145" s="24" t="s">
        <v>153</v>
      </c>
      <c r="AG3145" t="s">
        <v>1160</v>
      </c>
      <c r="AH3145">
        <f t="shared" si="34"/>
        <v>4320</v>
      </c>
      <c r="AI3145" s="21" t="s">
        <v>153</v>
      </c>
      <c r="AJ3145" s="21" t="s">
        <v>1148</v>
      </c>
      <c r="AK3145" s="21">
        <v>0</v>
      </c>
      <c r="AL3145" s="21" t="s">
        <v>1321</v>
      </c>
      <c r="AM3145" s="21">
        <v>0</v>
      </c>
      <c r="AN3145" s="21">
        <v>3</v>
      </c>
      <c r="AO3145" s="21">
        <v>50</v>
      </c>
      <c r="AP3145" s="21">
        <v>3</v>
      </c>
      <c r="AQ3145" s="22" t="s">
        <v>3016</v>
      </c>
      <c r="AR3145" s="21" t="s">
        <v>1279</v>
      </c>
      <c r="AS3145" t="s">
        <v>3085</v>
      </c>
    </row>
    <row r="3146" spans="1:45" x14ac:dyDescent="0.2">
      <c r="A3146" s="21" t="s">
        <v>1685</v>
      </c>
      <c r="B3146" s="21" t="s">
        <v>1146</v>
      </c>
      <c r="C3146" s="21" t="s">
        <v>1149</v>
      </c>
      <c r="D3146" s="21" t="s">
        <v>420</v>
      </c>
      <c r="E3146" s="21" t="s">
        <v>3093</v>
      </c>
      <c r="G3146" s="21" t="s">
        <v>153</v>
      </c>
      <c r="H3146" s="21" t="s">
        <v>1165</v>
      </c>
      <c r="I3146" s="21" t="s">
        <v>3087</v>
      </c>
      <c r="J3146" s="21">
        <v>55.266666666666602</v>
      </c>
      <c r="K3146">
        <v>-128.4</v>
      </c>
      <c r="L3146">
        <v>1100</v>
      </c>
      <c r="M3146" s="21" t="s">
        <v>3034</v>
      </c>
      <c r="O3146" s="21">
        <v>1992</v>
      </c>
      <c r="Q3146" s="21" t="s">
        <v>3086</v>
      </c>
      <c r="T3146" s="21">
        <v>-20</v>
      </c>
      <c r="U3146" s="21" t="s">
        <v>1218</v>
      </c>
      <c r="V3146" s="9" t="s">
        <v>1247</v>
      </c>
      <c r="W3146" s="21">
        <v>56</v>
      </c>
      <c r="X3146" s="9" t="s">
        <v>3088</v>
      </c>
      <c r="Y3146" t="s">
        <v>3210</v>
      </c>
      <c r="Z3146" s="22">
        <v>8</v>
      </c>
      <c r="AD3146" s="22" t="s">
        <v>1165</v>
      </c>
      <c r="AF3146" s="24" t="s">
        <v>153</v>
      </c>
      <c r="AG3146" t="s">
        <v>1160</v>
      </c>
      <c r="AH3146">
        <f t="shared" si="34"/>
        <v>4320</v>
      </c>
      <c r="AI3146" s="21" t="s">
        <v>153</v>
      </c>
      <c r="AJ3146" s="21" t="s">
        <v>1148</v>
      </c>
      <c r="AK3146" s="21">
        <v>8.3439999999999994</v>
      </c>
      <c r="AL3146" s="21" t="s">
        <v>1321</v>
      </c>
      <c r="AM3146" s="21">
        <v>0</v>
      </c>
      <c r="AN3146" s="21">
        <v>3</v>
      </c>
      <c r="AO3146" s="21">
        <v>50</v>
      </c>
      <c r="AP3146" s="21">
        <v>6</v>
      </c>
      <c r="AQ3146" s="22" t="s">
        <v>3016</v>
      </c>
      <c r="AR3146" s="21" t="s">
        <v>1279</v>
      </c>
      <c r="AS3146" t="s">
        <v>3085</v>
      </c>
    </row>
    <row r="3147" spans="1:45" x14ac:dyDescent="0.2">
      <c r="A3147" s="21" t="s">
        <v>1685</v>
      </c>
      <c r="B3147" s="21" t="s">
        <v>1146</v>
      </c>
      <c r="C3147" s="21" t="s">
        <v>1149</v>
      </c>
      <c r="D3147" s="21" t="s">
        <v>420</v>
      </c>
      <c r="E3147" s="21" t="s">
        <v>3093</v>
      </c>
      <c r="G3147" s="21" t="s">
        <v>153</v>
      </c>
      <c r="H3147" s="21" t="s">
        <v>1165</v>
      </c>
      <c r="I3147" s="21" t="s">
        <v>3087</v>
      </c>
      <c r="J3147" s="21">
        <v>55.266666666666602</v>
      </c>
      <c r="K3147">
        <v>-128.4</v>
      </c>
      <c r="L3147">
        <v>1100</v>
      </c>
      <c r="M3147" s="21" t="s">
        <v>3034</v>
      </c>
      <c r="O3147" s="21">
        <v>1992</v>
      </c>
      <c r="Q3147" s="21" t="s">
        <v>3086</v>
      </c>
      <c r="T3147" s="21">
        <v>-20</v>
      </c>
      <c r="U3147" s="21" t="s">
        <v>1218</v>
      </c>
      <c r="V3147" s="9" t="s">
        <v>1247</v>
      </c>
      <c r="W3147" s="21">
        <v>56</v>
      </c>
      <c r="X3147" s="9" t="s">
        <v>3088</v>
      </c>
      <c r="Y3147" t="s">
        <v>3210</v>
      </c>
      <c r="Z3147" s="22">
        <v>8</v>
      </c>
      <c r="AD3147" s="22" t="s">
        <v>1165</v>
      </c>
      <c r="AF3147" s="24" t="s">
        <v>153</v>
      </c>
      <c r="AG3147" t="s">
        <v>1160</v>
      </c>
      <c r="AH3147">
        <f t="shared" si="34"/>
        <v>4320</v>
      </c>
      <c r="AI3147" s="21" t="s">
        <v>153</v>
      </c>
      <c r="AJ3147" s="21" t="s">
        <v>1148</v>
      </c>
      <c r="AK3147" s="21">
        <v>29.324999999999999</v>
      </c>
      <c r="AL3147" s="21" t="s">
        <v>1321</v>
      </c>
      <c r="AM3147">
        <f>32.025-27.117</f>
        <v>4.9079999999999977</v>
      </c>
      <c r="AN3147" s="21">
        <v>3</v>
      </c>
      <c r="AO3147" s="21">
        <v>50</v>
      </c>
      <c r="AP3147" s="21">
        <v>9</v>
      </c>
      <c r="AQ3147" s="22" t="s">
        <v>3016</v>
      </c>
      <c r="AR3147" s="21" t="s">
        <v>1279</v>
      </c>
      <c r="AS3147" t="s">
        <v>3085</v>
      </c>
    </row>
    <row r="3148" spans="1:45" x14ac:dyDescent="0.2">
      <c r="A3148" s="21" t="s">
        <v>1685</v>
      </c>
      <c r="B3148" s="21" t="s">
        <v>1146</v>
      </c>
      <c r="C3148" s="21" t="s">
        <v>1149</v>
      </c>
      <c r="D3148" s="21" t="s">
        <v>420</v>
      </c>
      <c r="E3148" s="21" t="s">
        <v>3093</v>
      </c>
      <c r="G3148" s="21" t="s">
        <v>153</v>
      </c>
      <c r="H3148" s="21" t="s">
        <v>1165</v>
      </c>
      <c r="I3148" s="21" t="s">
        <v>3087</v>
      </c>
      <c r="J3148" s="21">
        <v>55.266666666666602</v>
      </c>
      <c r="K3148">
        <v>-128.4</v>
      </c>
      <c r="L3148">
        <v>1100</v>
      </c>
      <c r="M3148" s="21" t="s">
        <v>3034</v>
      </c>
      <c r="O3148" s="21">
        <v>1992</v>
      </c>
      <c r="Q3148" s="21" t="s">
        <v>3086</v>
      </c>
      <c r="T3148" s="21">
        <v>-20</v>
      </c>
      <c r="U3148" s="21" t="s">
        <v>1218</v>
      </c>
      <c r="V3148" s="9" t="s">
        <v>1247</v>
      </c>
      <c r="W3148" s="21">
        <v>56</v>
      </c>
      <c r="X3148" s="9" t="s">
        <v>3088</v>
      </c>
      <c r="Y3148" t="s">
        <v>3210</v>
      </c>
      <c r="Z3148" s="22">
        <v>8</v>
      </c>
      <c r="AD3148" s="22" t="s">
        <v>1165</v>
      </c>
      <c r="AF3148" s="24" t="s">
        <v>153</v>
      </c>
      <c r="AG3148" t="s">
        <v>1160</v>
      </c>
      <c r="AH3148">
        <f t="shared" si="34"/>
        <v>4320</v>
      </c>
      <c r="AI3148" s="21" t="s">
        <v>153</v>
      </c>
      <c r="AJ3148" s="21" t="s">
        <v>1148</v>
      </c>
      <c r="AK3148" s="21">
        <v>54.847000000000001</v>
      </c>
      <c r="AL3148" s="21" t="s">
        <v>1321</v>
      </c>
      <c r="AM3148" s="21">
        <f>57.055-52.883</f>
        <v>4.171999999999997</v>
      </c>
      <c r="AN3148" s="21">
        <v>3</v>
      </c>
      <c r="AO3148" s="21">
        <v>50</v>
      </c>
      <c r="AP3148" s="21">
        <v>12</v>
      </c>
      <c r="AQ3148" s="22" t="s">
        <v>3016</v>
      </c>
      <c r="AR3148" s="21" t="s">
        <v>1279</v>
      </c>
      <c r="AS3148" t="s">
        <v>3085</v>
      </c>
    </row>
    <row r="3149" spans="1:45" x14ac:dyDescent="0.2">
      <c r="A3149" s="21" t="s">
        <v>1685</v>
      </c>
      <c r="B3149" s="21" t="s">
        <v>1146</v>
      </c>
      <c r="C3149" s="21" t="s">
        <v>1149</v>
      </c>
      <c r="D3149" s="21" t="s">
        <v>420</v>
      </c>
      <c r="E3149" s="21" t="s">
        <v>3093</v>
      </c>
      <c r="G3149" s="21" t="s">
        <v>153</v>
      </c>
      <c r="H3149" s="21" t="s">
        <v>1165</v>
      </c>
      <c r="I3149" s="21" t="s">
        <v>3087</v>
      </c>
      <c r="J3149" s="21">
        <v>55.266666666666602</v>
      </c>
      <c r="K3149">
        <v>-128.4</v>
      </c>
      <c r="L3149">
        <v>1100</v>
      </c>
      <c r="M3149" s="21" t="s">
        <v>3034</v>
      </c>
      <c r="O3149" s="21">
        <v>1992</v>
      </c>
      <c r="Q3149" s="21" t="s">
        <v>3086</v>
      </c>
      <c r="T3149" s="21">
        <v>-20</v>
      </c>
      <c r="U3149" s="21" t="s">
        <v>1218</v>
      </c>
      <c r="V3149" s="9" t="s">
        <v>1247</v>
      </c>
      <c r="W3149" s="21">
        <v>56</v>
      </c>
      <c r="X3149" s="9" t="s">
        <v>3088</v>
      </c>
      <c r="Y3149" t="s">
        <v>3210</v>
      </c>
      <c r="Z3149" s="22">
        <v>8</v>
      </c>
      <c r="AD3149" s="22" t="s">
        <v>1165</v>
      </c>
      <c r="AF3149" s="24" t="s">
        <v>153</v>
      </c>
      <c r="AG3149" t="s">
        <v>1160</v>
      </c>
      <c r="AH3149">
        <f t="shared" si="34"/>
        <v>4320</v>
      </c>
      <c r="AI3149" s="21" t="s">
        <v>153</v>
      </c>
      <c r="AJ3149" s="21" t="s">
        <v>1148</v>
      </c>
      <c r="AK3149" s="21">
        <v>62.822000000000003</v>
      </c>
      <c r="AL3149" s="21" t="s">
        <v>1321</v>
      </c>
      <c r="AM3149" s="21">
        <f>65.644-60.491</f>
        <v>5.1530000000000058</v>
      </c>
      <c r="AN3149" s="21">
        <v>3</v>
      </c>
      <c r="AO3149" s="21">
        <v>50</v>
      </c>
      <c r="AP3149" s="21">
        <v>15</v>
      </c>
      <c r="AQ3149" s="22" t="s">
        <v>3016</v>
      </c>
      <c r="AR3149" s="21" t="s">
        <v>1279</v>
      </c>
      <c r="AS3149" t="s">
        <v>3085</v>
      </c>
    </row>
    <row r="3150" spans="1:45" x14ac:dyDescent="0.2">
      <c r="A3150" s="21" t="s">
        <v>1685</v>
      </c>
      <c r="B3150" s="21" t="s">
        <v>1146</v>
      </c>
      <c r="C3150" s="21" t="s">
        <v>1149</v>
      </c>
      <c r="D3150" s="21" t="s">
        <v>420</v>
      </c>
      <c r="E3150" s="21" t="s">
        <v>3093</v>
      </c>
      <c r="G3150" s="21" t="s">
        <v>153</v>
      </c>
      <c r="H3150" s="21" t="s">
        <v>1165</v>
      </c>
      <c r="I3150" s="21" t="s">
        <v>3087</v>
      </c>
      <c r="J3150" s="21">
        <v>55.266666666666602</v>
      </c>
      <c r="K3150">
        <v>-128.4</v>
      </c>
      <c r="L3150">
        <v>1100</v>
      </c>
      <c r="M3150" s="21" t="s">
        <v>3034</v>
      </c>
      <c r="O3150" s="21">
        <v>1992</v>
      </c>
      <c r="Q3150" s="21" t="s">
        <v>3086</v>
      </c>
      <c r="T3150" s="21">
        <v>-20</v>
      </c>
      <c r="U3150" s="21" t="s">
        <v>1218</v>
      </c>
      <c r="V3150" s="9" t="s">
        <v>1247</v>
      </c>
      <c r="W3150" s="21">
        <v>56</v>
      </c>
      <c r="X3150" s="9" t="s">
        <v>3088</v>
      </c>
      <c r="Y3150" t="s">
        <v>3210</v>
      </c>
      <c r="Z3150" s="22">
        <v>8</v>
      </c>
      <c r="AD3150" s="22" t="s">
        <v>1165</v>
      </c>
      <c r="AF3150" s="24" t="s">
        <v>153</v>
      </c>
      <c r="AG3150" t="s">
        <v>1160</v>
      </c>
      <c r="AH3150">
        <f t="shared" si="34"/>
        <v>4320</v>
      </c>
      <c r="AI3150" s="21" t="s">
        <v>153</v>
      </c>
      <c r="AJ3150" s="21" t="s">
        <v>1148</v>
      </c>
      <c r="AK3150" s="21">
        <v>68.956999999999994</v>
      </c>
      <c r="AL3150" s="21" t="s">
        <v>1321</v>
      </c>
      <c r="AM3150" s="21" t="s">
        <v>3003</v>
      </c>
      <c r="AN3150" s="21">
        <v>3</v>
      </c>
      <c r="AO3150" s="21">
        <v>50</v>
      </c>
      <c r="AP3150" s="21">
        <v>18</v>
      </c>
      <c r="AQ3150" s="22" t="s">
        <v>3016</v>
      </c>
      <c r="AR3150" s="21" t="s">
        <v>1279</v>
      </c>
      <c r="AS3150" t="s">
        <v>3085</v>
      </c>
    </row>
    <row r="3151" spans="1:45" x14ac:dyDescent="0.2">
      <c r="A3151" s="21" t="s">
        <v>1685</v>
      </c>
      <c r="B3151" s="21" t="s">
        <v>1146</v>
      </c>
      <c r="C3151" s="21" t="s">
        <v>1149</v>
      </c>
      <c r="D3151" s="21" t="s">
        <v>420</v>
      </c>
      <c r="E3151" s="21" t="s">
        <v>3093</v>
      </c>
      <c r="G3151" s="21" t="s">
        <v>153</v>
      </c>
      <c r="H3151" s="21" t="s">
        <v>1165</v>
      </c>
      <c r="I3151" s="21" t="s">
        <v>3087</v>
      </c>
      <c r="J3151" s="21">
        <v>55.266666666666602</v>
      </c>
      <c r="K3151">
        <v>-128.4</v>
      </c>
      <c r="L3151">
        <v>1100</v>
      </c>
      <c r="M3151" s="21" t="s">
        <v>3034</v>
      </c>
      <c r="O3151" s="21">
        <v>1992</v>
      </c>
      <c r="Q3151" s="21" t="s">
        <v>3086</v>
      </c>
      <c r="T3151" s="21">
        <v>-20</v>
      </c>
      <c r="U3151" s="21" t="s">
        <v>1218</v>
      </c>
      <c r="V3151" s="9" t="s">
        <v>1247</v>
      </c>
      <c r="W3151" s="21">
        <v>56</v>
      </c>
      <c r="X3151" s="9" t="s">
        <v>3088</v>
      </c>
      <c r="Y3151" t="s">
        <v>3210</v>
      </c>
      <c r="Z3151" s="22">
        <v>8</v>
      </c>
      <c r="AD3151" s="22" t="s">
        <v>1165</v>
      </c>
      <c r="AF3151" s="24" t="s">
        <v>153</v>
      </c>
      <c r="AG3151" t="s">
        <v>1160</v>
      </c>
      <c r="AH3151">
        <f t="shared" si="34"/>
        <v>4320</v>
      </c>
      <c r="AI3151" s="21" t="s">
        <v>153</v>
      </c>
      <c r="AJ3151" s="21" t="s">
        <v>1148</v>
      </c>
      <c r="AK3151" s="21">
        <v>73.62</v>
      </c>
      <c r="AL3151" s="21" t="s">
        <v>1321</v>
      </c>
      <c r="AM3151" s="21" t="s">
        <v>3003</v>
      </c>
      <c r="AN3151" s="21">
        <v>3</v>
      </c>
      <c r="AO3151" s="21">
        <v>50</v>
      </c>
      <c r="AP3151" s="21">
        <v>21</v>
      </c>
      <c r="AQ3151" s="22" t="s">
        <v>3016</v>
      </c>
      <c r="AR3151" s="21" t="s">
        <v>1279</v>
      </c>
      <c r="AS3151" t="s">
        <v>3085</v>
      </c>
    </row>
    <row r="3152" spans="1:45" x14ac:dyDescent="0.2">
      <c r="A3152" s="21" t="s">
        <v>1685</v>
      </c>
      <c r="B3152" s="21" t="s">
        <v>1146</v>
      </c>
      <c r="C3152" s="21" t="s">
        <v>1149</v>
      </c>
      <c r="D3152" s="21" t="s">
        <v>420</v>
      </c>
      <c r="E3152" s="21" t="s">
        <v>3093</v>
      </c>
      <c r="G3152" s="21" t="s">
        <v>153</v>
      </c>
      <c r="H3152" s="21" t="s">
        <v>1165</v>
      </c>
      <c r="I3152" s="21" t="s">
        <v>3087</v>
      </c>
      <c r="J3152" s="21">
        <v>55.266666666666602</v>
      </c>
      <c r="K3152">
        <v>-128.4</v>
      </c>
      <c r="L3152">
        <v>1100</v>
      </c>
      <c r="M3152" s="21" t="s">
        <v>3034</v>
      </c>
      <c r="O3152" s="21">
        <v>1992</v>
      </c>
      <c r="Q3152" s="21" t="s">
        <v>3086</v>
      </c>
      <c r="T3152" s="21">
        <v>-20</v>
      </c>
      <c r="U3152" s="21" t="s">
        <v>1218</v>
      </c>
      <c r="V3152" s="9" t="s">
        <v>1247</v>
      </c>
      <c r="W3152" s="21">
        <v>56</v>
      </c>
      <c r="X3152" s="9" t="s">
        <v>3088</v>
      </c>
      <c r="Y3152" t="s">
        <v>3210</v>
      </c>
      <c r="Z3152" s="22">
        <v>8</v>
      </c>
      <c r="AD3152" s="22" t="s">
        <v>1165</v>
      </c>
      <c r="AF3152" s="24" t="s">
        <v>153</v>
      </c>
      <c r="AG3152" t="s">
        <v>1160</v>
      </c>
      <c r="AH3152">
        <f t="shared" si="34"/>
        <v>4320</v>
      </c>
      <c r="AI3152" s="21" t="s">
        <v>153</v>
      </c>
      <c r="AJ3152" s="21" t="s">
        <v>1148</v>
      </c>
      <c r="AK3152" s="21">
        <v>75.537999999999997</v>
      </c>
      <c r="AL3152" s="21" t="s">
        <v>1321</v>
      </c>
      <c r="AM3152" s="21">
        <v>0</v>
      </c>
      <c r="AN3152" s="21">
        <v>3</v>
      </c>
      <c r="AO3152" s="21">
        <v>50</v>
      </c>
      <c r="AP3152" s="21">
        <v>24</v>
      </c>
      <c r="AQ3152" s="22" t="s">
        <v>3016</v>
      </c>
      <c r="AR3152" s="21" t="s">
        <v>1279</v>
      </c>
      <c r="AS3152" t="s">
        <v>3085</v>
      </c>
    </row>
    <row r="3153" spans="1:45" x14ac:dyDescent="0.2">
      <c r="A3153" s="21" t="s">
        <v>1685</v>
      </c>
      <c r="B3153" s="21" t="s">
        <v>1146</v>
      </c>
      <c r="C3153" s="21" t="s">
        <v>1149</v>
      </c>
      <c r="D3153" s="21" t="s">
        <v>420</v>
      </c>
      <c r="E3153" s="21" t="s">
        <v>3093</v>
      </c>
      <c r="G3153" s="21" t="s">
        <v>153</v>
      </c>
      <c r="H3153" s="21" t="s">
        <v>1165</v>
      </c>
      <c r="I3153" s="21" t="s">
        <v>3087</v>
      </c>
      <c r="J3153" s="21">
        <v>55.266666666666602</v>
      </c>
      <c r="K3153">
        <v>-128.4</v>
      </c>
      <c r="L3153">
        <v>1100</v>
      </c>
      <c r="M3153" s="21" t="s">
        <v>3034</v>
      </c>
      <c r="O3153" s="21">
        <v>1992</v>
      </c>
      <c r="Q3153" s="21" t="s">
        <v>3086</v>
      </c>
      <c r="T3153" s="21">
        <v>-20</v>
      </c>
      <c r="U3153" s="21" t="s">
        <v>1218</v>
      </c>
      <c r="V3153" s="9" t="s">
        <v>1247</v>
      </c>
      <c r="W3153" s="21">
        <v>56</v>
      </c>
      <c r="X3153" s="9" t="s">
        <v>3088</v>
      </c>
      <c r="Y3153" t="s">
        <v>3210</v>
      </c>
      <c r="Z3153" s="22">
        <v>8</v>
      </c>
      <c r="AD3153" s="22" t="s">
        <v>1165</v>
      </c>
      <c r="AF3153" s="24" t="s">
        <v>153</v>
      </c>
      <c r="AG3153" t="s">
        <v>1160</v>
      </c>
      <c r="AH3153">
        <f t="shared" si="34"/>
        <v>4320</v>
      </c>
      <c r="AI3153" s="21" t="s">
        <v>153</v>
      </c>
      <c r="AJ3153" s="21" t="s">
        <v>1148</v>
      </c>
      <c r="AK3153" s="21">
        <v>77.177999999999997</v>
      </c>
      <c r="AL3153" s="21" t="s">
        <v>1321</v>
      </c>
      <c r="AM3153" s="21">
        <v>0</v>
      </c>
      <c r="AN3153" s="21">
        <v>3</v>
      </c>
      <c r="AO3153" s="21">
        <v>50</v>
      </c>
      <c r="AP3153" s="21">
        <v>27</v>
      </c>
      <c r="AQ3153" s="22" t="s">
        <v>3016</v>
      </c>
      <c r="AR3153" s="21" t="s">
        <v>1279</v>
      </c>
      <c r="AS3153" t="s">
        <v>3085</v>
      </c>
    </row>
    <row r="3154" spans="1:45" x14ac:dyDescent="0.2">
      <c r="A3154" s="21" t="s">
        <v>1685</v>
      </c>
      <c r="B3154" s="21" t="s">
        <v>1146</v>
      </c>
      <c r="C3154" s="21" t="s">
        <v>1149</v>
      </c>
      <c r="D3154" s="21" t="s">
        <v>420</v>
      </c>
      <c r="E3154" s="21" t="s">
        <v>3093</v>
      </c>
      <c r="G3154" s="21" t="s">
        <v>153</v>
      </c>
      <c r="H3154" s="21" t="s">
        <v>1165</v>
      </c>
      <c r="I3154" s="21" t="s">
        <v>3087</v>
      </c>
      <c r="J3154" s="21">
        <v>55.266666666666602</v>
      </c>
      <c r="K3154">
        <v>-128.4</v>
      </c>
      <c r="L3154">
        <v>1100</v>
      </c>
      <c r="M3154" s="21" t="s">
        <v>3034</v>
      </c>
      <c r="O3154" s="21">
        <v>1992</v>
      </c>
      <c r="Q3154" s="21" t="s">
        <v>3086</v>
      </c>
      <c r="T3154" s="21">
        <v>-20</v>
      </c>
      <c r="U3154" s="21" t="s">
        <v>1218</v>
      </c>
      <c r="V3154" s="9" t="s">
        <v>1247</v>
      </c>
      <c r="W3154" s="21">
        <v>56</v>
      </c>
      <c r="X3154" s="9" t="s">
        <v>3088</v>
      </c>
      <c r="Y3154" t="s">
        <v>3210</v>
      </c>
      <c r="Z3154" s="22">
        <v>8</v>
      </c>
      <c r="AD3154" s="22" t="s">
        <v>1165</v>
      </c>
      <c r="AF3154" s="24" t="s">
        <v>153</v>
      </c>
      <c r="AG3154" t="s">
        <v>1160</v>
      </c>
      <c r="AH3154">
        <f t="shared" si="34"/>
        <v>4320</v>
      </c>
      <c r="AI3154" s="21" t="s">
        <v>153</v>
      </c>
      <c r="AJ3154" s="21" t="s">
        <v>1148</v>
      </c>
      <c r="AK3154" s="21">
        <v>78.405000000000001</v>
      </c>
      <c r="AL3154" s="21" t="s">
        <v>1321</v>
      </c>
      <c r="AM3154" s="21">
        <v>0</v>
      </c>
      <c r="AN3154" s="21">
        <v>3</v>
      </c>
      <c r="AO3154" s="21">
        <v>50</v>
      </c>
      <c r="AP3154" s="21">
        <v>30</v>
      </c>
      <c r="AQ3154" s="22" t="s">
        <v>3016</v>
      </c>
      <c r="AR3154" s="21" t="s">
        <v>1279</v>
      </c>
      <c r="AS3154" t="s">
        <v>3085</v>
      </c>
    </row>
    <row r="3155" spans="1:45" x14ac:dyDescent="0.2">
      <c r="A3155" s="21" t="s">
        <v>1685</v>
      </c>
      <c r="B3155" s="21" t="s">
        <v>1146</v>
      </c>
      <c r="C3155" s="21" t="s">
        <v>1149</v>
      </c>
      <c r="D3155" s="21" t="s">
        <v>420</v>
      </c>
      <c r="E3155" s="21" t="s">
        <v>3093</v>
      </c>
      <c r="G3155" s="21" t="s">
        <v>153</v>
      </c>
      <c r="H3155" s="21" t="s">
        <v>1165</v>
      </c>
      <c r="I3155" s="21" t="s">
        <v>3087</v>
      </c>
      <c r="J3155" s="21">
        <v>55.266666666666602</v>
      </c>
      <c r="K3155">
        <v>-128.4</v>
      </c>
      <c r="L3155">
        <v>1100</v>
      </c>
      <c r="M3155" s="21" t="s">
        <v>3034</v>
      </c>
      <c r="O3155" s="21">
        <v>1992</v>
      </c>
      <c r="Q3155" s="21" t="s">
        <v>3086</v>
      </c>
      <c r="T3155" s="21">
        <v>-20</v>
      </c>
      <c r="U3155" s="21" t="s">
        <v>1218</v>
      </c>
      <c r="V3155" s="9" t="s">
        <v>1247</v>
      </c>
      <c r="W3155" s="21">
        <v>56</v>
      </c>
      <c r="X3155" s="9" t="s">
        <v>3088</v>
      </c>
      <c r="Y3155" t="s">
        <v>3211</v>
      </c>
      <c r="Z3155" s="22">
        <v>8</v>
      </c>
      <c r="AD3155" s="22" t="s">
        <v>1165</v>
      </c>
      <c r="AF3155" s="24" t="s">
        <v>153</v>
      </c>
      <c r="AG3155" t="s">
        <v>1160</v>
      </c>
      <c r="AH3155">
        <f t="shared" si="34"/>
        <v>4320</v>
      </c>
      <c r="AI3155" s="21" t="s">
        <v>153</v>
      </c>
      <c r="AJ3155" s="21" t="s">
        <v>1148</v>
      </c>
      <c r="AK3155" s="21">
        <v>0</v>
      </c>
      <c r="AL3155" s="21" t="s">
        <v>1321</v>
      </c>
      <c r="AM3155" s="21">
        <v>0</v>
      </c>
      <c r="AN3155" s="21">
        <v>3</v>
      </c>
      <c r="AO3155" s="21">
        <v>50</v>
      </c>
      <c r="AP3155" s="21">
        <v>3</v>
      </c>
      <c r="AQ3155" s="22" t="s">
        <v>3016</v>
      </c>
      <c r="AR3155" s="21" t="s">
        <v>1279</v>
      </c>
      <c r="AS3155" t="s">
        <v>3085</v>
      </c>
    </row>
    <row r="3156" spans="1:45" x14ac:dyDescent="0.2">
      <c r="A3156" s="21" t="s">
        <v>1685</v>
      </c>
      <c r="B3156" s="21" t="s">
        <v>1146</v>
      </c>
      <c r="C3156" s="21" t="s">
        <v>1149</v>
      </c>
      <c r="D3156" s="21" t="s">
        <v>420</v>
      </c>
      <c r="E3156" s="21" t="s">
        <v>3093</v>
      </c>
      <c r="G3156" s="21" t="s">
        <v>153</v>
      </c>
      <c r="H3156" s="21" t="s">
        <v>1165</v>
      </c>
      <c r="I3156" s="21" t="s">
        <v>3087</v>
      </c>
      <c r="J3156" s="21">
        <v>55.266666666666602</v>
      </c>
      <c r="K3156">
        <v>-128.4</v>
      </c>
      <c r="L3156">
        <v>1100</v>
      </c>
      <c r="M3156" s="21" t="s">
        <v>3034</v>
      </c>
      <c r="O3156" s="21">
        <v>1992</v>
      </c>
      <c r="Q3156" s="21" t="s">
        <v>3086</v>
      </c>
      <c r="T3156" s="21">
        <v>-20</v>
      </c>
      <c r="U3156" s="21" t="s">
        <v>1218</v>
      </c>
      <c r="V3156" s="9" t="s">
        <v>1247</v>
      </c>
      <c r="W3156" s="21">
        <v>56</v>
      </c>
      <c r="X3156" s="9" t="s">
        <v>3088</v>
      </c>
      <c r="Y3156" t="s">
        <v>3211</v>
      </c>
      <c r="Z3156" s="22">
        <v>8</v>
      </c>
      <c r="AD3156" s="22" t="s">
        <v>1165</v>
      </c>
      <c r="AF3156" s="24" t="s">
        <v>153</v>
      </c>
      <c r="AG3156" t="s">
        <v>1160</v>
      </c>
      <c r="AH3156">
        <f t="shared" si="34"/>
        <v>4320</v>
      </c>
      <c r="AI3156" s="21" t="s">
        <v>153</v>
      </c>
      <c r="AJ3156" s="21" t="s">
        <v>1148</v>
      </c>
      <c r="AK3156" s="21">
        <v>4.0490000000000004</v>
      </c>
      <c r="AL3156" s="21" t="s">
        <v>1321</v>
      </c>
      <c r="AM3156" s="21" t="s">
        <v>3003</v>
      </c>
      <c r="AN3156" s="21">
        <v>3</v>
      </c>
      <c r="AO3156" s="21">
        <v>50</v>
      </c>
      <c r="AP3156" s="21">
        <v>6</v>
      </c>
      <c r="AQ3156" s="22" t="s">
        <v>3016</v>
      </c>
      <c r="AR3156" s="21" t="s">
        <v>1279</v>
      </c>
      <c r="AS3156" t="s">
        <v>3085</v>
      </c>
    </row>
    <row r="3157" spans="1:45" x14ac:dyDescent="0.2">
      <c r="A3157" s="21" t="s">
        <v>1685</v>
      </c>
      <c r="B3157" s="21" t="s">
        <v>1146</v>
      </c>
      <c r="C3157" s="21" t="s">
        <v>1149</v>
      </c>
      <c r="D3157" s="21" t="s">
        <v>420</v>
      </c>
      <c r="E3157" s="21" t="s">
        <v>3093</v>
      </c>
      <c r="G3157" s="21" t="s">
        <v>153</v>
      </c>
      <c r="H3157" s="21" t="s">
        <v>1165</v>
      </c>
      <c r="I3157" s="21" t="s">
        <v>3087</v>
      </c>
      <c r="J3157" s="21">
        <v>55.266666666666602</v>
      </c>
      <c r="K3157">
        <v>-128.4</v>
      </c>
      <c r="L3157">
        <v>1100</v>
      </c>
      <c r="M3157" s="21" t="s">
        <v>3034</v>
      </c>
      <c r="O3157" s="21">
        <v>1992</v>
      </c>
      <c r="Q3157" s="21" t="s">
        <v>3086</v>
      </c>
      <c r="T3157" s="21">
        <v>-20</v>
      </c>
      <c r="U3157" s="21" t="s">
        <v>1218</v>
      </c>
      <c r="V3157" s="9" t="s">
        <v>1247</v>
      </c>
      <c r="W3157" s="21">
        <v>56</v>
      </c>
      <c r="X3157" s="9" t="s">
        <v>3088</v>
      </c>
      <c r="Y3157" t="s">
        <v>3211</v>
      </c>
      <c r="Z3157" s="22">
        <v>8</v>
      </c>
      <c r="AD3157" s="22" t="s">
        <v>1165</v>
      </c>
      <c r="AF3157" s="24" t="s">
        <v>153</v>
      </c>
      <c r="AG3157" t="s">
        <v>1160</v>
      </c>
      <c r="AH3157">
        <f t="shared" si="34"/>
        <v>4320</v>
      </c>
      <c r="AI3157" s="21" t="s">
        <v>153</v>
      </c>
      <c r="AJ3157" s="21" t="s">
        <v>1148</v>
      </c>
      <c r="AK3157" s="21">
        <v>24.172000000000001</v>
      </c>
      <c r="AL3157" s="21" t="s">
        <v>1321</v>
      </c>
      <c r="AM3157">
        <f>25.89-23.926</f>
        <v>1.9640000000000022</v>
      </c>
      <c r="AN3157" s="21">
        <v>3</v>
      </c>
      <c r="AO3157" s="21">
        <v>50</v>
      </c>
      <c r="AP3157" s="21">
        <v>9</v>
      </c>
      <c r="AQ3157" s="22" t="s">
        <v>3016</v>
      </c>
      <c r="AR3157" s="21" t="s">
        <v>1279</v>
      </c>
      <c r="AS3157" t="s">
        <v>3085</v>
      </c>
    </row>
    <row r="3158" spans="1:45" x14ac:dyDescent="0.2">
      <c r="A3158" s="21" t="s">
        <v>1685</v>
      </c>
      <c r="B3158" s="21" t="s">
        <v>1146</v>
      </c>
      <c r="C3158" s="21" t="s">
        <v>1149</v>
      </c>
      <c r="D3158" s="21" t="s">
        <v>420</v>
      </c>
      <c r="E3158" s="21" t="s">
        <v>3093</v>
      </c>
      <c r="G3158" s="21" t="s">
        <v>153</v>
      </c>
      <c r="H3158" s="21" t="s">
        <v>1165</v>
      </c>
      <c r="I3158" s="21" t="s">
        <v>3087</v>
      </c>
      <c r="J3158" s="21">
        <v>55.266666666666602</v>
      </c>
      <c r="K3158">
        <v>-128.4</v>
      </c>
      <c r="L3158">
        <v>1100</v>
      </c>
      <c r="M3158" s="21" t="s">
        <v>3034</v>
      </c>
      <c r="O3158" s="21">
        <v>1992</v>
      </c>
      <c r="Q3158" s="21" t="s">
        <v>3086</v>
      </c>
      <c r="T3158" s="21">
        <v>-20</v>
      </c>
      <c r="U3158" s="21" t="s">
        <v>1218</v>
      </c>
      <c r="V3158" s="9" t="s">
        <v>1247</v>
      </c>
      <c r="W3158" s="21">
        <v>56</v>
      </c>
      <c r="X3158" s="9" t="s">
        <v>3088</v>
      </c>
      <c r="Y3158" t="s">
        <v>3211</v>
      </c>
      <c r="Z3158" s="22">
        <v>8</v>
      </c>
      <c r="AD3158" s="22" t="s">
        <v>1165</v>
      </c>
      <c r="AF3158" s="24" t="s">
        <v>153</v>
      </c>
      <c r="AG3158" t="s">
        <v>1160</v>
      </c>
      <c r="AH3158">
        <f t="shared" si="34"/>
        <v>4320</v>
      </c>
      <c r="AI3158" s="21" t="s">
        <v>153</v>
      </c>
      <c r="AJ3158" s="21" t="s">
        <v>1148</v>
      </c>
      <c r="AK3158" s="21">
        <v>36.319000000000003</v>
      </c>
      <c r="AL3158" s="21" t="s">
        <v>1321</v>
      </c>
      <c r="AM3158" s="21">
        <f>37.914-35.951</f>
        <v>1.963000000000001</v>
      </c>
      <c r="AN3158" s="21">
        <v>3</v>
      </c>
      <c r="AO3158" s="21">
        <v>50</v>
      </c>
      <c r="AP3158" s="21">
        <v>12</v>
      </c>
      <c r="AQ3158" s="22" t="s">
        <v>3016</v>
      </c>
      <c r="AR3158" s="21" t="s">
        <v>1279</v>
      </c>
      <c r="AS3158" t="s">
        <v>3085</v>
      </c>
    </row>
    <row r="3159" spans="1:45" x14ac:dyDescent="0.2">
      <c r="A3159" s="21" t="s">
        <v>1685</v>
      </c>
      <c r="B3159" s="21" t="s">
        <v>1146</v>
      </c>
      <c r="C3159" s="21" t="s">
        <v>1149</v>
      </c>
      <c r="D3159" s="21" t="s">
        <v>420</v>
      </c>
      <c r="E3159" s="21" t="s">
        <v>3093</v>
      </c>
      <c r="G3159" s="21" t="s">
        <v>153</v>
      </c>
      <c r="H3159" s="21" t="s">
        <v>1165</v>
      </c>
      <c r="I3159" s="21" t="s">
        <v>3087</v>
      </c>
      <c r="J3159" s="21">
        <v>55.266666666666602</v>
      </c>
      <c r="K3159">
        <v>-128.4</v>
      </c>
      <c r="L3159">
        <v>1100</v>
      </c>
      <c r="M3159" s="21" t="s">
        <v>3034</v>
      </c>
      <c r="O3159" s="21">
        <v>1992</v>
      </c>
      <c r="Q3159" s="21" t="s">
        <v>3086</v>
      </c>
      <c r="T3159" s="21">
        <v>-20</v>
      </c>
      <c r="U3159" s="21" t="s">
        <v>1218</v>
      </c>
      <c r="V3159" s="9" t="s">
        <v>1247</v>
      </c>
      <c r="W3159" s="21">
        <v>56</v>
      </c>
      <c r="X3159" s="9" t="s">
        <v>3088</v>
      </c>
      <c r="Y3159" t="s">
        <v>3211</v>
      </c>
      <c r="Z3159" s="22">
        <v>8</v>
      </c>
      <c r="AD3159" s="22" t="s">
        <v>1165</v>
      </c>
      <c r="AF3159" s="24" t="s">
        <v>153</v>
      </c>
      <c r="AG3159" t="s">
        <v>1160</v>
      </c>
      <c r="AH3159">
        <f t="shared" si="34"/>
        <v>4320</v>
      </c>
      <c r="AI3159" s="21" t="s">
        <v>153</v>
      </c>
      <c r="AJ3159" s="21" t="s">
        <v>1148</v>
      </c>
      <c r="AK3159" s="21">
        <v>46.38</v>
      </c>
      <c r="AL3159" s="21" t="s">
        <v>1321</v>
      </c>
      <c r="AM3159" s="21">
        <f>47.975-46.012</f>
        <v>1.963000000000001</v>
      </c>
      <c r="AN3159" s="21">
        <v>3</v>
      </c>
      <c r="AO3159" s="21">
        <v>50</v>
      </c>
      <c r="AP3159" s="21">
        <v>15</v>
      </c>
      <c r="AQ3159" s="22" t="s">
        <v>3016</v>
      </c>
      <c r="AR3159" s="21" t="s">
        <v>1279</v>
      </c>
      <c r="AS3159" t="s">
        <v>3085</v>
      </c>
    </row>
    <row r="3160" spans="1:45" x14ac:dyDescent="0.2">
      <c r="A3160" s="21" t="s">
        <v>1685</v>
      </c>
      <c r="B3160" s="21" t="s">
        <v>1146</v>
      </c>
      <c r="C3160" s="21" t="s">
        <v>1149</v>
      </c>
      <c r="D3160" s="21" t="s">
        <v>420</v>
      </c>
      <c r="E3160" s="21" t="s">
        <v>3093</v>
      </c>
      <c r="G3160" s="21" t="s">
        <v>153</v>
      </c>
      <c r="H3160" s="21" t="s">
        <v>1165</v>
      </c>
      <c r="I3160" s="21" t="s">
        <v>3087</v>
      </c>
      <c r="J3160" s="21">
        <v>55.266666666666602</v>
      </c>
      <c r="K3160">
        <v>-128.4</v>
      </c>
      <c r="L3160">
        <v>1100</v>
      </c>
      <c r="M3160" s="21" t="s">
        <v>3034</v>
      </c>
      <c r="O3160" s="21">
        <v>1992</v>
      </c>
      <c r="Q3160" s="21" t="s">
        <v>3086</v>
      </c>
      <c r="T3160" s="21">
        <v>-20</v>
      </c>
      <c r="U3160" s="21" t="s">
        <v>1218</v>
      </c>
      <c r="V3160" s="9" t="s">
        <v>1247</v>
      </c>
      <c r="W3160" s="21">
        <v>56</v>
      </c>
      <c r="X3160" s="9" t="s">
        <v>3088</v>
      </c>
      <c r="Y3160" t="s">
        <v>3211</v>
      </c>
      <c r="Z3160" s="22">
        <v>8</v>
      </c>
      <c r="AD3160" s="22" t="s">
        <v>1165</v>
      </c>
      <c r="AF3160" s="24" t="s">
        <v>153</v>
      </c>
      <c r="AG3160" t="s">
        <v>1160</v>
      </c>
      <c r="AH3160">
        <f t="shared" si="34"/>
        <v>4320</v>
      </c>
      <c r="AI3160" s="21" t="s">
        <v>153</v>
      </c>
      <c r="AJ3160" s="21" t="s">
        <v>1148</v>
      </c>
      <c r="AK3160" s="21">
        <v>57.790999999999997</v>
      </c>
      <c r="AL3160" s="21" t="s">
        <v>1321</v>
      </c>
      <c r="AM3160" s="21">
        <f>60-56.81</f>
        <v>3.1899999999999977</v>
      </c>
      <c r="AN3160" s="21">
        <v>3</v>
      </c>
      <c r="AO3160" s="21">
        <v>50</v>
      </c>
      <c r="AP3160" s="21">
        <v>18</v>
      </c>
      <c r="AQ3160" s="22" t="s">
        <v>3016</v>
      </c>
      <c r="AR3160" s="21" t="s">
        <v>1279</v>
      </c>
      <c r="AS3160" t="s">
        <v>3085</v>
      </c>
    </row>
    <row r="3161" spans="1:45" x14ac:dyDescent="0.2">
      <c r="A3161" s="21" t="s">
        <v>1685</v>
      </c>
      <c r="B3161" s="21" t="s">
        <v>1146</v>
      </c>
      <c r="C3161" s="21" t="s">
        <v>1149</v>
      </c>
      <c r="D3161" s="21" t="s">
        <v>420</v>
      </c>
      <c r="E3161" s="21" t="s">
        <v>3093</v>
      </c>
      <c r="G3161" s="21" t="s">
        <v>153</v>
      </c>
      <c r="H3161" s="21" t="s">
        <v>1165</v>
      </c>
      <c r="I3161" s="21" t="s">
        <v>3087</v>
      </c>
      <c r="J3161" s="21">
        <v>55.266666666666602</v>
      </c>
      <c r="K3161">
        <v>-128.4</v>
      </c>
      <c r="L3161">
        <v>1100</v>
      </c>
      <c r="M3161" s="21" t="s">
        <v>3034</v>
      </c>
      <c r="O3161" s="21">
        <v>1992</v>
      </c>
      <c r="Q3161" s="21" t="s">
        <v>3086</v>
      </c>
      <c r="T3161" s="21">
        <v>-20</v>
      </c>
      <c r="U3161" s="21" t="s">
        <v>1218</v>
      </c>
      <c r="V3161" s="9" t="s">
        <v>1247</v>
      </c>
      <c r="W3161" s="21">
        <v>56</v>
      </c>
      <c r="X3161" s="9" t="s">
        <v>3088</v>
      </c>
      <c r="Y3161" t="s">
        <v>3211</v>
      </c>
      <c r="Z3161" s="22">
        <v>8</v>
      </c>
      <c r="AD3161" s="22" t="s">
        <v>1165</v>
      </c>
      <c r="AF3161" s="24" t="s">
        <v>153</v>
      </c>
      <c r="AG3161" t="s">
        <v>1160</v>
      </c>
      <c r="AH3161">
        <f t="shared" si="34"/>
        <v>4320</v>
      </c>
      <c r="AI3161" s="21" t="s">
        <v>153</v>
      </c>
      <c r="AJ3161" s="21" t="s">
        <v>1148</v>
      </c>
      <c r="AK3161" s="21">
        <v>61.226999999999997</v>
      </c>
      <c r="AL3161" s="21" t="s">
        <v>1321</v>
      </c>
      <c r="AM3161" s="21">
        <f>63.681-60</f>
        <v>3.6809999999999974</v>
      </c>
      <c r="AN3161" s="21">
        <v>3</v>
      </c>
      <c r="AO3161" s="21">
        <v>50</v>
      </c>
      <c r="AP3161" s="21">
        <v>21</v>
      </c>
      <c r="AQ3161" s="22" t="s">
        <v>3016</v>
      </c>
      <c r="AR3161" s="21" t="s">
        <v>1279</v>
      </c>
      <c r="AS3161" t="s">
        <v>3085</v>
      </c>
    </row>
    <row r="3162" spans="1:45" x14ac:dyDescent="0.2">
      <c r="A3162" s="21" t="s">
        <v>1685</v>
      </c>
      <c r="B3162" s="21" t="s">
        <v>1146</v>
      </c>
      <c r="C3162" s="21" t="s">
        <v>1149</v>
      </c>
      <c r="D3162" s="21" t="s">
        <v>420</v>
      </c>
      <c r="E3162" s="21" t="s">
        <v>3093</v>
      </c>
      <c r="G3162" s="21" t="s">
        <v>153</v>
      </c>
      <c r="H3162" s="21" t="s">
        <v>1165</v>
      </c>
      <c r="I3162" s="21" t="s">
        <v>3087</v>
      </c>
      <c r="J3162" s="21">
        <v>55.266666666666602</v>
      </c>
      <c r="K3162">
        <v>-128.4</v>
      </c>
      <c r="L3162">
        <v>1100</v>
      </c>
      <c r="M3162" s="21" t="s">
        <v>3034</v>
      </c>
      <c r="O3162" s="21">
        <v>1992</v>
      </c>
      <c r="Q3162" s="21" t="s">
        <v>3086</v>
      </c>
      <c r="T3162" s="21">
        <v>-20</v>
      </c>
      <c r="U3162" s="21" t="s">
        <v>1218</v>
      </c>
      <c r="V3162" s="9" t="s">
        <v>1247</v>
      </c>
      <c r="W3162" s="21">
        <v>56</v>
      </c>
      <c r="X3162" s="9" t="s">
        <v>3088</v>
      </c>
      <c r="Y3162" t="s">
        <v>3211</v>
      </c>
      <c r="Z3162" s="22">
        <v>8</v>
      </c>
      <c r="AD3162" s="22" t="s">
        <v>1165</v>
      </c>
      <c r="AF3162" s="24" t="s">
        <v>153</v>
      </c>
      <c r="AG3162" t="s">
        <v>1160</v>
      </c>
      <c r="AH3162">
        <f t="shared" si="34"/>
        <v>4320</v>
      </c>
      <c r="AI3162" s="21" t="s">
        <v>153</v>
      </c>
      <c r="AJ3162" s="21" t="s">
        <v>1148</v>
      </c>
      <c r="AK3162" s="21">
        <v>63.067</v>
      </c>
      <c r="AL3162" s="21" t="s">
        <v>1321</v>
      </c>
      <c r="AM3162" s="21" t="s">
        <v>3003</v>
      </c>
      <c r="AN3162" s="21">
        <v>3</v>
      </c>
      <c r="AO3162" s="21">
        <v>50</v>
      </c>
      <c r="AP3162" s="21">
        <v>24</v>
      </c>
      <c r="AQ3162" s="22" t="s">
        <v>3016</v>
      </c>
      <c r="AR3162" s="21" t="s">
        <v>1279</v>
      </c>
      <c r="AS3162" t="s">
        <v>3085</v>
      </c>
    </row>
    <row r="3163" spans="1:45" x14ac:dyDescent="0.2">
      <c r="A3163" s="21" t="s">
        <v>1685</v>
      </c>
      <c r="B3163" s="21" t="s">
        <v>1146</v>
      </c>
      <c r="C3163" s="21" t="s">
        <v>1149</v>
      </c>
      <c r="D3163" s="21" t="s">
        <v>420</v>
      </c>
      <c r="E3163" s="21" t="s">
        <v>3093</v>
      </c>
      <c r="G3163" s="21" t="s">
        <v>153</v>
      </c>
      <c r="H3163" s="21" t="s">
        <v>1165</v>
      </c>
      <c r="I3163" s="21" t="s">
        <v>3087</v>
      </c>
      <c r="J3163" s="21">
        <v>55.266666666666602</v>
      </c>
      <c r="K3163">
        <v>-128.4</v>
      </c>
      <c r="L3163">
        <v>1100</v>
      </c>
      <c r="M3163" s="21" t="s">
        <v>3034</v>
      </c>
      <c r="O3163" s="21">
        <v>1992</v>
      </c>
      <c r="Q3163" s="21" t="s">
        <v>3086</v>
      </c>
      <c r="T3163" s="21">
        <v>-20</v>
      </c>
      <c r="U3163" s="21" t="s">
        <v>1218</v>
      </c>
      <c r="V3163" s="9" t="s">
        <v>1247</v>
      </c>
      <c r="W3163" s="21">
        <v>56</v>
      </c>
      <c r="X3163" s="9" t="s">
        <v>3088</v>
      </c>
      <c r="Y3163" t="s">
        <v>3211</v>
      </c>
      <c r="Z3163" s="22">
        <v>8</v>
      </c>
      <c r="AD3163" s="22" t="s">
        <v>1165</v>
      </c>
      <c r="AF3163" s="24" t="s">
        <v>153</v>
      </c>
      <c r="AG3163" t="s">
        <v>1160</v>
      </c>
      <c r="AH3163">
        <f t="shared" si="34"/>
        <v>4320</v>
      </c>
      <c r="AI3163" s="21" t="s">
        <v>153</v>
      </c>
      <c r="AJ3163" s="21" t="s">
        <v>1148</v>
      </c>
      <c r="AK3163" s="21">
        <v>64.662999999999997</v>
      </c>
      <c r="AL3163" s="21" t="s">
        <v>1321</v>
      </c>
      <c r="AM3163" s="21" t="s">
        <v>3003</v>
      </c>
      <c r="AN3163" s="21">
        <v>3</v>
      </c>
      <c r="AO3163" s="21">
        <v>50</v>
      </c>
      <c r="AP3163" s="21">
        <v>27</v>
      </c>
      <c r="AQ3163" s="22" t="s">
        <v>3016</v>
      </c>
      <c r="AR3163" s="21" t="s">
        <v>1279</v>
      </c>
      <c r="AS3163" t="s">
        <v>3085</v>
      </c>
    </row>
    <row r="3164" spans="1:45" x14ac:dyDescent="0.2">
      <c r="A3164" s="21" t="s">
        <v>1685</v>
      </c>
      <c r="B3164" s="21" t="s">
        <v>1146</v>
      </c>
      <c r="C3164" s="21" t="s">
        <v>1149</v>
      </c>
      <c r="D3164" s="21" t="s">
        <v>420</v>
      </c>
      <c r="E3164" s="21" t="s">
        <v>3093</v>
      </c>
      <c r="G3164" s="21" t="s">
        <v>153</v>
      </c>
      <c r="H3164" s="21" t="s">
        <v>1165</v>
      </c>
      <c r="I3164" s="21" t="s">
        <v>3087</v>
      </c>
      <c r="J3164" s="21">
        <v>55.266666666666602</v>
      </c>
      <c r="K3164">
        <v>-128.4</v>
      </c>
      <c r="L3164">
        <v>1100</v>
      </c>
      <c r="M3164" s="21" t="s">
        <v>3034</v>
      </c>
      <c r="O3164" s="21">
        <v>1992</v>
      </c>
      <c r="Q3164" s="21" t="s">
        <v>3086</v>
      </c>
      <c r="T3164" s="21">
        <v>-20</v>
      </c>
      <c r="U3164" s="21" t="s">
        <v>1218</v>
      </c>
      <c r="V3164" s="9" t="s">
        <v>1247</v>
      </c>
      <c r="W3164" s="21">
        <v>56</v>
      </c>
      <c r="X3164" s="9" t="s">
        <v>3088</v>
      </c>
      <c r="Y3164" t="s">
        <v>3211</v>
      </c>
      <c r="Z3164" s="22">
        <v>8</v>
      </c>
      <c r="AD3164" s="22" t="s">
        <v>1165</v>
      </c>
      <c r="AF3164" s="24" t="s">
        <v>153</v>
      </c>
      <c r="AG3164" t="s">
        <v>1160</v>
      </c>
      <c r="AH3164">
        <f t="shared" si="34"/>
        <v>4320</v>
      </c>
      <c r="AI3164" s="21" t="s">
        <v>153</v>
      </c>
      <c r="AJ3164" s="21" t="s">
        <v>1148</v>
      </c>
      <c r="AK3164" s="21">
        <v>65.399000000000001</v>
      </c>
      <c r="AL3164" s="21" t="s">
        <v>1321</v>
      </c>
      <c r="AM3164" s="21" t="s">
        <v>3003</v>
      </c>
      <c r="AN3164" s="21">
        <v>3</v>
      </c>
      <c r="AO3164" s="21">
        <v>50</v>
      </c>
      <c r="AP3164" s="21">
        <v>30</v>
      </c>
      <c r="AQ3164" s="22" t="s">
        <v>3016</v>
      </c>
      <c r="AR3164" s="21" t="s">
        <v>1279</v>
      </c>
      <c r="AS3164" t="s">
        <v>3085</v>
      </c>
    </row>
    <row r="3165" spans="1:45" x14ac:dyDescent="0.2">
      <c r="A3165" s="21" t="s">
        <v>1685</v>
      </c>
      <c r="B3165" s="21" t="s">
        <v>1146</v>
      </c>
      <c r="C3165" s="21" t="s">
        <v>1149</v>
      </c>
      <c r="D3165" s="21" t="s">
        <v>420</v>
      </c>
      <c r="E3165" s="21" t="s">
        <v>3093</v>
      </c>
      <c r="G3165" s="21" t="s">
        <v>153</v>
      </c>
      <c r="H3165" s="21" t="s">
        <v>1165</v>
      </c>
      <c r="I3165" s="21" t="s">
        <v>3087</v>
      </c>
      <c r="J3165" s="21">
        <v>55.266666666666602</v>
      </c>
      <c r="K3165">
        <v>-128.4</v>
      </c>
      <c r="L3165">
        <v>1100</v>
      </c>
      <c r="M3165" s="21" t="s">
        <v>3034</v>
      </c>
      <c r="O3165" s="21">
        <v>1992</v>
      </c>
      <c r="Q3165" s="21" t="s">
        <v>3086</v>
      </c>
      <c r="T3165" s="21">
        <v>-20</v>
      </c>
      <c r="U3165" s="21" t="s">
        <v>1218</v>
      </c>
      <c r="V3165" s="9" t="s">
        <v>1247</v>
      </c>
      <c r="W3165" s="21">
        <v>56</v>
      </c>
      <c r="X3165" s="9" t="s">
        <v>3088</v>
      </c>
      <c r="Y3165" t="s">
        <v>3212</v>
      </c>
      <c r="Z3165" s="22">
        <v>8</v>
      </c>
      <c r="AD3165" s="22" t="s">
        <v>1165</v>
      </c>
      <c r="AF3165" s="24" t="s">
        <v>153</v>
      </c>
      <c r="AG3165" t="s">
        <v>1160</v>
      </c>
      <c r="AH3165">
        <f t="shared" si="34"/>
        <v>4320</v>
      </c>
      <c r="AI3165" s="21" t="s">
        <v>153</v>
      </c>
      <c r="AJ3165" s="21" t="s">
        <v>1148</v>
      </c>
      <c r="AK3165" s="21">
        <v>0</v>
      </c>
      <c r="AL3165" s="21" t="s">
        <v>1321</v>
      </c>
      <c r="AM3165">
        <v>0</v>
      </c>
      <c r="AN3165" s="21">
        <v>3</v>
      </c>
      <c r="AO3165" s="21">
        <v>50</v>
      </c>
      <c r="AP3165" s="21">
        <v>3</v>
      </c>
      <c r="AQ3165" s="22" t="s">
        <v>3016</v>
      </c>
      <c r="AR3165" s="21" t="s">
        <v>1279</v>
      </c>
      <c r="AS3165" t="s">
        <v>3085</v>
      </c>
    </row>
    <row r="3166" spans="1:45" x14ac:dyDescent="0.2">
      <c r="A3166" s="21" t="s">
        <v>1685</v>
      </c>
      <c r="B3166" s="21" t="s">
        <v>1146</v>
      </c>
      <c r="C3166" s="21" t="s">
        <v>1149</v>
      </c>
      <c r="D3166" s="21" t="s">
        <v>420</v>
      </c>
      <c r="E3166" s="21" t="s">
        <v>3093</v>
      </c>
      <c r="G3166" s="21" t="s">
        <v>153</v>
      </c>
      <c r="H3166" s="21" t="s">
        <v>1165</v>
      </c>
      <c r="I3166" s="21" t="s">
        <v>3087</v>
      </c>
      <c r="J3166" s="21">
        <v>55.266666666666602</v>
      </c>
      <c r="K3166">
        <v>-128.4</v>
      </c>
      <c r="L3166">
        <v>1100</v>
      </c>
      <c r="M3166" s="21" t="s">
        <v>3034</v>
      </c>
      <c r="O3166" s="21">
        <v>1992</v>
      </c>
      <c r="Q3166" s="21" t="s">
        <v>3086</v>
      </c>
      <c r="T3166" s="21">
        <v>-20</v>
      </c>
      <c r="U3166" s="21" t="s">
        <v>1218</v>
      </c>
      <c r="V3166" s="9" t="s">
        <v>1247</v>
      </c>
      <c r="W3166" s="21">
        <v>56</v>
      </c>
      <c r="X3166" s="9" t="s">
        <v>3088</v>
      </c>
      <c r="Y3166" t="s">
        <v>3212</v>
      </c>
      <c r="Z3166" s="22">
        <v>8</v>
      </c>
      <c r="AD3166" s="22" t="s">
        <v>1165</v>
      </c>
      <c r="AF3166" s="24" t="s">
        <v>153</v>
      </c>
      <c r="AG3166" t="s">
        <v>1160</v>
      </c>
      <c r="AH3166">
        <f t="shared" si="34"/>
        <v>4320</v>
      </c>
      <c r="AI3166" s="21" t="s">
        <v>153</v>
      </c>
      <c r="AJ3166" s="21" t="s">
        <v>1148</v>
      </c>
      <c r="AK3166" s="21">
        <v>5.1529999999999996</v>
      </c>
      <c r="AL3166" s="21" t="s">
        <v>1321</v>
      </c>
      <c r="AM3166" s="21" t="s">
        <v>3003</v>
      </c>
      <c r="AN3166" s="21">
        <v>3</v>
      </c>
      <c r="AO3166" s="21">
        <v>50</v>
      </c>
      <c r="AP3166" s="21">
        <v>6</v>
      </c>
      <c r="AQ3166" s="22" t="s">
        <v>3016</v>
      </c>
      <c r="AR3166" s="21" t="s">
        <v>1279</v>
      </c>
      <c r="AS3166" t="s">
        <v>3085</v>
      </c>
    </row>
    <row r="3167" spans="1:45" x14ac:dyDescent="0.2">
      <c r="A3167" s="21" t="s">
        <v>1685</v>
      </c>
      <c r="B3167" s="21" t="s">
        <v>1146</v>
      </c>
      <c r="C3167" s="21" t="s">
        <v>1149</v>
      </c>
      <c r="D3167" s="21" t="s">
        <v>420</v>
      </c>
      <c r="E3167" s="21" t="s">
        <v>3093</v>
      </c>
      <c r="G3167" s="21" t="s">
        <v>153</v>
      </c>
      <c r="H3167" s="21" t="s">
        <v>1165</v>
      </c>
      <c r="I3167" s="21" t="s">
        <v>3087</v>
      </c>
      <c r="J3167" s="21">
        <v>55.266666666666602</v>
      </c>
      <c r="K3167">
        <v>-128.4</v>
      </c>
      <c r="L3167">
        <v>1100</v>
      </c>
      <c r="M3167" s="21" t="s">
        <v>3034</v>
      </c>
      <c r="O3167" s="21">
        <v>1992</v>
      </c>
      <c r="Q3167" s="21" t="s">
        <v>3086</v>
      </c>
      <c r="T3167" s="21">
        <v>-20</v>
      </c>
      <c r="U3167" s="21" t="s">
        <v>1218</v>
      </c>
      <c r="V3167" s="9" t="s">
        <v>1247</v>
      </c>
      <c r="W3167" s="21">
        <v>56</v>
      </c>
      <c r="X3167" s="9" t="s">
        <v>3088</v>
      </c>
      <c r="Y3167" t="s">
        <v>3212</v>
      </c>
      <c r="Z3167" s="22">
        <v>8</v>
      </c>
      <c r="AD3167" s="22" t="s">
        <v>1165</v>
      </c>
      <c r="AF3167" s="24" t="s">
        <v>153</v>
      </c>
      <c r="AG3167" t="s">
        <v>1160</v>
      </c>
      <c r="AH3167">
        <f t="shared" si="34"/>
        <v>4320</v>
      </c>
      <c r="AI3167" s="21" t="s">
        <v>153</v>
      </c>
      <c r="AJ3167" s="21" t="s">
        <v>1148</v>
      </c>
      <c r="AK3167" s="21">
        <v>18.527999999999999</v>
      </c>
      <c r="AL3167" s="21" t="s">
        <v>1321</v>
      </c>
      <c r="AM3167" s="21">
        <f>21.227-16.319</f>
        <v>4.9080000000000013</v>
      </c>
      <c r="AN3167" s="21">
        <v>3</v>
      </c>
      <c r="AO3167" s="21">
        <v>50</v>
      </c>
      <c r="AP3167" s="21">
        <v>9</v>
      </c>
      <c r="AQ3167" s="22" t="s">
        <v>3016</v>
      </c>
      <c r="AR3167" s="21" t="s">
        <v>1279</v>
      </c>
      <c r="AS3167" t="s">
        <v>3085</v>
      </c>
    </row>
    <row r="3168" spans="1:45" x14ac:dyDescent="0.2">
      <c r="A3168" s="21" t="s">
        <v>1685</v>
      </c>
      <c r="B3168" s="21" t="s">
        <v>1146</v>
      </c>
      <c r="C3168" s="21" t="s">
        <v>1149</v>
      </c>
      <c r="D3168" s="21" t="s">
        <v>420</v>
      </c>
      <c r="E3168" s="21" t="s">
        <v>3093</v>
      </c>
      <c r="G3168" s="21" t="s">
        <v>153</v>
      </c>
      <c r="H3168" s="21" t="s">
        <v>1165</v>
      </c>
      <c r="I3168" s="21" t="s">
        <v>3087</v>
      </c>
      <c r="J3168" s="21">
        <v>55.266666666666602</v>
      </c>
      <c r="K3168">
        <v>-128.4</v>
      </c>
      <c r="L3168">
        <v>1100</v>
      </c>
      <c r="M3168" s="21" t="s">
        <v>3034</v>
      </c>
      <c r="O3168" s="21">
        <v>1992</v>
      </c>
      <c r="Q3168" s="21" t="s">
        <v>3086</v>
      </c>
      <c r="T3168" s="21">
        <v>-20</v>
      </c>
      <c r="U3168" s="21" t="s">
        <v>1218</v>
      </c>
      <c r="V3168" s="9" t="s">
        <v>1247</v>
      </c>
      <c r="W3168" s="21">
        <v>56</v>
      </c>
      <c r="X3168" s="9" t="s">
        <v>3088</v>
      </c>
      <c r="Y3168" t="s">
        <v>3212</v>
      </c>
      <c r="Z3168" s="22">
        <v>8</v>
      </c>
      <c r="AD3168" s="22" t="s">
        <v>1165</v>
      </c>
      <c r="AF3168" s="24" t="s">
        <v>153</v>
      </c>
      <c r="AG3168" t="s">
        <v>1160</v>
      </c>
      <c r="AH3168">
        <f t="shared" si="34"/>
        <v>4320</v>
      </c>
      <c r="AI3168" s="21" t="s">
        <v>153</v>
      </c>
      <c r="AJ3168" s="21" t="s">
        <v>1148</v>
      </c>
      <c r="AK3168" s="21">
        <v>29.08</v>
      </c>
      <c r="AL3168" s="21" t="s">
        <v>1321</v>
      </c>
      <c r="AM3168" s="21" t="s">
        <v>3003</v>
      </c>
      <c r="AN3168" s="21">
        <v>3</v>
      </c>
      <c r="AO3168" s="21">
        <v>50</v>
      </c>
      <c r="AP3168" s="21">
        <v>12</v>
      </c>
      <c r="AQ3168" s="22" t="s">
        <v>3016</v>
      </c>
      <c r="AR3168" s="21" t="s">
        <v>1279</v>
      </c>
      <c r="AS3168" t="s">
        <v>3085</v>
      </c>
    </row>
    <row r="3169" spans="1:45" x14ac:dyDescent="0.2">
      <c r="A3169" s="21" t="s">
        <v>1685</v>
      </c>
      <c r="B3169" s="21" t="s">
        <v>1146</v>
      </c>
      <c r="C3169" s="21" t="s">
        <v>1149</v>
      </c>
      <c r="D3169" s="21" t="s">
        <v>420</v>
      </c>
      <c r="E3169" s="21" t="s">
        <v>3093</v>
      </c>
      <c r="G3169" s="21" t="s">
        <v>153</v>
      </c>
      <c r="H3169" s="21" t="s">
        <v>1165</v>
      </c>
      <c r="I3169" s="21" t="s">
        <v>3087</v>
      </c>
      <c r="J3169" s="21">
        <v>55.266666666666602</v>
      </c>
      <c r="K3169">
        <v>-128.4</v>
      </c>
      <c r="L3169">
        <v>1100</v>
      </c>
      <c r="M3169" s="21" t="s">
        <v>3034</v>
      </c>
      <c r="O3169" s="21">
        <v>1992</v>
      </c>
      <c r="Q3169" s="21" t="s">
        <v>3086</v>
      </c>
      <c r="T3169" s="21">
        <v>-20</v>
      </c>
      <c r="U3169" s="21" t="s">
        <v>1218</v>
      </c>
      <c r="V3169" s="9" t="s">
        <v>1247</v>
      </c>
      <c r="W3169" s="21">
        <v>56</v>
      </c>
      <c r="X3169" s="9" t="s">
        <v>3088</v>
      </c>
      <c r="Y3169" t="s">
        <v>3212</v>
      </c>
      <c r="Z3169" s="22">
        <v>8</v>
      </c>
      <c r="AD3169" s="22" t="s">
        <v>1165</v>
      </c>
      <c r="AF3169" s="24" t="s">
        <v>153</v>
      </c>
      <c r="AG3169" t="s">
        <v>1160</v>
      </c>
      <c r="AH3169">
        <f t="shared" si="34"/>
        <v>4320</v>
      </c>
      <c r="AI3169" s="21" t="s">
        <v>153</v>
      </c>
      <c r="AJ3169" s="21" t="s">
        <v>1148</v>
      </c>
      <c r="AK3169" s="21">
        <v>36.686999999999998</v>
      </c>
      <c r="AL3169" s="21" t="s">
        <v>1321</v>
      </c>
      <c r="AM3169" s="21">
        <f>38.896-34.969</f>
        <v>3.9269999999999996</v>
      </c>
      <c r="AN3169" s="21">
        <v>3</v>
      </c>
      <c r="AO3169" s="21">
        <v>50</v>
      </c>
      <c r="AP3169" s="21">
        <v>15</v>
      </c>
      <c r="AQ3169" s="22" t="s">
        <v>3016</v>
      </c>
      <c r="AR3169" s="21" t="s">
        <v>1279</v>
      </c>
      <c r="AS3169" t="s">
        <v>3085</v>
      </c>
    </row>
    <row r="3170" spans="1:45" x14ac:dyDescent="0.2">
      <c r="A3170" s="21" t="s">
        <v>1685</v>
      </c>
      <c r="B3170" s="21" t="s">
        <v>1146</v>
      </c>
      <c r="C3170" s="21" t="s">
        <v>1149</v>
      </c>
      <c r="D3170" s="21" t="s">
        <v>420</v>
      </c>
      <c r="E3170" s="21" t="s">
        <v>3093</v>
      </c>
      <c r="G3170" s="21" t="s">
        <v>153</v>
      </c>
      <c r="H3170" s="21" t="s">
        <v>1165</v>
      </c>
      <c r="I3170" s="21" t="s">
        <v>3087</v>
      </c>
      <c r="J3170" s="21">
        <v>55.266666666666602</v>
      </c>
      <c r="K3170">
        <v>-128.4</v>
      </c>
      <c r="L3170">
        <v>1100</v>
      </c>
      <c r="M3170" s="21" t="s">
        <v>3034</v>
      </c>
      <c r="O3170" s="21">
        <v>1992</v>
      </c>
      <c r="Q3170" s="21" t="s">
        <v>3086</v>
      </c>
      <c r="T3170" s="21">
        <v>-20</v>
      </c>
      <c r="U3170" s="21" t="s">
        <v>1218</v>
      </c>
      <c r="V3170" s="9" t="s">
        <v>1247</v>
      </c>
      <c r="W3170" s="21">
        <v>56</v>
      </c>
      <c r="X3170" s="9" t="s">
        <v>3088</v>
      </c>
      <c r="Y3170" t="s">
        <v>3212</v>
      </c>
      <c r="Z3170" s="22">
        <v>8</v>
      </c>
      <c r="AD3170" s="22" t="s">
        <v>1165</v>
      </c>
      <c r="AF3170" s="24" t="s">
        <v>153</v>
      </c>
      <c r="AG3170" t="s">
        <v>1160</v>
      </c>
      <c r="AH3170">
        <f t="shared" si="34"/>
        <v>4320</v>
      </c>
      <c r="AI3170" s="21" t="s">
        <v>153</v>
      </c>
      <c r="AJ3170" s="21" t="s">
        <v>1148</v>
      </c>
      <c r="AK3170" s="21">
        <v>38.896000000000001</v>
      </c>
      <c r="AL3170" s="21" t="s">
        <v>1321</v>
      </c>
      <c r="AM3170" s="21">
        <v>0</v>
      </c>
      <c r="AN3170" s="21">
        <v>3</v>
      </c>
      <c r="AO3170" s="21">
        <v>50</v>
      </c>
      <c r="AP3170" s="21">
        <v>18</v>
      </c>
      <c r="AQ3170" s="22" t="s">
        <v>3016</v>
      </c>
      <c r="AR3170" s="21" t="s">
        <v>1279</v>
      </c>
      <c r="AS3170" t="s">
        <v>3085</v>
      </c>
    </row>
    <row r="3171" spans="1:45" x14ac:dyDescent="0.2">
      <c r="A3171" s="21" t="s">
        <v>1685</v>
      </c>
      <c r="B3171" s="21" t="s">
        <v>1146</v>
      </c>
      <c r="C3171" s="21" t="s">
        <v>1149</v>
      </c>
      <c r="D3171" s="21" t="s">
        <v>420</v>
      </c>
      <c r="E3171" s="21" t="s">
        <v>3093</v>
      </c>
      <c r="G3171" s="21" t="s">
        <v>153</v>
      </c>
      <c r="H3171" s="21" t="s">
        <v>1165</v>
      </c>
      <c r="I3171" s="21" t="s">
        <v>3087</v>
      </c>
      <c r="J3171" s="21">
        <v>55.266666666666602</v>
      </c>
      <c r="K3171">
        <v>-128.4</v>
      </c>
      <c r="L3171">
        <v>1100</v>
      </c>
      <c r="M3171" s="21" t="s">
        <v>3034</v>
      </c>
      <c r="O3171" s="21">
        <v>1992</v>
      </c>
      <c r="Q3171" s="21" t="s">
        <v>3086</v>
      </c>
      <c r="T3171" s="21">
        <v>-20</v>
      </c>
      <c r="U3171" s="21" t="s">
        <v>1218</v>
      </c>
      <c r="V3171" s="9" t="s">
        <v>1247</v>
      </c>
      <c r="W3171" s="21">
        <v>56</v>
      </c>
      <c r="X3171" s="9" t="s">
        <v>3088</v>
      </c>
      <c r="Y3171" t="s">
        <v>3212</v>
      </c>
      <c r="Z3171" s="22">
        <v>8</v>
      </c>
      <c r="AD3171" s="22" t="s">
        <v>1165</v>
      </c>
      <c r="AF3171" s="24" t="s">
        <v>153</v>
      </c>
      <c r="AG3171" t="s">
        <v>1160</v>
      </c>
      <c r="AH3171">
        <f t="shared" si="34"/>
        <v>4320</v>
      </c>
      <c r="AI3171" s="21" t="s">
        <v>153</v>
      </c>
      <c r="AJ3171" s="21" t="s">
        <v>1148</v>
      </c>
      <c r="AK3171" s="21">
        <v>45.030999999999999</v>
      </c>
      <c r="AL3171" s="21" t="s">
        <v>1321</v>
      </c>
      <c r="AM3171" s="21">
        <f>46.994-43.067</f>
        <v>3.9269999999999996</v>
      </c>
      <c r="AN3171" s="21">
        <v>3</v>
      </c>
      <c r="AO3171" s="21">
        <v>50</v>
      </c>
      <c r="AP3171" s="21">
        <v>21</v>
      </c>
      <c r="AQ3171" s="22" t="s">
        <v>3016</v>
      </c>
      <c r="AR3171" s="21" t="s">
        <v>1279</v>
      </c>
      <c r="AS3171" t="s">
        <v>3085</v>
      </c>
    </row>
    <row r="3172" spans="1:45" x14ac:dyDescent="0.2">
      <c r="A3172" s="21" t="s">
        <v>1685</v>
      </c>
      <c r="B3172" s="21" t="s">
        <v>1146</v>
      </c>
      <c r="C3172" s="21" t="s">
        <v>1149</v>
      </c>
      <c r="D3172" s="21" t="s">
        <v>420</v>
      </c>
      <c r="E3172" s="21" t="s">
        <v>3093</v>
      </c>
      <c r="G3172" s="21" t="s">
        <v>153</v>
      </c>
      <c r="H3172" s="21" t="s">
        <v>1165</v>
      </c>
      <c r="I3172" s="21" t="s">
        <v>3087</v>
      </c>
      <c r="J3172" s="21">
        <v>55.266666666666602</v>
      </c>
      <c r="K3172">
        <v>-128.4</v>
      </c>
      <c r="L3172">
        <v>1100</v>
      </c>
      <c r="M3172" s="21" t="s">
        <v>3034</v>
      </c>
      <c r="O3172" s="21">
        <v>1992</v>
      </c>
      <c r="Q3172" s="21" t="s">
        <v>3086</v>
      </c>
      <c r="T3172" s="21">
        <v>-20</v>
      </c>
      <c r="U3172" s="21" t="s">
        <v>1218</v>
      </c>
      <c r="V3172" s="9" t="s">
        <v>1247</v>
      </c>
      <c r="W3172" s="21">
        <v>56</v>
      </c>
      <c r="X3172" s="9" t="s">
        <v>3088</v>
      </c>
      <c r="Y3172" t="s">
        <v>3212</v>
      </c>
      <c r="Z3172" s="22">
        <v>8</v>
      </c>
      <c r="AD3172" s="22" t="s">
        <v>1165</v>
      </c>
      <c r="AF3172" s="24" t="s">
        <v>153</v>
      </c>
      <c r="AG3172" t="s">
        <v>1160</v>
      </c>
      <c r="AH3172">
        <f t="shared" si="34"/>
        <v>4320</v>
      </c>
      <c r="AI3172" s="21" t="s">
        <v>153</v>
      </c>
      <c r="AJ3172" s="21" t="s">
        <v>1148</v>
      </c>
      <c r="AK3172" s="21">
        <v>45.767000000000003</v>
      </c>
      <c r="AL3172" s="21" t="s">
        <v>1321</v>
      </c>
      <c r="AM3172" s="21">
        <f>48.221-43.067</f>
        <v>5.1539999999999964</v>
      </c>
      <c r="AN3172" s="21">
        <v>3</v>
      </c>
      <c r="AO3172" s="21">
        <v>50</v>
      </c>
      <c r="AP3172" s="21">
        <v>24</v>
      </c>
      <c r="AQ3172" s="22" t="s">
        <v>3016</v>
      </c>
      <c r="AR3172" s="21" t="s">
        <v>1279</v>
      </c>
      <c r="AS3172" t="s">
        <v>3085</v>
      </c>
    </row>
    <row r="3173" spans="1:45" x14ac:dyDescent="0.2">
      <c r="A3173" s="21" t="s">
        <v>1685</v>
      </c>
      <c r="B3173" s="21" t="s">
        <v>1146</v>
      </c>
      <c r="C3173" s="21" t="s">
        <v>1149</v>
      </c>
      <c r="D3173" s="21" t="s">
        <v>420</v>
      </c>
      <c r="E3173" s="21" t="s">
        <v>3093</v>
      </c>
      <c r="G3173" s="21" t="s">
        <v>153</v>
      </c>
      <c r="H3173" s="21" t="s">
        <v>1165</v>
      </c>
      <c r="I3173" s="21" t="s">
        <v>3087</v>
      </c>
      <c r="J3173" s="21">
        <v>55.266666666666602</v>
      </c>
      <c r="K3173">
        <v>-128.4</v>
      </c>
      <c r="L3173">
        <v>1100</v>
      </c>
      <c r="M3173" s="21" t="s">
        <v>3034</v>
      </c>
      <c r="O3173" s="21">
        <v>1992</v>
      </c>
      <c r="Q3173" s="21" t="s">
        <v>3086</v>
      </c>
      <c r="T3173" s="21">
        <v>-20</v>
      </c>
      <c r="U3173" s="21" t="s">
        <v>1218</v>
      </c>
      <c r="V3173" s="9" t="s">
        <v>1247</v>
      </c>
      <c r="W3173" s="21">
        <v>56</v>
      </c>
      <c r="X3173" s="9" t="s">
        <v>3088</v>
      </c>
      <c r="Y3173" t="s">
        <v>3212</v>
      </c>
      <c r="Z3173" s="22">
        <v>8</v>
      </c>
      <c r="AD3173" s="22" t="s">
        <v>1165</v>
      </c>
      <c r="AF3173" s="24" t="s">
        <v>153</v>
      </c>
      <c r="AG3173" t="s">
        <v>1160</v>
      </c>
      <c r="AH3173">
        <f t="shared" si="34"/>
        <v>4320</v>
      </c>
      <c r="AI3173" s="21" t="s">
        <v>153</v>
      </c>
      <c r="AJ3173" s="21" t="s">
        <v>1148</v>
      </c>
      <c r="AK3173" s="21">
        <v>46.994</v>
      </c>
      <c r="AL3173" s="21" t="s">
        <v>1321</v>
      </c>
      <c r="AM3173" s="21">
        <v>0</v>
      </c>
      <c r="AN3173" s="21">
        <v>3</v>
      </c>
      <c r="AO3173" s="21">
        <v>50</v>
      </c>
      <c r="AP3173" s="21">
        <v>27</v>
      </c>
      <c r="AQ3173" s="22" t="s">
        <v>3016</v>
      </c>
      <c r="AR3173" s="21" t="s">
        <v>1279</v>
      </c>
      <c r="AS3173" t="s">
        <v>3085</v>
      </c>
    </row>
    <row r="3174" spans="1:45" x14ac:dyDescent="0.2">
      <c r="A3174" s="21" t="s">
        <v>1685</v>
      </c>
      <c r="B3174" s="21" t="s">
        <v>1146</v>
      </c>
      <c r="C3174" s="21" t="s">
        <v>1149</v>
      </c>
      <c r="D3174" s="21" t="s">
        <v>420</v>
      </c>
      <c r="E3174" s="21" t="s">
        <v>3093</v>
      </c>
      <c r="G3174" s="21" t="s">
        <v>153</v>
      </c>
      <c r="H3174" s="21" t="s">
        <v>1165</v>
      </c>
      <c r="I3174" s="21" t="s">
        <v>3087</v>
      </c>
      <c r="J3174" s="21">
        <v>55.266666666666602</v>
      </c>
      <c r="K3174">
        <v>-128.4</v>
      </c>
      <c r="L3174">
        <v>1100</v>
      </c>
      <c r="M3174" s="21" t="s">
        <v>3034</v>
      </c>
      <c r="O3174" s="21">
        <v>1992</v>
      </c>
      <c r="Q3174" s="21" t="s">
        <v>3086</v>
      </c>
      <c r="T3174" s="21">
        <v>-20</v>
      </c>
      <c r="U3174" s="21" t="s">
        <v>1218</v>
      </c>
      <c r="V3174" s="9" t="s">
        <v>1247</v>
      </c>
      <c r="W3174" s="21">
        <v>56</v>
      </c>
      <c r="X3174" s="9" t="s">
        <v>3088</v>
      </c>
      <c r="Y3174" t="s">
        <v>3212</v>
      </c>
      <c r="Z3174" s="22">
        <v>8</v>
      </c>
      <c r="AD3174" s="22" t="s">
        <v>1165</v>
      </c>
      <c r="AF3174" s="24" t="s">
        <v>153</v>
      </c>
      <c r="AG3174" t="s">
        <v>1160</v>
      </c>
      <c r="AH3174">
        <f t="shared" si="34"/>
        <v>4320</v>
      </c>
      <c r="AI3174" s="21" t="s">
        <v>153</v>
      </c>
      <c r="AJ3174" s="21" t="s">
        <v>1148</v>
      </c>
      <c r="AK3174" s="21">
        <v>50.061</v>
      </c>
      <c r="AL3174" s="21" t="s">
        <v>1321</v>
      </c>
      <c r="AM3174" s="21">
        <f>51.902-48.712</f>
        <v>3.1899999999999977</v>
      </c>
      <c r="AN3174" s="21">
        <v>3</v>
      </c>
      <c r="AO3174" s="21">
        <v>50</v>
      </c>
      <c r="AP3174" s="21">
        <v>30</v>
      </c>
      <c r="AQ3174" s="22" t="s">
        <v>3016</v>
      </c>
      <c r="AR3174" s="21" t="s">
        <v>1279</v>
      </c>
      <c r="AS3174" t="s">
        <v>3085</v>
      </c>
    </row>
    <row r="3175" spans="1:45" x14ac:dyDescent="0.2">
      <c r="A3175" s="21" t="s">
        <v>1685</v>
      </c>
      <c r="B3175" s="21" t="s">
        <v>1146</v>
      </c>
      <c r="C3175" s="21" t="s">
        <v>1149</v>
      </c>
      <c r="D3175" s="21" t="s">
        <v>420</v>
      </c>
      <c r="E3175" s="21" t="s">
        <v>3083</v>
      </c>
      <c r="G3175" s="21" t="s">
        <v>153</v>
      </c>
      <c r="H3175" s="21" t="s">
        <v>1165</v>
      </c>
      <c r="I3175" s="21" t="s">
        <v>3084</v>
      </c>
      <c r="J3175" s="21">
        <v>49.133333333333297</v>
      </c>
      <c r="K3175">
        <v>-122.75</v>
      </c>
      <c r="L3175">
        <v>1415</v>
      </c>
      <c r="M3175" s="21" t="s">
        <v>3034</v>
      </c>
      <c r="O3175" s="21">
        <v>1985</v>
      </c>
      <c r="Q3175" s="21" t="s">
        <v>3086</v>
      </c>
      <c r="T3175" s="21">
        <v>-20</v>
      </c>
      <c r="U3175" s="21" t="s">
        <v>1218</v>
      </c>
      <c r="V3175" s="9" t="s">
        <v>1247</v>
      </c>
      <c r="W3175" s="21">
        <v>56</v>
      </c>
      <c r="X3175" s="9" t="s">
        <v>3088</v>
      </c>
      <c r="Y3175" t="s">
        <v>3213</v>
      </c>
      <c r="Z3175" s="22">
        <v>8</v>
      </c>
      <c r="AD3175" s="22" t="s">
        <v>1165</v>
      </c>
      <c r="AF3175" s="24" t="s">
        <v>153</v>
      </c>
      <c r="AG3175" t="s">
        <v>1160</v>
      </c>
      <c r="AH3175">
        <f t="shared" ref="AH3175:AH3220" si="35">24*60*3</f>
        <v>4320</v>
      </c>
      <c r="AI3175" s="21" t="s">
        <v>153</v>
      </c>
      <c r="AJ3175" s="21" t="s">
        <v>1148</v>
      </c>
      <c r="AK3175" s="21">
        <v>0</v>
      </c>
      <c r="AL3175" s="21" t="s">
        <v>1321</v>
      </c>
      <c r="AM3175" s="21">
        <v>0</v>
      </c>
      <c r="AN3175" s="21">
        <v>3</v>
      </c>
      <c r="AO3175" s="21">
        <v>50</v>
      </c>
      <c r="AP3175" s="21">
        <v>3</v>
      </c>
      <c r="AQ3175" s="22" t="s">
        <v>3016</v>
      </c>
      <c r="AR3175" s="21" t="s">
        <v>1279</v>
      </c>
      <c r="AS3175" t="s">
        <v>3085</v>
      </c>
    </row>
    <row r="3176" spans="1:45" x14ac:dyDescent="0.2">
      <c r="A3176" s="21" t="s">
        <v>1685</v>
      </c>
      <c r="B3176" s="21" t="s">
        <v>1146</v>
      </c>
      <c r="C3176" s="21" t="s">
        <v>1149</v>
      </c>
      <c r="D3176" s="21" t="s">
        <v>420</v>
      </c>
      <c r="E3176" s="21" t="s">
        <v>3083</v>
      </c>
      <c r="G3176" s="21" t="s">
        <v>153</v>
      </c>
      <c r="H3176" s="21" t="s">
        <v>1165</v>
      </c>
      <c r="I3176" s="21" t="s">
        <v>3084</v>
      </c>
      <c r="J3176" s="21">
        <v>49.133333333333297</v>
      </c>
      <c r="K3176">
        <v>-122.75</v>
      </c>
      <c r="L3176">
        <v>1415</v>
      </c>
      <c r="M3176" s="21" t="s">
        <v>3034</v>
      </c>
      <c r="O3176" s="21">
        <v>1985</v>
      </c>
      <c r="Q3176" s="21" t="s">
        <v>3086</v>
      </c>
      <c r="T3176" s="21">
        <v>-20</v>
      </c>
      <c r="U3176" s="21" t="s">
        <v>1218</v>
      </c>
      <c r="V3176" s="9" t="s">
        <v>1247</v>
      </c>
      <c r="W3176" s="21">
        <v>56</v>
      </c>
      <c r="X3176" s="9" t="s">
        <v>3088</v>
      </c>
      <c r="Y3176" t="s">
        <v>3213</v>
      </c>
      <c r="Z3176" s="22">
        <v>8</v>
      </c>
      <c r="AD3176" s="22" t="s">
        <v>1165</v>
      </c>
      <c r="AF3176" s="24" t="s">
        <v>153</v>
      </c>
      <c r="AG3176" t="s">
        <v>1160</v>
      </c>
      <c r="AH3176">
        <f t="shared" si="35"/>
        <v>4320</v>
      </c>
      <c r="AI3176" s="21" t="s">
        <v>153</v>
      </c>
      <c r="AJ3176" s="21" t="s">
        <v>1148</v>
      </c>
      <c r="AK3176" s="21">
        <v>29.494</v>
      </c>
      <c r="AL3176" s="21" t="s">
        <v>1321</v>
      </c>
      <c r="AM3176" s="21" t="s">
        <v>3003</v>
      </c>
      <c r="AN3176" s="21">
        <v>3</v>
      </c>
      <c r="AO3176" s="21">
        <v>50</v>
      </c>
      <c r="AP3176" s="21">
        <v>12</v>
      </c>
      <c r="AQ3176" s="22" t="s">
        <v>3016</v>
      </c>
      <c r="AR3176" s="21" t="s">
        <v>1279</v>
      </c>
      <c r="AS3176" t="s">
        <v>3085</v>
      </c>
    </row>
    <row r="3177" spans="1:45" x14ac:dyDescent="0.2">
      <c r="A3177" s="21" t="s">
        <v>1685</v>
      </c>
      <c r="B3177" s="21" t="s">
        <v>1146</v>
      </c>
      <c r="C3177" s="21" t="s">
        <v>1149</v>
      </c>
      <c r="D3177" s="21" t="s">
        <v>420</v>
      </c>
      <c r="E3177" s="21" t="s">
        <v>3083</v>
      </c>
      <c r="G3177" s="21" t="s">
        <v>153</v>
      </c>
      <c r="H3177" s="21" t="s">
        <v>1165</v>
      </c>
      <c r="I3177" s="21" t="s">
        <v>3084</v>
      </c>
      <c r="J3177" s="21">
        <v>49.133333333333297</v>
      </c>
      <c r="K3177">
        <v>-122.75</v>
      </c>
      <c r="L3177">
        <v>1415</v>
      </c>
      <c r="M3177" s="21" t="s">
        <v>3034</v>
      </c>
      <c r="O3177" s="21">
        <v>1985</v>
      </c>
      <c r="Q3177" s="21" t="s">
        <v>3086</v>
      </c>
      <c r="T3177" s="21">
        <v>-20</v>
      </c>
      <c r="U3177" s="21" t="s">
        <v>1218</v>
      </c>
      <c r="V3177" s="9" t="s">
        <v>1247</v>
      </c>
      <c r="W3177" s="21">
        <v>56</v>
      </c>
      <c r="X3177" s="9" t="s">
        <v>3088</v>
      </c>
      <c r="Y3177" t="s">
        <v>3213</v>
      </c>
      <c r="Z3177" s="22">
        <v>8</v>
      </c>
      <c r="AD3177" s="22" t="s">
        <v>1165</v>
      </c>
      <c r="AF3177" s="24" t="s">
        <v>153</v>
      </c>
      <c r="AG3177" t="s">
        <v>1160</v>
      </c>
      <c r="AH3177">
        <f t="shared" si="35"/>
        <v>4320</v>
      </c>
      <c r="AI3177" s="21" t="s">
        <v>153</v>
      </c>
      <c r="AJ3177" s="21" t="s">
        <v>1148</v>
      </c>
      <c r="AK3177" s="21">
        <v>41.518999999999998</v>
      </c>
      <c r="AL3177" s="21" t="s">
        <v>1321</v>
      </c>
      <c r="AM3177" s="21" t="s">
        <v>3003</v>
      </c>
      <c r="AN3177" s="21">
        <v>3</v>
      </c>
      <c r="AO3177" s="21">
        <v>50</v>
      </c>
      <c r="AP3177" s="21">
        <v>15</v>
      </c>
      <c r="AQ3177" s="22" t="s">
        <v>3016</v>
      </c>
      <c r="AR3177" s="21" t="s">
        <v>1279</v>
      </c>
      <c r="AS3177" t="s">
        <v>3085</v>
      </c>
    </row>
    <row r="3178" spans="1:45" x14ac:dyDescent="0.2">
      <c r="A3178" s="21" t="s">
        <v>1685</v>
      </c>
      <c r="B3178" s="21" t="s">
        <v>1146</v>
      </c>
      <c r="C3178" s="21" t="s">
        <v>1149</v>
      </c>
      <c r="D3178" s="21" t="s">
        <v>420</v>
      </c>
      <c r="E3178" s="21" t="s">
        <v>3083</v>
      </c>
      <c r="G3178" s="21" t="s">
        <v>153</v>
      </c>
      <c r="H3178" s="21" t="s">
        <v>1165</v>
      </c>
      <c r="I3178" s="21" t="s">
        <v>3084</v>
      </c>
      <c r="J3178" s="21">
        <v>49.133333333333297</v>
      </c>
      <c r="K3178">
        <v>-122.75</v>
      </c>
      <c r="L3178">
        <v>1415</v>
      </c>
      <c r="M3178" s="21" t="s">
        <v>3034</v>
      </c>
      <c r="O3178" s="21">
        <v>1985</v>
      </c>
      <c r="Q3178" s="21" t="s">
        <v>3086</v>
      </c>
      <c r="T3178" s="21">
        <v>-20</v>
      </c>
      <c r="U3178" s="21" t="s">
        <v>1218</v>
      </c>
      <c r="V3178" s="9" t="s">
        <v>1247</v>
      </c>
      <c r="W3178" s="21">
        <v>56</v>
      </c>
      <c r="X3178" s="9" t="s">
        <v>3088</v>
      </c>
      <c r="Y3178" t="s">
        <v>3213</v>
      </c>
      <c r="Z3178" s="22">
        <v>8</v>
      </c>
      <c r="AD3178" s="22" t="s">
        <v>1165</v>
      </c>
      <c r="AF3178" s="24" t="s">
        <v>153</v>
      </c>
      <c r="AG3178" t="s">
        <v>1160</v>
      </c>
      <c r="AH3178">
        <f t="shared" si="35"/>
        <v>4320</v>
      </c>
      <c r="AI3178" s="21" t="s">
        <v>153</v>
      </c>
      <c r="AJ3178" s="21" t="s">
        <v>1148</v>
      </c>
      <c r="AK3178" s="21">
        <v>49.747</v>
      </c>
      <c r="AL3178" s="21" t="s">
        <v>1321</v>
      </c>
      <c r="AM3178" s="21" t="s">
        <v>3003</v>
      </c>
      <c r="AN3178" s="21">
        <v>3</v>
      </c>
      <c r="AO3178" s="21">
        <v>50</v>
      </c>
      <c r="AP3178" s="21">
        <v>18</v>
      </c>
      <c r="AQ3178" s="22" t="s">
        <v>3016</v>
      </c>
      <c r="AR3178" s="21" t="s">
        <v>1279</v>
      </c>
      <c r="AS3178" t="s">
        <v>3085</v>
      </c>
    </row>
    <row r="3179" spans="1:45" x14ac:dyDescent="0.2">
      <c r="A3179" s="21" t="s">
        <v>1685</v>
      </c>
      <c r="B3179" s="21" t="s">
        <v>1146</v>
      </c>
      <c r="C3179" s="21" t="s">
        <v>1149</v>
      </c>
      <c r="D3179" s="21" t="s">
        <v>420</v>
      </c>
      <c r="E3179" s="21" t="s">
        <v>3083</v>
      </c>
      <c r="G3179" s="21" t="s">
        <v>153</v>
      </c>
      <c r="H3179" s="21" t="s">
        <v>1165</v>
      </c>
      <c r="I3179" s="21" t="s">
        <v>3084</v>
      </c>
      <c r="J3179" s="21">
        <v>49.133333333333297</v>
      </c>
      <c r="K3179">
        <v>-122.75</v>
      </c>
      <c r="L3179">
        <v>1415</v>
      </c>
      <c r="M3179" s="21" t="s">
        <v>3034</v>
      </c>
      <c r="O3179" s="21">
        <v>1985</v>
      </c>
      <c r="Q3179" s="21" t="s">
        <v>3086</v>
      </c>
      <c r="T3179" s="21">
        <v>-20</v>
      </c>
      <c r="U3179" s="21" t="s">
        <v>1218</v>
      </c>
      <c r="V3179" s="9" t="s">
        <v>1247</v>
      </c>
      <c r="W3179" s="21">
        <v>56</v>
      </c>
      <c r="X3179" s="9" t="s">
        <v>3088</v>
      </c>
      <c r="Y3179" t="s">
        <v>3213</v>
      </c>
      <c r="Z3179" s="22">
        <v>8</v>
      </c>
      <c r="AD3179" s="22" t="s">
        <v>1165</v>
      </c>
      <c r="AF3179" s="24" t="s">
        <v>153</v>
      </c>
      <c r="AG3179" t="s">
        <v>1160</v>
      </c>
      <c r="AH3179">
        <f t="shared" si="35"/>
        <v>4320</v>
      </c>
      <c r="AI3179" s="21" t="s">
        <v>153</v>
      </c>
      <c r="AJ3179" s="21" t="s">
        <v>1148</v>
      </c>
      <c r="AK3179" s="21">
        <v>54.936999999999998</v>
      </c>
      <c r="AL3179" s="21" t="s">
        <v>1321</v>
      </c>
      <c r="AM3179" s="21">
        <f>57.848-52.785</f>
        <v>5.0630000000000024</v>
      </c>
      <c r="AN3179" s="21">
        <v>3</v>
      </c>
      <c r="AO3179" s="21">
        <v>50</v>
      </c>
      <c r="AP3179" s="21">
        <v>21</v>
      </c>
      <c r="AQ3179" s="22" t="s">
        <v>3016</v>
      </c>
      <c r="AR3179" s="21" t="s">
        <v>1279</v>
      </c>
      <c r="AS3179" t="s">
        <v>3085</v>
      </c>
    </row>
    <row r="3180" spans="1:45" x14ac:dyDescent="0.2">
      <c r="A3180" s="21" t="s">
        <v>1685</v>
      </c>
      <c r="B3180" s="21" t="s">
        <v>1146</v>
      </c>
      <c r="C3180" s="21" t="s">
        <v>1149</v>
      </c>
      <c r="D3180" s="21" t="s">
        <v>420</v>
      </c>
      <c r="E3180" s="21" t="s">
        <v>3083</v>
      </c>
      <c r="G3180" s="21" t="s">
        <v>153</v>
      </c>
      <c r="H3180" s="21" t="s">
        <v>1165</v>
      </c>
      <c r="I3180" s="21" t="s">
        <v>3084</v>
      </c>
      <c r="J3180" s="21">
        <v>49.133333333333297</v>
      </c>
      <c r="K3180">
        <v>-122.75</v>
      </c>
      <c r="L3180">
        <v>1415</v>
      </c>
      <c r="M3180" s="21" t="s">
        <v>3034</v>
      </c>
      <c r="O3180" s="21">
        <v>1985</v>
      </c>
      <c r="Q3180" s="21" t="s">
        <v>3086</v>
      </c>
      <c r="T3180" s="21">
        <v>-20</v>
      </c>
      <c r="U3180" s="21" t="s">
        <v>1218</v>
      </c>
      <c r="V3180" s="9" t="s">
        <v>1247</v>
      </c>
      <c r="W3180" s="21">
        <v>56</v>
      </c>
      <c r="X3180" s="9" t="s">
        <v>3088</v>
      </c>
      <c r="Y3180" t="s">
        <v>3213</v>
      </c>
      <c r="Z3180" s="22">
        <v>8</v>
      </c>
      <c r="AD3180" s="22" t="s">
        <v>1165</v>
      </c>
      <c r="AF3180" s="24" t="s">
        <v>153</v>
      </c>
      <c r="AG3180" t="s">
        <v>1160</v>
      </c>
      <c r="AH3180">
        <f t="shared" si="35"/>
        <v>4320</v>
      </c>
      <c r="AI3180" s="21" t="s">
        <v>153</v>
      </c>
      <c r="AJ3180" s="21" t="s">
        <v>1148</v>
      </c>
      <c r="AK3180" s="21">
        <v>60.633000000000003</v>
      </c>
      <c r="AL3180" s="21" t="s">
        <v>1321</v>
      </c>
      <c r="AM3180" s="21">
        <v>0</v>
      </c>
      <c r="AN3180" s="21">
        <v>3</v>
      </c>
      <c r="AO3180" s="21">
        <v>50</v>
      </c>
      <c r="AP3180" s="21">
        <v>24</v>
      </c>
      <c r="AQ3180" s="22" t="s">
        <v>3016</v>
      </c>
      <c r="AR3180" s="21" t="s">
        <v>1279</v>
      </c>
      <c r="AS3180" t="s">
        <v>3085</v>
      </c>
    </row>
    <row r="3181" spans="1:45" x14ac:dyDescent="0.2">
      <c r="A3181" s="21" t="s">
        <v>1685</v>
      </c>
      <c r="B3181" s="21" t="s">
        <v>1146</v>
      </c>
      <c r="C3181" s="21" t="s">
        <v>1149</v>
      </c>
      <c r="D3181" s="21" t="s">
        <v>420</v>
      </c>
      <c r="E3181" s="21" t="s">
        <v>3083</v>
      </c>
      <c r="G3181" s="21" t="s">
        <v>153</v>
      </c>
      <c r="H3181" s="21" t="s">
        <v>1165</v>
      </c>
      <c r="I3181" s="21" t="s">
        <v>3084</v>
      </c>
      <c r="J3181" s="21">
        <v>49.133333333333297</v>
      </c>
      <c r="K3181">
        <v>-122.75</v>
      </c>
      <c r="L3181">
        <v>1415</v>
      </c>
      <c r="M3181" s="21" t="s">
        <v>3034</v>
      </c>
      <c r="O3181" s="21">
        <v>1985</v>
      </c>
      <c r="Q3181" s="21" t="s">
        <v>3086</v>
      </c>
      <c r="T3181" s="21">
        <v>-20</v>
      </c>
      <c r="U3181" s="21" t="s">
        <v>1218</v>
      </c>
      <c r="V3181" s="9" t="s">
        <v>1247</v>
      </c>
      <c r="W3181" s="21">
        <v>56</v>
      </c>
      <c r="X3181" s="9" t="s">
        <v>3088</v>
      </c>
      <c r="Y3181" t="s">
        <v>3213</v>
      </c>
      <c r="Z3181" s="22">
        <v>8</v>
      </c>
      <c r="AD3181" s="22" t="s">
        <v>1165</v>
      </c>
      <c r="AF3181" s="24" t="s">
        <v>153</v>
      </c>
      <c r="AG3181" t="s">
        <v>1160</v>
      </c>
      <c r="AH3181">
        <f t="shared" si="35"/>
        <v>4320</v>
      </c>
      <c r="AI3181" s="21" t="s">
        <v>153</v>
      </c>
      <c r="AJ3181" s="21" t="s">
        <v>1148</v>
      </c>
      <c r="AK3181" s="21">
        <v>61.899000000000001</v>
      </c>
      <c r="AL3181" s="21" t="s">
        <v>1321</v>
      </c>
      <c r="AM3181" s="21" t="s">
        <v>3003</v>
      </c>
      <c r="AN3181" s="21">
        <v>3</v>
      </c>
      <c r="AO3181" s="21">
        <v>50</v>
      </c>
      <c r="AP3181" s="21">
        <v>27</v>
      </c>
      <c r="AQ3181" s="22" t="s">
        <v>3016</v>
      </c>
      <c r="AR3181" s="21" t="s">
        <v>1279</v>
      </c>
      <c r="AS3181" t="s">
        <v>3085</v>
      </c>
    </row>
    <row r="3182" spans="1:45" x14ac:dyDescent="0.2">
      <c r="A3182" s="21" t="s">
        <v>1685</v>
      </c>
      <c r="B3182" s="21" t="s">
        <v>1146</v>
      </c>
      <c r="C3182" s="21" t="s">
        <v>1149</v>
      </c>
      <c r="D3182" s="21" t="s">
        <v>420</v>
      </c>
      <c r="E3182" s="21" t="s">
        <v>3083</v>
      </c>
      <c r="G3182" s="21" t="s">
        <v>153</v>
      </c>
      <c r="H3182" s="21" t="s">
        <v>1165</v>
      </c>
      <c r="I3182" s="21" t="s">
        <v>3084</v>
      </c>
      <c r="J3182" s="21">
        <v>49.133333333333297</v>
      </c>
      <c r="K3182">
        <v>-122.75</v>
      </c>
      <c r="L3182">
        <v>1415</v>
      </c>
      <c r="M3182" s="21" t="s">
        <v>3034</v>
      </c>
      <c r="O3182" s="21">
        <v>1985</v>
      </c>
      <c r="Q3182" s="21" t="s">
        <v>3086</v>
      </c>
      <c r="T3182" s="21">
        <v>-20</v>
      </c>
      <c r="U3182" s="21" t="s">
        <v>1218</v>
      </c>
      <c r="V3182" s="9" t="s">
        <v>1247</v>
      </c>
      <c r="W3182" s="21">
        <v>56</v>
      </c>
      <c r="X3182" s="9" t="s">
        <v>3088</v>
      </c>
      <c r="Y3182" t="s">
        <v>3213</v>
      </c>
      <c r="Z3182" s="22">
        <v>8</v>
      </c>
      <c r="AD3182" s="22" t="s">
        <v>1165</v>
      </c>
      <c r="AF3182" s="24" t="s">
        <v>153</v>
      </c>
      <c r="AG3182" t="s">
        <v>1160</v>
      </c>
      <c r="AH3182">
        <f t="shared" si="35"/>
        <v>4320</v>
      </c>
      <c r="AI3182" s="21" t="s">
        <v>153</v>
      </c>
      <c r="AJ3182" s="21" t="s">
        <v>1148</v>
      </c>
      <c r="AK3182" s="21">
        <v>62.277999999999999</v>
      </c>
      <c r="AL3182" s="21" t="s">
        <v>1321</v>
      </c>
      <c r="AM3182" s="21">
        <f>65.443-59.873</f>
        <v>5.57</v>
      </c>
      <c r="AN3182" s="21">
        <v>3</v>
      </c>
      <c r="AO3182" s="21">
        <v>50</v>
      </c>
      <c r="AP3182" s="21">
        <v>30</v>
      </c>
      <c r="AQ3182" s="22" t="s">
        <v>3016</v>
      </c>
      <c r="AR3182" s="21" t="s">
        <v>1279</v>
      </c>
      <c r="AS3182" t="s">
        <v>3085</v>
      </c>
    </row>
    <row r="3183" spans="1:45" x14ac:dyDescent="0.2">
      <c r="A3183" s="21" t="s">
        <v>1685</v>
      </c>
      <c r="B3183" s="21" t="s">
        <v>1146</v>
      </c>
      <c r="C3183" s="21" t="s">
        <v>1149</v>
      </c>
      <c r="D3183" s="21" t="s">
        <v>420</v>
      </c>
      <c r="E3183" s="21" t="s">
        <v>3083</v>
      </c>
      <c r="G3183" s="21" t="s">
        <v>153</v>
      </c>
      <c r="H3183" s="21" t="s">
        <v>1165</v>
      </c>
      <c r="I3183" s="21" t="s">
        <v>3084</v>
      </c>
      <c r="J3183" s="21">
        <v>49.133333333333297</v>
      </c>
      <c r="K3183">
        <v>-122.75</v>
      </c>
      <c r="L3183">
        <v>1415</v>
      </c>
      <c r="M3183" s="21" t="s">
        <v>3034</v>
      </c>
      <c r="O3183" s="21">
        <v>1985</v>
      </c>
      <c r="Q3183" s="21" t="s">
        <v>3086</v>
      </c>
      <c r="T3183" s="21">
        <v>-20</v>
      </c>
      <c r="U3183" s="21" t="s">
        <v>1218</v>
      </c>
      <c r="V3183" s="9" t="s">
        <v>1247</v>
      </c>
      <c r="W3183" s="21">
        <v>56</v>
      </c>
      <c r="X3183" s="9" t="s">
        <v>3088</v>
      </c>
      <c r="Y3183" t="s">
        <v>3214</v>
      </c>
      <c r="Z3183" s="22">
        <v>8</v>
      </c>
      <c r="AD3183" s="22" t="s">
        <v>1165</v>
      </c>
      <c r="AF3183" s="24" t="s">
        <v>153</v>
      </c>
      <c r="AG3183" t="s">
        <v>1160</v>
      </c>
      <c r="AH3183">
        <f t="shared" si="35"/>
        <v>4320</v>
      </c>
      <c r="AI3183" s="21" t="s">
        <v>153</v>
      </c>
      <c r="AJ3183" s="21" t="s">
        <v>1148</v>
      </c>
      <c r="AK3183" s="21">
        <v>27.722000000000001</v>
      </c>
      <c r="AL3183" s="21" t="s">
        <v>1321</v>
      </c>
      <c r="AM3183" s="21" t="s">
        <v>3003</v>
      </c>
      <c r="AN3183" s="21">
        <v>3</v>
      </c>
      <c r="AO3183" s="21">
        <v>50</v>
      </c>
      <c r="AP3183" s="21">
        <v>12</v>
      </c>
      <c r="AQ3183" s="22" t="s">
        <v>3016</v>
      </c>
      <c r="AR3183" s="21" t="s">
        <v>1279</v>
      </c>
      <c r="AS3183" t="s">
        <v>3085</v>
      </c>
    </row>
    <row r="3184" spans="1:45" x14ac:dyDescent="0.2">
      <c r="A3184" s="21" t="s">
        <v>1685</v>
      </c>
      <c r="B3184" s="21" t="s">
        <v>1146</v>
      </c>
      <c r="C3184" s="21" t="s">
        <v>1149</v>
      </c>
      <c r="D3184" s="21" t="s">
        <v>420</v>
      </c>
      <c r="E3184" s="21" t="s">
        <v>3083</v>
      </c>
      <c r="G3184" s="21" t="s">
        <v>153</v>
      </c>
      <c r="H3184" s="21" t="s">
        <v>1165</v>
      </c>
      <c r="I3184" s="21" t="s">
        <v>3084</v>
      </c>
      <c r="J3184" s="21">
        <v>49.133333333333297</v>
      </c>
      <c r="K3184">
        <v>-122.75</v>
      </c>
      <c r="L3184">
        <v>1415</v>
      </c>
      <c r="M3184" s="21" t="s">
        <v>3034</v>
      </c>
      <c r="O3184" s="21">
        <v>1985</v>
      </c>
      <c r="Q3184" s="21" t="s">
        <v>3086</v>
      </c>
      <c r="T3184" s="21">
        <v>-20</v>
      </c>
      <c r="U3184" s="21" t="s">
        <v>1218</v>
      </c>
      <c r="V3184" s="9" t="s">
        <v>1247</v>
      </c>
      <c r="W3184" s="21">
        <v>56</v>
      </c>
      <c r="X3184" s="9" t="s">
        <v>3088</v>
      </c>
      <c r="Y3184" t="s">
        <v>3214</v>
      </c>
      <c r="Z3184" s="22">
        <v>8</v>
      </c>
      <c r="AD3184" s="22" t="s">
        <v>1165</v>
      </c>
      <c r="AF3184" s="24" t="s">
        <v>153</v>
      </c>
      <c r="AG3184" t="s">
        <v>1160</v>
      </c>
      <c r="AH3184">
        <f t="shared" si="35"/>
        <v>4320</v>
      </c>
      <c r="AI3184" s="21" t="s">
        <v>153</v>
      </c>
      <c r="AJ3184" s="21" t="s">
        <v>1148</v>
      </c>
      <c r="AK3184" s="21">
        <v>36.582000000000001</v>
      </c>
      <c r="AL3184" s="21" t="s">
        <v>1321</v>
      </c>
      <c r="AM3184" s="21" t="s">
        <v>3003</v>
      </c>
      <c r="AN3184" s="21">
        <v>3</v>
      </c>
      <c r="AO3184" s="21">
        <v>50</v>
      </c>
      <c r="AP3184" s="21">
        <v>15</v>
      </c>
      <c r="AQ3184" s="22" t="s">
        <v>3016</v>
      </c>
      <c r="AR3184" s="21" t="s">
        <v>1279</v>
      </c>
      <c r="AS3184" t="s">
        <v>3085</v>
      </c>
    </row>
    <row r="3185" spans="1:45" x14ac:dyDescent="0.2">
      <c r="A3185" s="21" t="s">
        <v>1685</v>
      </c>
      <c r="B3185" s="21" t="s">
        <v>1146</v>
      </c>
      <c r="C3185" s="21" t="s">
        <v>1149</v>
      </c>
      <c r="D3185" s="21" t="s">
        <v>420</v>
      </c>
      <c r="E3185" s="21" t="s">
        <v>3083</v>
      </c>
      <c r="G3185" s="21" t="s">
        <v>153</v>
      </c>
      <c r="H3185" s="21" t="s">
        <v>1165</v>
      </c>
      <c r="I3185" s="21" t="s">
        <v>3084</v>
      </c>
      <c r="J3185" s="21">
        <v>49.133333333333297</v>
      </c>
      <c r="K3185">
        <v>-122.75</v>
      </c>
      <c r="L3185">
        <v>1415</v>
      </c>
      <c r="M3185" s="21" t="s">
        <v>3034</v>
      </c>
      <c r="O3185" s="21">
        <v>1985</v>
      </c>
      <c r="Q3185" s="21" t="s">
        <v>3086</v>
      </c>
      <c r="T3185" s="21">
        <v>-20</v>
      </c>
      <c r="U3185" s="21" t="s">
        <v>1218</v>
      </c>
      <c r="V3185" s="9" t="s">
        <v>1247</v>
      </c>
      <c r="W3185" s="21">
        <v>56</v>
      </c>
      <c r="X3185" s="9" t="s">
        <v>3088</v>
      </c>
      <c r="Y3185" t="s">
        <v>3214</v>
      </c>
      <c r="Z3185" s="22">
        <v>8</v>
      </c>
      <c r="AD3185" s="22" t="s">
        <v>1165</v>
      </c>
      <c r="AF3185" s="24" t="s">
        <v>153</v>
      </c>
      <c r="AG3185" t="s">
        <v>1160</v>
      </c>
      <c r="AH3185">
        <f t="shared" si="35"/>
        <v>4320</v>
      </c>
      <c r="AI3185" s="21" t="s">
        <v>153</v>
      </c>
      <c r="AJ3185" s="21" t="s">
        <v>1148</v>
      </c>
      <c r="AK3185" s="21">
        <v>56.835000000000001</v>
      </c>
      <c r="AL3185" s="21" t="s">
        <v>1321</v>
      </c>
      <c r="AM3185" s="21">
        <f>59.114-55.823</f>
        <v>3.2909999999999968</v>
      </c>
      <c r="AN3185" s="21">
        <v>3</v>
      </c>
      <c r="AO3185" s="21">
        <v>50</v>
      </c>
      <c r="AP3185" s="21">
        <v>18</v>
      </c>
      <c r="AQ3185" s="22" t="s">
        <v>3016</v>
      </c>
      <c r="AR3185" s="21" t="s">
        <v>1279</v>
      </c>
      <c r="AS3185" t="s">
        <v>3085</v>
      </c>
    </row>
    <row r="3186" spans="1:45" x14ac:dyDescent="0.2">
      <c r="A3186" s="21" t="s">
        <v>1685</v>
      </c>
      <c r="B3186" s="21" t="s">
        <v>1146</v>
      </c>
      <c r="C3186" s="21" t="s">
        <v>1149</v>
      </c>
      <c r="D3186" s="21" t="s">
        <v>420</v>
      </c>
      <c r="E3186" s="21" t="s">
        <v>3083</v>
      </c>
      <c r="G3186" s="21" t="s">
        <v>153</v>
      </c>
      <c r="H3186" s="21" t="s">
        <v>1165</v>
      </c>
      <c r="I3186" s="21" t="s">
        <v>3084</v>
      </c>
      <c r="J3186" s="21">
        <v>49.133333333333297</v>
      </c>
      <c r="K3186">
        <v>-122.75</v>
      </c>
      <c r="L3186">
        <v>1415</v>
      </c>
      <c r="M3186" s="21" t="s">
        <v>3034</v>
      </c>
      <c r="O3186" s="21">
        <v>1985</v>
      </c>
      <c r="Q3186" s="21" t="s">
        <v>3086</v>
      </c>
      <c r="T3186" s="21">
        <v>-20</v>
      </c>
      <c r="U3186" s="21" t="s">
        <v>1218</v>
      </c>
      <c r="V3186" s="9" t="s">
        <v>1247</v>
      </c>
      <c r="W3186" s="21">
        <v>56</v>
      </c>
      <c r="X3186" s="9" t="s">
        <v>3088</v>
      </c>
      <c r="Y3186" t="s">
        <v>3214</v>
      </c>
      <c r="Z3186" s="22">
        <v>8</v>
      </c>
      <c r="AD3186" s="22" t="s">
        <v>1165</v>
      </c>
      <c r="AF3186" s="24" t="s">
        <v>153</v>
      </c>
      <c r="AG3186" t="s">
        <v>1160</v>
      </c>
      <c r="AH3186">
        <f t="shared" si="35"/>
        <v>4320</v>
      </c>
      <c r="AI3186" s="21" t="s">
        <v>153</v>
      </c>
      <c r="AJ3186" s="21" t="s">
        <v>1148</v>
      </c>
      <c r="AK3186" s="21">
        <v>61.518999999999998</v>
      </c>
      <c r="AL3186" s="21" t="s">
        <v>1321</v>
      </c>
      <c r="AM3186" s="21">
        <f>63.165-60.886</f>
        <v>2.2789999999999964</v>
      </c>
      <c r="AN3186" s="21">
        <v>3</v>
      </c>
      <c r="AO3186" s="21">
        <v>50</v>
      </c>
      <c r="AP3186" s="21">
        <v>21</v>
      </c>
      <c r="AQ3186" s="22" t="s">
        <v>3016</v>
      </c>
      <c r="AR3186" s="21" t="s">
        <v>1279</v>
      </c>
      <c r="AS3186" t="s">
        <v>3085</v>
      </c>
    </row>
    <row r="3187" spans="1:45" x14ac:dyDescent="0.2">
      <c r="A3187" s="21" t="s">
        <v>1685</v>
      </c>
      <c r="B3187" s="21" t="s">
        <v>1146</v>
      </c>
      <c r="C3187" s="21" t="s">
        <v>1149</v>
      </c>
      <c r="D3187" s="21" t="s">
        <v>420</v>
      </c>
      <c r="E3187" s="21" t="s">
        <v>3083</v>
      </c>
      <c r="G3187" s="21" t="s">
        <v>153</v>
      </c>
      <c r="H3187" s="21" t="s">
        <v>1165</v>
      </c>
      <c r="I3187" s="21" t="s">
        <v>3084</v>
      </c>
      <c r="J3187" s="21">
        <v>49.133333333333297</v>
      </c>
      <c r="K3187">
        <v>-122.75</v>
      </c>
      <c r="L3187">
        <v>1415</v>
      </c>
      <c r="M3187" s="21" t="s">
        <v>3034</v>
      </c>
      <c r="O3187" s="21">
        <v>1985</v>
      </c>
      <c r="Q3187" s="21" t="s">
        <v>3086</v>
      </c>
      <c r="T3187" s="21">
        <v>-20</v>
      </c>
      <c r="U3187" s="21" t="s">
        <v>1218</v>
      </c>
      <c r="V3187" s="9" t="s">
        <v>1247</v>
      </c>
      <c r="W3187" s="21">
        <v>56</v>
      </c>
      <c r="X3187" s="9" t="s">
        <v>3088</v>
      </c>
      <c r="Y3187" t="s">
        <v>3214</v>
      </c>
      <c r="Z3187" s="22">
        <v>8</v>
      </c>
      <c r="AD3187" s="22" t="s">
        <v>1165</v>
      </c>
      <c r="AF3187" s="24" t="s">
        <v>153</v>
      </c>
      <c r="AG3187" t="s">
        <v>1160</v>
      </c>
      <c r="AH3187">
        <f t="shared" si="35"/>
        <v>4320</v>
      </c>
      <c r="AI3187" s="21" t="s">
        <v>153</v>
      </c>
      <c r="AJ3187" s="21" t="s">
        <v>1148</v>
      </c>
      <c r="AK3187" s="21">
        <v>64.177000000000007</v>
      </c>
      <c r="AL3187" s="21" t="s">
        <v>1321</v>
      </c>
      <c r="AM3187" s="21">
        <f>66.456-62.911</f>
        <v>3.5450000000000017</v>
      </c>
      <c r="AN3187" s="21">
        <v>3</v>
      </c>
      <c r="AO3187" s="21">
        <v>50</v>
      </c>
      <c r="AP3187" s="21">
        <v>24</v>
      </c>
      <c r="AQ3187" s="22" t="s">
        <v>3016</v>
      </c>
      <c r="AR3187" s="21" t="s">
        <v>1279</v>
      </c>
      <c r="AS3187" t="s">
        <v>3085</v>
      </c>
    </row>
    <row r="3188" spans="1:45" x14ac:dyDescent="0.2">
      <c r="A3188" s="21" t="s">
        <v>1685</v>
      </c>
      <c r="B3188" s="21" t="s">
        <v>1146</v>
      </c>
      <c r="C3188" s="21" t="s">
        <v>1149</v>
      </c>
      <c r="D3188" s="21" t="s">
        <v>420</v>
      </c>
      <c r="E3188" s="21" t="s">
        <v>3083</v>
      </c>
      <c r="G3188" s="21" t="s">
        <v>153</v>
      </c>
      <c r="H3188" s="21" t="s">
        <v>1165</v>
      </c>
      <c r="I3188" s="21" t="s">
        <v>3084</v>
      </c>
      <c r="J3188" s="21">
        <v>49.133333333333297</v>
      </c>
      <c r="K3188">
        <v>-122.75</v>
      </c>
      <c r="L3188">
        <v>1415</v>
      </c>
      <c r="M3188" s="21" t="s">
        <v>3034</v>
      </c>
      <c r="O3188" s="21">
        <v>1985</v>
      </c>
      <c r="Q3188" s="21" t="s">
        <v>3086</v>
      </c>
      <c r="T3188" s="21">
        <v>-20</v>
      </c>
      <c r="U3188" s="21" t="s">
        <v>1218</v>
      </c>
      <c r="V3188" s="9" t="s">
        <v>1247</v>
      </c>
      <c r="W3188" s="21">
        <v>56</v>
      </c>
      <c r="X3188" s="9" t="s">
        <v>3088</v>
      </c>
      <c r="Y3188" t="s">
        <v>3214</v>
      </c>
      <c r="Z3188" s="22">
        <v>8</v>
      </c>
      <c r="AD3188" s="22" t="s">
        <v>1165</v>
      </c>
      <c r="AF3188" s="24" t="s">
        <v>153</v>
      </c>
      <c r="AG3188" t="s">
        <v>1160</v>
      </c>
      <c r="AH3188">
        <f t="shared" si="35"/>
        <v>4320</v>
      </c>
      <c r="AI3188" s="21" t="s">
        <v>153</v>
      </c>
      <c r="AJ3188" s="21" t="s">
        <v>1148</v>
      </c>
      <c r="AK3188" s="21">
        <v>69.494</v>
      </c>
      <c r="AL3188" s="21" t="s">
        <v>1321</v>
      </c>
      <c r="AM3188" s="21">
        <f>72.532-67.468</f>
        <v>5.063999999999993</v>
      </c>
      <c r="AN3188" s="21">
        <v>3</v>
      </c>
      <c r="AO3188" s="21">
        <v>50</v>
      </c>
      <c r="AP3188" s="21">
        <v>27</v>
      </c>
      <c r="AQ3188" s="22" t="s">
        <v>3016</v>
      </c>
      <c r="AR3188" s="21" t="s">
        <v>1279</v>
      </c>
      <c r="AS3188" t="s">
        <v>3085</v>
      </c>
    </row>
    <row r="3189" spans="1:45" x14ac:dyDescent="0.2">
      <c r="A3189" s="21" t="s">
        <v>1685</v>
      </c>
      <c r="B3189" s="21" t="s">
        <v>1146</v>
      </c>
      <c r="C3189" s="21" t="s">
        <v>1149</v>
      </c>
      <c r="D3189" s="21" t="s">
        <v>420</v>
      </c>
      <c r="E3189" s="21" t="s">
        <v>3083</v>
      </c>
      <c r="G3189" s="21" t="s">
        <v>153</v>
      </c>
      <c r="H3189" s="21" t="s">
        <v>1165</v>
      </c>
      <c r="I3189" s="21" t="s">
        <v>3084</v>
      </c>
      <c r="J3189" s="21">
        <v>49.133333333333297</v>
      </c>
      <c r="K3189">
        <v>-122.75</v>
      </c>
      <c r="L3189">
        <v>1415</v>
      </c>
      <c r="M3189" s="21" t="s">
        <v>3034</v>
      </c>
      <c r="O3189" s="21">
        <v>1985</v>
      </c>
      <c r="Q3189" s="21" t="s">
        <v>3086</v>
      </c>
      <c r="T3189" s="21">
        <v>-20</v>
      </c>
      <c r="U3189" s="21" t="s">
        <v>1218</v>
      </c>
      <c r="V3189" s="9" t="s">
        <v>1247</v>
      </c>
      <c r="W3189" s="21">
        <v>56</v>
      </c>
      <c r="X3189" s="9" t="s">
        <v>3088</v>
      </c>
      <c r="Y3189" t="s">
        <v>3214</v>
      </c>
      <c r="Z3189" s="22">
        <v>8</v>
      </c>
      <c r="AD3189" s="22" t="s">
        <v>1165</v>
      </c>
      <c r="AF3189" s="24" t="s">
        <v>153</v>
      </c>
      <c r="AG3189" t="s">
        <v>1160</v>
      </c>
      <c r="AH3189">
        <f t="shared" si="35"/>
        <v>4320</v>
      </c>
      <c r="AI3189" s="21" t="s">
        <v>153</v>
      </c>
      <c r="AJ3189" s="21" t="s">
        <v>1148</v>
      </c>
      <c r="AK3189" s="21">
        <v>72.278000000000006</v>
      </c>
      <c r="AL3189" s="21" t="s">
        <v>1321</v>
      </c>
      <c r="AM3189" s="21">
        <f>74.557-71.013</f>
        <v>3.5439999999999969</v>
      </c>
      <c r="AN3189" s="21">
        <v>3</v>
      </c>
      <c r="AO3189" s="21">
        <v>50</v>
      </c>
      <c r="AP3189" s="21">
        <v>30</v>
      </c>
      <c r="AQ3189" s="22" t="s">
        <v>3016</v>
      </c>
      <c r="AR3189" s="21" t="s">
        <v>1279</v>
      </c>
      <c r="AS3189" t="s">
        <v>3085</v>
      </c>
    </row>
    <row r="3190" spans="1:45" x14ac:dyDescent="0.2">
      <c r="A3190" s="21" t="s">
        <v>1685</v>
      </c>
      <c r="B3190" s="21" t="s">
        <v>1146</v>
      </c>
      <c r="C3190" s="21" t="s">
        <v>1149</v>
      </c>
      <c r="D3190" s="21" t="s">
        <v>420</v>
      </c>
      <c r="E3190" s="21" t="s">
        <v>3083</v>
      </c>
      <c r="G3190" s="21" t="s">
        <v>153</v>
      </c>
      <c r="H3190" s="21" t="s">
        <v>1165</v>
      </c>
      <c r="I3190" s="21" t="s">
        <v>3084</v>
      </c>
      <c r="J3190" s="21">
        <v>49.133333333333297</v>
      </c>
      <c r="K3190">
        <v>-122.75</v>
      </c>
      <c r="L3190">
        <v>1415</v>
      </c>
      <c r="M3190" s="21" t="s">
        <v>3034</v>
      </c>
      <c r="O3190" s="21">
        <v>1985</v>
      </c>
      <c r="Q3190" s="21" t="s">
        <v>3086</v>
      </c>
      <c r="T3190" s="21">
        <v>-20</v>
      </c>
      <c r="U3190" s="21" t="s">
        <v>1218</v>
      </c>
      <c r="V3190" s="9" t="s">
        <v>1247</v>
      </c>
      <c r="W3190" s="21">
        <v>56</v>
      </c>
      <c r="X3190" s="9" t="s">
        <v>3088</v>
      </c>
      <c r="Y3190" t="s">
        <v>3215</v>
      </c>
      <c r="Z3190" s="22">
        <v>8</v>
      </c>
      <c r="AD3190" s="22" t="s">
        <v>1165</v>
      </c>
      <c r="AF3190" s="24" t="s">
        <v>153</v>
      </c>
      <c r="AG3190" t="s">
        <v>1160</v>
      </c>
      <c r="AH3190">
        <f t="shared" si="35"/>
        <v>4320</v>
      </c>
      <c r="AI3190" s="21" t="s">
        <v>153</v>
      </c>
      <c r="AJ3190" s="21" t="s">
        <v>1148</v>
      </c>
      <c r="AK3190" s="21">
        <v>0</v>
      </c>
      <c r="AL3190" s="21" t="s">
        <v>1321</v>
      </c>
      <c r="AM3190">
        <v>0</v>
      </c>
      <c r="AN3190" s="21">
        <v>3</v>
      </c>
      <c r="AO3190" s="21">
        <v>50</v>
      </c>
      <c r="AP3190" s="21">
        <v>3</v>
      </c>
      <c r="AQ3190" s="22" t="s">
        <v>3016</v>
      </c>
      <c r="AR3190" s="21" t="s">
        <v>1279</v>
      </c>
      <c r="AS3190" t="s">
        <v>3085</v>
      </c>
    </row>
    <row r="3191" spans="1:45" x14ac:dyDescent="0.2">
      <c r="A3191" s="21" t="s">
        <v>1685</v>
      </c>
      <c r="B3191" s="21" t="s">
        <v>1146</v>
      </c>
      <c r="C3191" s="21" t="s">
        <v>1149</v>
      </c>
      <c r="D3191" s="21" t="s">
        <v>420</v>
      </c>
      <c r="E3191" s="21" t="s">
        <v>3083</v>
      </c>
      <c r="G3191" s="21" t="s">
        <v>153</v>
      </c>
      <c r="H3191" s="21" t="s">
        <v>1165</v>
      </c>
      <c r="I3191" s="21" t="s">
        <v>3084</v>
      </c>
      <c r="J3191" s="21">
        <v>49.133333333333297</v>
      </c>
      <c r="K3191">
        <v>-122.75</v>
      </c>
      <c r="L3191">
        <v>1415</v>
      </c>
      <c r="M3191" s="21" t="s">
        <v>3034</v>
      </c>
      <c r="O3191" s="21">
        <v>1985</v>
      </c>
      <c r="Q3191" s="21" t="s">
        <v>3086</v>
      </c>
      <c r="T3191" s="21">
        <v>-20</v>
      </c>
      <c r="U3191" s="21" t="s">
        <v>1218</v>
      </c>
      <c r="V3191" s="9" t="s">
        <v>1247</v>
      </c>
      <c r="W3191" s="21">
        <v>56</v>
      </c>
      <c r="X3191" s="9" t="s">
        <v>3088</v>
      </c>
      <c r="Y3191" t="s">
        <v>3215</v>
      </c>
      <c r="Z3191" s="22">
        <v>8</v>
      </c>
      <c r="AD3191" s="22" t="s">
        <v>1165</v>
      </c>
      <c r="AF3191" s="24" t="s">
        <v>153</v>
      </c>
      <c r="AG3191" t="s">
        <v>1160</v>
      </c>
      <c r="AH3191">
        <f t="shared" si="35"/>
        <v>4320</v>
      </c>
      <c r="AI3191" s="21" t="s">
        <v>153</v>
      </c>
      <c r="AJ3191" s="21" t="s">
        <v>1148</v>
      </c>
      <c r="AK3191" s="21">
        <v>42.024999999999999</v>
      </c>
      <c r="AL3191" s="21" t="s">
        <v>1321</v>
      </c>
      <c r="AM3191" s="21">
        <f>44.177-40.633</f>
        <v>3.5439999999999969</v>
      </c>
      <c r="AN3191" s="21">
        <v>3</v>
      </c>
      <c r="AO3191" s="21">
        <v>50</v>
      </c>
      <c r="AP3191" s="21">
        <v>12</v>
      </c>
      <c r="AQ3191" s="22" t="s">
        <v>3016</v>
      </c>
      <c r="AR3191" s="21" t="s">
        <v>1279</v>
      </c>
      <c r="AS3191" t="s">
        <v>3085</v>
      </c>
    </row>
    <row r="3192" spans="1:45" x14ac:dyDescent="0.2">
      <c r="A3192" s="21" t="s">
        <v>1685</v>
      </c>
      <c r="B3192" s="21" t="s">
        <v>1146</v>
      </c>
      <c r="C3192" s="21" t="s">
        <v>1149</v>
      </c>
      <c r="D3192" s="21" t="s">
        <v>420</v>
      </c>
      <c r="E3192" s="21" t="s">
        <v>3083</v>
      </c>
      <c r="G3192" s="21" t="s">
        <v>153</v>
      </c>
      <c r="H3192" s="21" t="s">
        <v>1165</v>
      </c>
      <c r="I3192" s="21" t="s">
        <v>3084</v>
      </c>
      <c r="J3192" s="21">
        <v>49.133333333333297</v>
      </c>
      <c r="K3192">
        <v>-122.75</v>
      </c>
      <c r="L3192">
        <v>1415</v>
      </c>
      <c r="M3192" s="21" t="s">
        <v>3034</v>
      </c>
      <c r="O3192" s="21">
        <v>1985</v>
      </c>
      <c r="Q3192" s="21" t="s">
        <v>3086</v>
      </c>
      <c r="T3192" s="21">
        <v>-20</v>
      </c>
      <c r="U3192" s="21" t="s">
        <v>1218</v>
      </c>
      <c r="V3192" s="9" t="s">
        <v>1247</v>
      </c>
      <c r="W3192" s="21">
        <v>56</v>
      </c>
      <c r="X3192" s="9" t="s">
        <v>3088</v>
      </c>
      <c r="Y3192" t="s">
        <v>3215</v>
      </c>
      <c r="Z3192" s="22">
        <v>8</v>
      </c>
      <c r="AD3192" s="22" t="s">
        <v>1165</v>
      </c>
      <c r="AF3192" s="24" t="s">
        <v>153</v>
      </c>
      <c r="AG3192" t="s">
        <v>1160</v>
      </c>
      <c r="AH3192">
        <f t="shared" si="35"/>
        <v>4320</v>
      </c>
      <c r="AI3192" s="21" t="s">
        <v>153</v>
      </c>
      <c r="AJ3192" s="21" t="s">
        <v>1148</v>
      </c>
      <c r="AK3192" s="21">
        <v>53.670999999999999</v>
      </c>
      <c r="AL3192" s="21" t="s">
        <v>1321</v>
      </c>
      <c r="AM3192" s="21">
        <v>0</v>
      </c>
      <c r="AN3192" s="21">
        <v>3</v>
      </c>
      <c r="AO3192" s="21">
        <v>50</v>
      </c>
      <c r="AP3192" s="21">
        <v>15</v>
      </c>
      <c r="AQ3192" s="22" t="s">
        <v>3016</v>
      </c>
      <c r="AR3192" s="21" t="s">
        <v>1279</v>
      </c>
      <c r="AS3192" t="s">
        <v>3085</v>
      </c>
    </row>
    <row r="3193" spans="1:45" x14ac:dyDescent="0.2">
      <c r="A3193" s="21" t="s">
        <v>1685</v>
      </c>
      <c r="B3193" s="21" t="s">
        <v>1146</v>
      </c>
      <c r="C3193" s="21" t="s">
        <v>1149</v>
      </c>
      <c r="D3193" s="21" t="s">
        <v>420</v>
      </c>
      <c r="E3193" s="21" t="s">
        <v>3083</v>
      </c>
      <c r="G3193" s="21" t="s">
        <v>153</v>
      </c>
      <c r="H3193" s="21" t="s">
        <v>1165</v>
      </c>
      <c r="I3193" s="21" t="s">
        <v>3084</v>
      </c>
      <c r="J3193" s="21">
        <v>49.133333333333297</v>
      </c>
      <c r="K3193">
        <v>-122.75</v>
      </c>
      <c r="L3193">
        <v>1415</v>
      </c>
      <c r="M3193" s="21" t="s">
        <v>3034</v>
      </c>
      <c r="O3193" s="21">
        <v>1985</v>
      </c>
      <c r="Q3193" s="21" t="s">
        <v>3086</v>
      </c>
      <c r="T3193" s="21">
        <v>-20</v>
      </c>
      <c r="U3193" s="21" t="s">
        <v>1218</v>
      </c>
      <c r="V3193" s="9" t="s">
        <v>1247</v>
      </c>
      <c r="W3193" s="21">
        <v>56</v>
      </c>
      <c r="X3193" s="9" t="s">
        <v>3088</v>
      </c>
      <c r="Y3193" t="s">
        <v>3215</v>
      </c>
      <c r="Z3193" s="22">
        <v>8</v>
      </c>
      <c r="AD3193" s="22" t="s">
        <v>1165</v>
      </c>
      <c r="AF3193" s="24" t="s">
        <v>153</v>
      </c>
      <c r="AG3193" t="s">
        <v>1160</v>
      </c>
      <c r="AH3193">
        <f t="shared" si="35"/>
        <v>4320</v>
      </c>
      <c r="AI3193" s="21" t="s">
        <v>153</v>
      </c>
      <c r="AJ3193" s="21" t="s">
        <v>1148</v>
      </c>
      <c r="AK3193" s="21">
        <v>68.480999999999995</v>
      </c>
      <c r="AL3193" s="21" t="s">
        <v>1321</v>
      </c>
      <c r="AM3193" s="21">
        <f>70.506-66.962</f>
        <v>3.5439999999999969</v>
      </c>
      <c r="AN3193" s="21">
        <v>3</v>
      </c>
      <c r="AO3193" s="21">
        <v>50</v>
      </c>
      <c r="AP3193" s="21">
        <v>18</v>
      </c>
      <c r="AQ3193" s="22" t="s">
        <v>3016</v>
      </c>
      <c r="AR3193" s="21" t="s">
        <v>1279</v>
      </c>
      <c r="AS3193" t="s">
        <v>3085</v>
      </c>
    </row>
    <row r="3194" spans="1:45" x14ac:dyDescent="0.2">
      <c r="A3194" s="21" t="s">
        <v>1685</v>
      </c>
      <c r="B3194" s="21" t="s">
        <v>1146</v>
      </c>
      <c r="C3194" s="21" t="s">
        <v>1149</v>
      </c>
      <c r="D3194" s="21" t="s">
        <v>420</v>
      </c>
      <c r="E3194" s="21" t="s">
        <v>3083</v>
      </c>
      <c r="G3194" s="21" t="s">
        <v>153</v>
      </c>
      <c r="H3194" s="21" t="s">
        <v>1165</v>
      </c>
      <c r="I3194" s="21" t="s">
        <v>3084</v>
      </c>
      <c r="J3194" s="21">
        <v>49.133333333333297</v>
      </c>
      <c r="K3194">
        <v>-122.75</v>
      </c>
      <c r="L3194">
        <v>1415</v>
      </c>
      <c r="M3194" s="21" t="s">
        <v>3034</v>
      </c>
      <c r="O3194" s="21">
        <v>1985</v>
      </c>
      <c r="Q3194" s="21" t="s">
        <v>3086</v>
      </c>
      <c r="T3194" s="21">
        <v>-20</v>
      </c>
      <c r="U3194" s="21" t="s">
        <v>1218</v>
      </c>
      <c r="V3194" s="9" t="s">
        <v>1247</v>
      </c>
      <c r="W3194" s="21">
        <v>56</v>
      </c>
      <c r="X3194" s="9" t="s">
        <v>3088</v>
      </c>
      <c r="Y3194" t="s">
        <v>3215</v>
      </c>
      <c r="Z3194" s="22">
        <v>8</v>
      </c>
      <c r="AD3194" s="22" t="s">
        <v>1165</v>
      </c>
      <c r="AF3194" s="24" t="s">
        <v>153</v>
      </c>
      <c r="AG3194" t="s">
        <v>1160</v>
      </c>
      <c r="AH3194">
        <f t="shared" si="35"/>
        <v>4320</v>
      </c>
      <c r="AI3194" s="21" t="s">
        <v>153</v>
      </c>
      <c r="AJ3194" s="21" t="s">
        <v>1148</v>
      </c>
      <c r="AK3194" s="21">
        <v>71.138999999999996</v>
      </c>
      <c r="AL3194" s="21" t="s">
        <v>1321</v>
      </c>
      <c r="AM3194" s="21">
        <f>73.291-69.494</f>
        <v>3.796999999999997</v>
      </c>
      <c r="AN3194" s="21">
        <v>3</v>
      </c>
      <c r="AO3194" s="21">
        <v>50</v>
      </c>
      <c r="AP3194" s="21">
        <v>21</v>
      </c>
      <c r="AQ3194" s="22" t="s">
        <v>3016</v>
      </c>
      <c r="AR3194" s="21" t="s">
        <v>1279</v>
      </c>
      <c r="AS3194" t="s">
        <v>3085</v>
      </c>
    </row>
    <row r="3195" spans="1:45" x14ac:dyDescent="0.2">
      <c r="A3195" s="21" t="s">
        <v>1685</v>
      </c>
      <c r="B3195" s="21" t="s">
        <v>1146</v>
      </c>
      <c r="C3195" s="21" t="s">
        <v>1149</v>
      </c>
      <c r="D3195" s="21" t="s">
        <v>420</v>
      </c>
      <c r="E3195" s="21" t="s">
        <v>3083</v>
      </c>
      <c r="G3195" s="21" t="s">
        <v>153</v>
      </c>
      <c r="H3195" s="21" t="s">
        <v>1165</v>
      </c>
      <c r="I3195" s="21" t="s">
        <v>3084</v>
      </c>
      <c r="J3195" s="21">
        <v>49.133333333333297</v>
      </c>
      <c r="K3195">
        <v>-122.75</v>
      </c>
      <c r="L3195">
        <v>1415</v>
      </c>
      <c r="M3195" s="21" t="s">
        <v>3034</v>
      </c>
      <c r="O3195" s="21">
        <v>1985</v>
      </c>
      <c r="Q3195" s="21" t="s">
        <v>3086</v>
      </c>
      <c r="T3195" s="21">
        <v>-20</v>
      </c>
      <c r="U3195" s="21" t="s">
        <v>1218</v>
      </c>
      <c r="V3195" s="9" t="s">
        <v>1247</v>
      </c>
      <c r="W3195" s="21">
        <v>56</v>
      </c>
      <c r="X3195" s="9" t="s">
        <v>3088</v>
      </c>
      <c r="Y3195" t="s">
        <v>3215</v>
      </c>
      <c r="Z3195" s="22">
        <v>8</v>
      </c>
      <c r="AD3195" s="22" t="s">
        <v>1165</v>
      </c>
      <c r="AF3195" s="24" t="s">
        <v>153</v>
      </c>
      <c r="AG3195" t="s">
        <v>1160</v>
      </c>
      <c r="AH3195">
        <f t="shared" si="35"/>
        <v>4320</v>
      </c>
      <c r="AI3195" s="21" t="s">
        <v>153</v>
      </c>
      <c r="AJ3195" s="21" t="s">
        <v>1148</v>
      </c>
      <c r="AK3195" s="21">
        <v>76.456000000000003</v>
      </c>
      <c r="AL3195" s="21" t="s">
        <v>1321</v>
      </c>
      <c r="AM3195" s="21">
        <f>78.608-75.063</f>
        <v>3.5450000000000017</v>
      </c>
      <c r="AN3195" s="21">
        <v>3</v>
      </c>
      <c r="AO3195" s="21">
        <v>50</v>
      </c>
      <c r="AP3195" s="21">
        <v>24</v>
      </c>
      <c r="AQ3195" s="22" t="s">
        <v>3016</v>
      </c>
      <c r="AR3195" s="21" t="s">
        <v>1279</v>
      </c>
      <c r="AS3195" t="s">
        <v>3085</v>
      </c>
    </row>
    <row r="3196" spans="1:45" x14ac:dyDescent="0.2">
      <c r="A3196" s="21" t="s">
        <v>1685</v>
      </c>
      <c r="B3196" s="21" t="s">
        <v>1146</v>
      </c>
      <c r="C3196" s="21" t="s">
        <v>1149</v>
      </c>
      <c r="D3196" s="21" t="s">
        <v>420</v>
      </c>
      <c r="E3196" s="21" t="s">
        <v>3083</v>
      </c>
      <c r="G3196" s="21" t="s">
        <v>153</v>
      </c>
      <c r="H3196" s="21" t="s">
        <v>1165</v>
      </c>
      <c r="I3196" s="21" t="s">
        <v>3084</v>
      </c>
      <c r="J3196" s="21">
        <v>49.133333333333297</v>
      </c>
      <c r="K3196">
        <v>-122.75</v>
      </c>
      <c r="L3196">
        <v>1415</v>
      </c>
      <c r="M3196" s="21" t="s">
        <v>3034</v>
      </c>
      <c r="O3196" s="21">
        <v>1985</v>
      </c>
      <c r="Q3196" s="21" t="s">
        <v>3086</v>
      </c>
      <c r="T3196" s="21">
        <v>-20</v>
      </c>
      <c r="U3196" s="21" t="s">
        <v>1218</v>
      </c>
      <c r="V3196" s="9" t="s">
        <v>1247</v>
      </c>
      <c r="W3196" s="21">
        <v>56</v>
      </c>
      <c r="X3196" s="9" t="s">
        <v>3088</v>
      </c>
      <c r="Y3196" t="s">
        <v>3215</v>
      </c>
      <c r="Z3196" s="22">
        <v>8</v>
      </c>
      <c r="AD3196" s="22" t="s">
        <v>1165</v>
      </c>
      <c r="AF3196" s="24" t="s">
        <v>153</v>
      </c>
      <c r="AG3196" t="s">
        <v>1160</v>
      </c>
      <c r="AH3196">
        <f t="shared" si="35"/>
        <v>4320</v>
      </c>
      <c r="AI3196" s="21" t="s">
        <v>153</v>
      </c>
      <c r="AJ3196" s="21" t="s">
        <v>1148</v>
      </c>
      <c r="AK3196" s="21">
        <v>78.480999999999995</v>
      </c>
      <c r="AL3196" s="21" t="s">
        <v>1321</v>
      </c>
      <c r="AM3196" s="21">
        <f>80.633-77.089</f>
        <v>3.5439999999999969</v>
      </c>
      <c r="AN3196" s="21">
        <v>3</v>
      </c>
      <c r="AO3196" s="21">
        <v>50</v>
      </c>
      <c r="AP3196" s="21">
        <v>27</v>
      </c>
      <c r="AQ3196" s="22" t="s">
        <v>3016</v>
      </c>
      <c r="AR3196" s="21" t="s">
        <v>1279</v>
      </c>
      <c r="AS3196" t="s">
        <v>3085</v>
      </c>
    </row>
    <row r="3197" spans="1:45" x14ac:dyDescent="0.2">
      <c r="A3197" s="21" t="s">
        <v>1685</v>
      </c>
      <c r="B3197" s="21" t="s">
        <v>1146</v>
      </c>
      <c r="C3197" s="21" t="s">
        <v>1149</v>
      </c>
      <c r="D3197" s="21" t="s">
        <v>420</v>
      </c>
      <c r="E3197" s="21" t="s">
        <v>3083</v>
      </c>
      <c r="G3197" s="21" t="s">
        <v>153</v>
      </c>
      <c r="H3197" s="21" t="s">
        <v>1165</v>
      </c>
      <c r="I3197" s="21" t="s">
        <v>3084</v>
      </c>
      <c r="J3197" s="21">
        <v>49.133333333333297</v>
      </c>
      <c r="K3197">
        <v>-122.75</v>
      </c>
      <c r="L3197">
        <v>1415</v>
      </c>
      <c r="M3197" s="21" t="s">
        <v>3034</v>
      </c>
      <c r="O3197" s="21">
        <v>1985</v>
      </c>
      <c r="Q3197" s="21" t="s">
        <v>3086</v>
      </c>
      <c r="T3197" s="21">
        <v>-20</v>
      </c>
      <c r="U3197" s="21" t="s">
        <v>1218</v>
      </c>
      <c r="V3197" s="9" t="s">
        <v>1247</v>
      </c>
      <c r="W3197" s="21">
        <v>56</v>
      </c>
      <c r="X3197" s="9" t="s">
        <v>3088</v>
      </c>
      <c r="Y3197" t="s">
        <v>3215</v>
      </c>
      <c r="Z3197" s="22">
        <v>8</v>
      </c>
      <c r="AD3197" s="22" t="s">
        <v>1165</v>
      </c>
      <c r="AF3197" s="24" t="s">
        <v>153</v>
      </c>
      <c r="AG3197" t="s">
        <v>1160</v>
      </c>
      <c r="AH3197">
        <f t="shared" si="35"/>
        <v>4320</v>
      </c>
      <c r="AI3197" s="21" t="s">
        <v>153</v>
      </c>
      <c r="AJ3197" s="21" t="s">
        <v>1148</v>
      </c>
      <c r="AK3197" s="21">
        <v>81.391999999999996</v>
      </c>
      <c r="AL3197" s="21" t="s">
        <v>1321</v>
      </c>
      <c r="AM3197" s="21">
        <v>0</v>
      </c>
      <c r="AN3197" s="21">
        <v>3</v>
      </c>
      <c r="AO3197" s="21">
        <v>50</v>
      </c>
      <c r="AP3197" s="21">
        <v>30</v>
      </c>
      <c r="AQ3197" s="22" t="s">
        <v>3016</v>
      </c>
      <c r="AR3197" s="21" t="s">
        <v>1279</v>
      </c>
      <c r="AS3197" t="s">
        <v>3085</v>
      </c>
    </row>
    <row r="3198" spans="1:45" x14ac:dyDescent="0.2">
      <c r="A3198" s="21" t="s">
        <v>1685</v>
      </c>
      <c r="B3198" s="21" t="s">
        <v>1146</v>
      </c>
      <c r="C3198" s="21" t="s">
        <v>1149</v>
      </c>
      <c r="D3198" s="21" t="s">
        <v>420</v>
      </c>
      <c r="E3198" s="21" t="s">
        <v>3093</v>
      </c>
      <c r="G3198" s="21" t="s">
        <v>153</v>
      </c>
      <c r="H3198" s="21" t="s">
        <v>1165</v>
      </c>
      <c r="I3198" s="21" t="s">
        <v>3087</v>
      </c>
      <c r="J3198" s="21">
        <v>55.266666666666602</v>
      </c>
      <c r="K3198">
        <v>-128.4</v>
      </c>
      <c r="L3198">
        <v>1100</v>
      </c>
      <c r="M3198" s="21" t="s">
        <v>3034</v>
      </c>
      <c r="O3198" s="21">
        <v>1992</v>
      </c>
      <c r="Q3198" s="21" t="s">
        <v>3086</v>
      </c>
      <c r="T3198" s="21">
        <v>-20</v>
      </c>
      <c r="U3198" s="21" t="s">
        <v>1218</v>
      </c>
      <c r="V3198" s="9" t="s">
        <v>1247</v>
      </c>
      <c r="W3198" s="21">
        <v>56</v>
      </c>
      <c r="X3198" s="9" t="s">
        <v>3088</v>
      </c>
      <c r="Y3198" t="s">
        <v>3213</v>
      </c>
      <c r="Z3198" s="22">
        <v>8</v>
      </c>
      <c r="AD3198" s="22" t="s">
        <v>1165</v>
      </c>
      <c r="AF3198" s="24" t="s">
        <v>153</v>
      </c>
      <c r="AG3198" t="s">
        <v>1160</v>
      </c>
      <c r="AH3198">
        <f t="shared" si="35"/>
        <v>4320</v>
      </c>
      <c r="AI3198" s="21" t="s">
        <v>153</v>
      </c>
      <c r="AJ3198" s="21" t="s">
        <v>1148</v>
      </c>
      <c r="AK3198" s="21">
        <v>0</v>
      </c>
      <c r="AL3198" s="21" t="s">
        <v>1321</v>
      </c>
      <c r="AM3198" s="21">
        <v>0</v>
      </c>
      <c r="AN3198" s="21">
        <v>3</v>
      </c>
      <c r="AO3198" s="21">
        <v>50</v>
      </c>
      <c r="AP3198" s="21">
        <v>3</v>
      </c>
      <c r="AQ3198" s="22" t="s">
        <v>3016</v>
      </c>
      <c r="AR3198" s="21" t="s">
        <v>1279</v>
      </c>
      <c r="AS3198" t="s">
        <v>3085</v>
      </c>
    </row>
    <row r="3199" spans="1:45" x14ac:dyDescent="0.2">
      <c r="A3199" s="21" t="s">
        <v>1685</v>
      </c>
      <c r="B3199" s="21" t="s">
        <v>1146</v>
      </c>
      <c r="C3199" s="21" t="s">
        <v>1149</v>
      </c>
      <c r="D3199" s="21" t="s">
        <v>420</v>
      </c>
      <c r="E3199" s="21" t="s">
        <v>3093</v>
      </c>
      <c r="G3199" s="21" t="s">
        <v>153</v>
      </c>
      <c r="H3199" s="21" t="s">
        <v>1165</v>
      </c>
      <c r="I3199" s="21" t="s">
        <v>3087</v>
      </c>
      <c r="J3199" s="21">
        <v>55.266666666666602</v>
      </c>
      <c r="K3199">
        <v>-128.4</v>
      </c>
      <c r="L3199">
        <v>1100</v>
      </c>
      <c r="M3199" s="21" t="s">
        <v>3034</v>
      </c>
      <c r="O3199" s="21">
        <v>1992</v>
      </c>
      <c r="Q3199" s="21" t="s">
        <v>3086</v>
      </c>
      <c r="T3199" s="21">
        <v>-20</v>
      </c>
      <c r="U3199" s="21" t="s">
        <v>1218</v>
      </c>
      <c r="V3199" s="9" t="s">
        <v>1247</v>
      </c>
      <c r="W3199" s="21">
        <v>56</v>
      </c>
      <c r="X3199" s="9" t="s">
        <v>3088</v>
      </c>
      <c r="Y3199" t="s">
        <v>3213</v>
      </c>
      <c r="Z3199" s="22">
        <v>8</v>
      </c>
      <c r="AD3199" s="22" t="s">
        <v>1165</v>
      </c>
      <c r="AF3199" s="24" t="s">
        <v>153</v>
      </c>
      <c r="AG3199" t="s">
        <v>1160</v>
      </c>
      <c r="AH3199">
        <f t="shared" si="35"/>
        <v>4320</v>
      </c>
      <c r="AI3199" s="21" t="s">
        <v>153</v>
      </c>
      <c r="AJ3199" s="21" t="s">
        <v>1148</v>
      </c>
      <c r="AK3199" s="21">
        <v>15.635999999999999</v>
      </c>
      <c r="AL3199" s="21" t="s">
        <v>1321</v>
      </c>
      <c r="AM3199" s="21" t="s">
        <v>3003</v>
      </c>
      <c r="AN3199" s="21">
        <v>3</v>
      </c>
      <c r="AO3199" s="21">
        <v>50</v>
      </c>
      <c r="AP3199" s="21">
        <v>9</v>
      </c>
      <c r="AQ3199" s="22" t="s">
        <v>3016</v>
      </c>
      <c r="AR3199" s="21" t="s">
        <v>1279</v>
      </c>
      <c r="AS3199" t="s">
        <v>3085</v>
      </c>
    </row>
    <row r="3200" spans="1:45" x14ac:dyDescent="0.2">
      <c r="A3200" s="21" t="s">
        <v>1685</v>
      </c>
      <c r="B3200" s="21" t="s">
        <v>1146</v>
      </c>
      <c r="C3200" s="21" t="s">
        <v>1149</v>
      </c>
      <c r="D3200" s="21" t="s">
        <v>420</v>
      </c>
      <c r="E3200" s="21" t="s">
        <v>3093</v>
      </c>
      <c r="G3200" s="21" t="s">
        <v>153</v>
      </c>
      <c r="H3200" s="21" t="s">
        <v>1165</v>
      </c>
      <c r="I3200" s="21" t="s">
        <v>3087</v>
      </c>
      <c r="J3200" s="21">
        <v>55.266666666666602</v>
      </c>
      <c r="K3200">
        <v>-128.4</v>
      </c>
      <c r="L3200">
        <v>1100</v>
      </c>
      <c r="M3200" s="21" t="s">
        <v>3034</v>
      </c>
      <c r="O3200" s="21">
        <v>1992</v>
      </c>
      <c r="Q3200" s="21" t="s">
        <v>3086</v>
      </c>
      <c r="T3200" s="21">
        <v>-20</v>
      </c>
      <c r="U3200" s="21" t="s">
        <v>1218</v>
      </c>
      <c r="V3200" s="9" t="s">
        <v>1247</v>
      </c>
      <c r="W3200" s="21">
        <v>56</v>
      </c>
      <c r="X3200" s="9" t="s">
        <v>3088</v>
      </c>
      <c r="Y3200" t="s">
        <v>3213</v>
      </c>
      <c r="Z3200" s="22">
        <v>8</v>
      </c>
      <c r="AD3200" s="22" t="s">
        <v>1165</v>
      </c>
      <c r="AF3200" s="24" t="s">
        <v>153</v>
      </c>
      <c r="AG3200" t="s">
        <v>1160</v>
      </c>
      <c r="AH3200">
        <f t="shared" si="35"/>
        <v>4320</v>
      </c>
      <c r="AI3200" s="21" t="s">
        <v>153</v>
      </c>
      <c r="AJ3200" s="21" t="s">
        <v>1148</v>
      </c>
      <c r="AK3200" s="21">
        <v>27.879000000000001</v>
      </c>
      <c r="AL3200" s="21" t="s">
        <v>1321</v>
      </c>
      <c r="AM3200" s="21" t="s">
        <v>3003</v>
      </c>
      <c r="AN3200" s="21">
        <v>3</v>
      </c>
      <c r="AO3200" s="21">
        <v>50</v>
      </c>
      <c r="AP3200" s="21">
        <v>12</v>
      </c>
      <c r="AQ3200" s="22" t="s">
        <v>3016</v>
      </c>
      <c r="AR3200" s="21" t="s">
        <v>1279</v>
      </c>
      <c r="AS3200" t="s">
        <v>3085</v>
      </c>
    </row>
    <row r="3201" spans="1:45" x14ac:dyDescent="0.2">
      <c r="A3201" s="21" t="s">
        <v>1685</v>
      </c>
      <c r="B3201" s="21" t="s">
        <v>1146</v>
      </c>
      <c r="C3201" s="21" t="s">
        <v>1149</v>
      </c>
      <c r="D3201" s="21" t="s">
        <v>420</v>
      </c>
      <c r="E3201" s="21" t="s">
        <v>3093</v>
      </c>
      <c r="G3201" s="21" t="s">
        <v>153</v>
      </c>
      <c r="H3201" s="21" t="s">
        <v>1165</v>
      </c>
      <c r="I3201" s="21" t="s">
        <v>3087</v>
      </c>
      <c r="J3201" s="21">
        <v>55.266666666666602</v>
      </c>
      <c r="K3201">
        <v>-128.4</v>
      </c>
      <c r="L3201">
        <v>1100</v>
      </c>
      <c r="M3201" s="21" t="s">
        <v>3034</v>
      </c>
      <c r="O3201" s="21">
        <v>1992</v>
      </c>
      <c r="Q3201" s="21" t="s">
        <v>3086</v>
      </c>
      <c r="T3201" s="21">
        <v>-20</v>
      </c>
      <c r="U3201" s="21" t="s">
        <v>1218</v>
      </c>
      <c r="V3201" s="9" t="s">
        <v>1247</v>
      </c>
      <c r="W3201" s="21">
        <v>56</v>
      </c>
      <c r="X3201" s="9" t="s">
        <v>3088</v>
      </c>
      <c r="Y3201" t="s">
        <v>3213</v>
      </c>
      <c r="Z3201" s="22">
        <v>8</v>
      </c>
      <c r="AD3201" s="22" t="s">
        <v>1165</v>
      </c>
      <c r="AF3201" s="24" t="s">
        <v>153</v>
      </c>
      <c r="AG3201" t="s">
        <v>1160</v>
      </c>
      <c r="AH3201">
        <f t="shared" si="35"/>
        <v>4320</v>
      </c>
      <c r="AI3201" s="21" t="s">
        <v>153</v>
      </c>
      <c r="AJ3201" s="21" t="s">
        <v>1148</v>
      </c>
      <c r="AK3201" s="21">
        <v>34.787999999999997</v>
      </c>
      <c r="AL3201" s="21" t="s">
        <v>1321</v>
      </c>
      <c r="AM3201" s="21" t="s">
        <v>3003</v>
      </c>
      <c r="AN3201" s="21">
        <v>3</v>
      </c>
      <c r="AO3201" s="21">
        <v>50</v>
      </c>
      <c r="AP3201" s="21">
        <v>15</v>
      </c>
      <c r="AQ3201" s="22" t="s">
        <v>3016</v>
      </c>
      <c r="AR3201" s="21" t="s">
        <v>1279</v>
      </c>
      <c r="AS3201" t="s">
        <v>3085</v>
      </c>
    </row>
    <row r="3202" spans="1:45" x14ac:dyDescent="0.2">
      <c r="A3202" s="21" t="s">
        <v>1685</v>
      </c>
      <c r="B3202" s="21" t="s">
        <v>1146</v>
      </c>
      <c r="C3202" s="21" t="s">
        <v>1149</v>
      </c>
      <c r="D3202" s="21" t="s">
        <v>420</v>
      </c>
      <c r="E3202" s="21" t="s">
        <v>3093</v>
      </c>
      <c r="G3202" s="21" t="s">
        <v>153</v>
      </c>
      <c r="H3202" s="21" t="s">
        <v>1165</v>
      </c>
      <c r="I3202" s="21" t="s">
        <v>3087</v>
      </c>
      <c r="J3202" s="21">
        <v>55.266666666666602</v>
      </c>
      <c r="K3202">
        <v>-128.4</v>
      </c>
      <c r="L3202">
        <v>1100</v>
      </c>
      <c r="M3202" s="21" t="s">
        <v>3034</v>
      </c>
      <c r="O3202" s="21">
        <v>1992</v>
      </c>
      <c r="Q3202" s="21" t="s">
        <v>3086</v>
      </c>
      <c r="T3202" s="21">
        <v>-20</v>
      </c>
      <c r="U3202" s="21" t="s">
        <v>1218</v>
      </c>
      <c r="V3202" s="9" t="s">
        <v>1247</v>
      </c>
      <c r="W3202" s="21">
        <v>56</v>
      </c>
      <c r="X3202" s="9" t="s">
        <v>3088</v>
      </c>
      <c r="Y3202" t="s">
        <v>3213</v>
      </c>
      <c r="Z3202" s="22">
        <v>8</v>
      </c>
      <c r="AD3202" s="22" t="s">
        <v>1165</v>
      </c>
      <c r="AF3202" s="24" t="s">
        <v>153</v>
      </c>
      <c r="AG3202" t="s">
        <v>1160</v>
      </c>
      <c r="AH3202">
        <f t="shared" si="35"/>
        <v>4320</v>
      </c>
      <c r="AI3202" s="21" t="s">
        <v>153</v>
      </c>
      <c r="AJ3202" s="21" t="s">
        <v>1148</v>
      </c>
      <c r="AK3202" s="21">
        <v>48</v>
      </c>
      <c r="AL3202" s="21" t="s">
        <v>1321</v>
      </c>
      <c r="AM3202" s="21" t="s">
        <v>3003</v>
      </c>
      <c r="AN3202" s="21">
        <v>3</v>
      </c>
      <c r="AO3202" s="21">
        <v>50</v>
      </c>
      <c r="AP3202" s="21">
        <v>18</v>
      </c>
      <c r="AQ3202" s="22" t="s">
        <v>3016</v>
      </c>
      <c r="AR3202" s="21" t="s">
        <v>1279</v>
      </c>
      <c r="AS3202" t="s">
        <v>3085</v>
      </c>
    </row>
    <row r="3203" spans="1:45" x14ac:dyDescent="0.2">
      <c r="A3203" s="21" t="s">
        <v>1685</v>
      </c>
      <c r="B3203" s="21" t="s">
        <v>1146</v>
      </c>
      <c r="C3203" s="21" t="s">
        <v>1149</v>
      </c>
      <c r="D3203" s="21" t="s">
        <v>420</v>
      </c>
      <c r="E3203" s="21" t="s">
        <v>3093</v>
      </c>
      <c r="G3203" s="21" t="s">
        <v>153</v>
      </c>
      <c r="H3203" s="21" t="s">
        <v>1165</v>
      </c>
      <c r="I3203" s="21" t="s">
        <v>3087</v>
      </c>
      <c r="J3203" s="21">
        <v>55.266666666666602</v>
      </c>
      <c r="K3203">
        <v>-128.4</v>
      </c>
      <c r="L3203">
        <v>1100</v>
      </c>
      <c r="M3203" s="21" t="s">
        <v>3034</v>
      </c>
      <c r="O3203" s="21">
        <v>1992</v>
      </c>
      <c r="Q3203" s="21" t="s">
        <v>3086</v>
      </c>
      <c r="T3203" s="21">
        <v>-20</v>
      </c>
      <c r="U3203" s="21" t="s">
        <v>1218</v>
      </c>
      <c r="V3203" s="9" t="s">
        <v>1247</v>
      </c>
      <c r="W3203" s="21">
        <v>56</v>
      </c>
      <c r="X3203" s="9" t="s">
        <v>3088</v>
      </c>
      <c r="Y3203" t="s">
        <v>3213</v>
      </c>
      <c r="Z3203" s="22">
        <v>8</v>
      </c>
      <c r="AD3203" s="22" t="s">
        <v>1165</v>
      </c>
      <c r="AF3203" s="24" t="s">
        <v>153</v>
      </c>
      <c r="AG3203" t="s">
        <v>1160</v>
      </c>
      <c r="AH3203">
        <f t="shared" si="35"/>
        <v>4320</v>
      </c>
      <c r="AI3203" s="21" t="s">
        <v>153</v>
      </c>
      <c r="AJ3203" s="21" t="s">
        <v>1148</v>
      </c>
      <c r="AK3203" s="21">
        <v>59.393999999999998</v>
      </c>
      <c r="AL3203" s="21" t="s">
        <v>1321</v>
      </c>
      <c r="AM3203" s="21" t="s">
        <v>3003</v>
      </c>
      <c r="AN3203" s="21">
        <v>3</v>
      </c>
      <c r="AO3203" s="21">
        <v>50</v>
      </c>
      <c r="AP3203" s="21">
        <v>21</v>
      </c>
      <c r="AQ3203" s="22" t="s">
        <v>3016</v>
      </c>
      <c r="AR3203" s="21" t="s">
        <v>1279</v>
      </c>
      <c r="AS3203" t="s">
        <v>3085</v>
      </c>
    </row>
    <row r="3204" spans="1:45" x14ac:dyDescent="0.2">
      <c r="A3204" s="21" t="s">
        <v>1685</v>
      </c>
      <c r="B3204" s="21" t="s">
        <v>1146</v>
      </c>
      <c r="C3204" s="21" t="s">
        <v>1149</v>
      </c>
      <c r="D3204" s="21" t="s">
        <v>420</v>
      </c>
      <c r="E3204" s="21" t="s">
        <v>3093</v>
      </c>
      <c r="G3204" s="21" t="s">
        <v>153</v>
      </c>
      <c r="H3204" s="21" t="s">
        <v>1165</v>
      </c>
      <c r="I3204" s="21" t="s">
        <v>3087</v>
      </c>
      <c r="J3204" s="21">
        <v>55.266666666666602</v>
      </c>
      <c r="K3204">
        <v>-128.4</v>
      </c>
      <c r="L3204">
        <v>1100</v>
      </c>
      <c r="M3204" s="21" t="s">
        <v>3034</v>
      </c>
      <c r="O3204" s="21">
        <v>1992</v>
      </c>
      <c r="Q3204" s="21" t="s">
        <v>3086</v>
      </c>
      <c r="T3204" s="21">
        <v>-20</v>
      </c>
      <c r="U3204" s="21" t="s">
        <v>1218</v>
      </c>
      <c r="V3204" s="9" t="s">
        <v>1247</v>
      </c>
      <c r="W3204" s="21">
        <v>56</v>
      </c>
      <c r="X3204" s="9" t="s">
        <v>3088</v>
      </c>
      <c r="Y3204" t="s">
        <v>3213</v>
      </c>
      <c r="Z3204" s="22">
        <v>8</v>
      </c>
      <c r="AD3204" s="22" t="s">
        <v>1165</v>
      </c>
      <c r="AF3204" s="24" t="s">
        <v>153</v>
      </c>
      <c r="AG3204" t="s">
        <v>1160</v>
      </c>
      <c r="AH3204">
        <f t="shared" si="35"/>
        <v>4320</v>
      </c>
      <c r="AI3204" s="21" t="s">
        <v>153</v>
      </c>
      <c r="AJ3204" s="21" t="s">
        <v>1148</v>
      </c>
      <c r="AK3204" s="21">
        <v>62.908999999999999</v>
      </c>
      <c r="AL3204" s="21" t="s">
        <v>1321</v>
      </c>
      <c r="AM3204" s="21" t="s">
        <v>3003</v>
      </c>
      <c r="AN3204" s="21">
        <v>3</v>
      </c>
      <c r="AO3204" s="21">
        <v>50</v>
      </c>
      <c r="AP3204" s="21">
        <v>24</v>
      </c>
      <c r="AQ3204" s="22" t="s">
        <v>3016</v>
      </c>
      <c r="AR3204" s="21" t="s">
        <v>1279</v>
      </c>
      <c r="AS3204" t="s">
        <v>3085</v>
      </c>
    </row>
    <row r="3205" spans="1:45" x14ac:dyDescent="0.2">
      <c r="A3205" s="21" t="s">
        <v>1685</v>
      </c>
      <c r="B3205" s="21" t="s">
        <v>1146</v>
      </c>
      <c r="C3205" s="21" t="s">
        <v>1149</v>
      </c>
      <c r="D3205" s="21" t="s">
        <v>420</v>
      </c>
      <c r="E3205" s="21" t="s">
        <v>3093</v>
      </c>
      <c r="G3205" s="21" t="s">
        <v>153</v>
      </c>
      <c r="H3205" s="21" t="s">
        <v>1165</v>
      </c>
      <c r="I3205" s="21" t="s">
        <v>3087</v>
      </c>
      <c r="J3205" s="21">
        <v>55.266666666666602</v>
      </c>
      <c r="K3205">
        <v>-128.4</v>
      </c>
      <c r="L3205">
        <v>1100</v>
      </c>
      <c r="M3205" s="21" t="s">
        <v>3034</v>
      </c>
      <c r="O3205" s="21">
        <v>1992</v>
      </c>
      <c r="Q3205" s="21" t="s">
        <v>3086</v>
      </c>
      <c r="T3205" s="21">
        <v>-20</v>
      </c>
      <c r="U3205" s="21" t="s">
        <v>1218</v>
      </c>
      <c r="V3205" s="9" t="s">
        <v>1247</v>
      </c>
      <c r="W3205" s="21">
        <v>56</v>
      </c>
      <c r="X3205" s="9" t="s">
        <v>3088</v>
      </c>
      <c r="Y3205" t="s">
        <v>3213</v>
      </c>
      <c r="Z3205" s="22">
        <v>8</v>
      </c>
      <c r="AD3205" s="22" t="s">
        <v>1165</v>
      </c>
      <c r="AF3205" s="24" t="s">
        <v>153</v>
      </c>
      <c r="AG3205" t="s">
        <v>1160</v>
      </c>
      <c r="AH3205">
        <f t="shared" si="35"/>
        <v>4320</v>
      </c>
      <c r="AI3205" s="21" t="s">
        <v>153</v>
      </c>
      <c r="AJ3205" s="21" t="s">
        <v>1148</v>
      </c>
      <c r="AK3205" s="21">
        <v>67.757999999999996</v>
      </c>
      <c r="AL3205" s="21" t="s">
        <v>1321</v>
      </c>
      <c r="AM3205" s="21" t="s">
        <v>3003</v>
      </c>
      <c r="AN3205" s="21">
        <v>3</v>
      </c>
      <c r="AO3205" s="21">
        <v>50</v>
      </c>
      <c r="AP3205" s="21">
        <v>27</v>
      </c>
      <c r="AQ3205" s="22" t="s">
        <v>3016</v>
      </c>
      <c r="AR3205" s="21" t="s">
        <v>1279</v>
      </c>
      <c r="AS3205" t="s">
        <v>3085</v>
      </c>
    </row>
    <row r="3206" spans="1:45" x14ac:dyDescent="0.2">
      <c r="A3206" s="21" t="s">
        <v>1685</v>
      </c>
      <c r="B3206" s="21" t="s">
        <v>1146</v>
      </c>
      <c r="C3206" s="21" t="s">
        <v>1149</v>
      </c>
      <c r="D3206" s="21" t="s">
        <v>420</v>
      </c>
      <c r="E3206" s="21" t="s">
        <v>3093</v>
      </c>
      <c r="G3206" s="21" t="s">
        <v>153</v>
      </c>
      <c r="H3206" s="21" t="s">
        <v>1165</v>
      </c>
      <c r="I3206" s="21" t="s">
        <v>3087</v>
      </c>
      <c r="J3206" s="21">
        <v>55.266666666666602</v>
      </c>
      <c r="K3206">
        <v>-128.4</v>
      </c>
      <c r="L3206">
        <v>1100</v>
      </c>
      <c r="M3206" s="21" t="s">
        <v>3034</v>
      </c>
      <c r="O3206" s="21">
        <v>1992</v>
      </c>
      <c r="Q3206" s="21" t="s">
        <v>3086</v>
      </c>
      <c r="T3206" s="21">
        <v>-20</v>
      </c>
      <c r="U3206" s="21" t="s">
        <v>1218</v>
      </c>
      <c r="V3206" s="9" t="s">
        <v>1247</v>
      </c>
      <c r="W3206" s="21">
        <v>56</v>
      </c>
      <c r="X3206" s="9" t="s">
        <v>3088</v>
      </c>
      <c r="Y3206" t="s">
        <v>3213</v>
      </c>
      <c r="Z3206" s="22">
        <v>8</v>
      </c>
      <c r="AD3206" s="22" t="s">
        <v>1165</v>
      </c>
      <c r="AF3206" s="24" t="s">
        <v>153</v>
      </c>
      <c r="AG3206" t="s">
        <v>1160</v>
      </c>
      <c r="AH3206">
        <f t="shared" si="35"/>
        <v>4320</v>
      </c>
      <c r="AI3206" s="21" t="s">
        <v>153</v>
      </c>
      <c r="AJ3206" s="21" t="s">
        <v>1148</v>
      </c>
      <c r="AK3206" s="21">
        <v>68.242000000000004</v>
      </c>
      <c r="AL3206" s="21" t="s">
        <v>1321</v>
      </c>
      <c r="AM3206" s="21" t="s">
        <v>3003</v>
      </c>
      <c r="AN3206" s="21">
        <v>3</v>
      </c>
      <c r="AO3206" s="21">
        <v>50</v>
      </c>
      <c r="AP3206" s="21">
        <v>30</v>
      </c>
      <c r="AQ3206" s="22" t="s">
        <v>3016</v>
      </c>
      <c r="AR3206" s="21" t="s">
        <v>1279</v>
      </c>
      <c r="AS3206" t="s">
        <v>3085</v>
      </c>
    </row>
    <row r="3207" spans="1:45" x14ac:dyDescent="0.2">
      <c r="A3207" s="21" t="s">
        <v>1685</v>
      </c>
      <c r="B3207" s="21" t="s">
        <v>1146</v>
      </c>
      <c r="C3207" s="21" t="s">
        <v>1149</v>
      </c>
      <c r="D3207" s="21" t="s">
        <v>420</v>
      </c>
      <c r="E3207" s="21" t="s">
        <v>3093</v>
      </c>
      <c r="G3207" s="21" t="s">
        <v>153</v>
      </c>
      <c r="H3207" s="21" t="s">
        <v>1165</v>
      </c>
      <c r="I3207" s="21" t="s">
        <v>3087</v>
      </c>
      <c r="J3207" s="21">
        <v>55.266666666666602</v>
      </c>
      <c r="K3207">
        <v>-128.4</v>
      </c>
      <c r="L3207">
        <v>1100</v>
      </c>
      <c r="M3207" s="21" t="s">
        <v>3034</v>
      </c>
      <c r="O3207" s="21">
        <v>1992</v>
      </c>
      <c r="Q3207" s="21" t="s">
        <v>3086</v>
      </c>
      <c r="T3207" s="21">
        <v>-20</v>
      </c>
      <c r="U3207" s="21" t="s">
        <v>1218</v>
      </c>
      <c r="V3207" s="9" t="s">
        <v>1247</v>
      </c>
      <c r="W3207" s="21">
        <v>56</v>
      </c>
      <c r="X3207" s="9" t="s">
        <v>3088</v>
      </c>
      <c r="Y3207" t="s">
        <v>3214</v>
      </c>
      <c r="Z3207" s="22">
        <v>8</v>
      </c>
      <c r="AD3207" s="22" t="s">
        <v>1165</v>
      </c>
      <c r="AF3207" s="24" t="s">
        <v>153</v>
      </c>
      <c r="AG3207" t="s">
        <v>1160</v>
      </c>
      <c r="AH3207">
        <f t="shared" si="35"/>
        <v>4320</v>
      </c>
      <c r="AI3207" s="21" t="s">
        <v>153</v>
      </c>
      <c r="AJ3207" s="21" t="s">
        <v>1148</v>
      </c>
      <c r="AK3207" s="21">
        <v>0</v>
      </c>
      <c r="AL3207" s="21" t="s">
        <v>1321</v>
      </c>
      <c r="AM3207" s="21">
        <v>0</v>
      </c>
      <c r="AN3207" s="21">
        <v>3</v>
      </c>
      <c r="AO3207" s="21">
        <v>50</v>
      </c>
      <c r="AP3207" s="21">
        <v>3</v>
      </c>
      <c r="AQ3207" s="22" t="s">
        <v>3016</v>
      </c>
      <c r="AR3207" s="21" t="s">
        <v>1279</v>
      </c>
      <c r="AS3207" t="s">
        <v>3085</v>
      </c>
    </row>
    <row r="3208" spans="1:45" x14ac:dyDescent="0.2">
      <c r="A3208" s="21" t="s">
        <v>1685</v>
      </c>
      <c r="B3208" s="21" t="s">
        <v>1146</v>
      </c>
      <c r="C3208" s="21" t="s">
        <v>1149</v>
      </c>
      <c r="D3208" s="21" t="s">
        <v>420</v>
      </c>
      <c r="E3208" s="21" t="s">
        <v>3093</v>
      </c>
      <c r="G3208" s="21" t="s">
        <v>153</v>
      </c>
      <c r="H3208" s="21" t="s">
        <v>1165</v>
      </c>
      <c r="I3208" s="21" t="s">
        <v>3087</v>
      </c>
      <c r="J3208" s="21">
        <v>55.266666666666602</v>
      </c>
      <c r="K3208">
        <v>-128.4</v>
      </c>
      <c r="L3208">
        <v>1100</v>
      </c>
      <c r="M3208" s="21" t="s">
        <v>3034</v>
      </c>
      <c r="O3208" s="21">
        <v>1992</v>
      </c>
      <c r="Q3208" s="21" t="s">
        <v>3086</v>
      </c>
      <c r="T3208" s="21">
        <v>-20</v>
      </c>
      <c r="U3208" s="21" t="s">
        <v>1218</v>
      </c>
      <c r="V3208" s="9" t="s">
        <v>1247</v>
      </c>
      <c r="W3208" s="21">
        <v>56</v>
      </c>
      <c r="X3208" s="9" t="s">
        <v>3088</v>
      </c>
      <c r="Y3208" t="s">
        <v>3214</v>
      </c>
      <c r="Z3208" s="22">
        <v>8</v>
      </c>
      <c r="AD3208" s="22" t="s">
        <v>1165</v>
      </c>
      <c r="AF3208" s="24" t="s">
        <v>153</v>
      </c>
      <c r="AG3208" t="s">
        <v>1160</v>
      </c>
      <c r="AH3208">
        <f t="shared" si="35"/>
        <v>4320</v>
      </c>
      <c r="AI3208" s="21" t="s">
        <v>153</v>
      </c>
      <c r="AJ3208" s="21" t="s">
        <v>1148</v>
      </c>
      <c r="AK3208" s="21">
        <v>36.484999999999999</v>
      </c>
      <c r="AL3208" s="21" t="s">
        <v>1321</v>
      </c>
      <c r="AM3208" s="21">
        <f>39.394-34.545</f>
        <v>4.8489999999999966</v>
      </c>
      <c r="AN3208" s="21">
        <v>3</v>
      </c>
      <c r="AO3208" s="21">
        <v>50</v>
      </c>
      <c r="AP3208" s="21">
        <v>12</v>
      </c>
      <c r="AQ3208" s="22" t="s">
        <v>3016</v>
      </c>
      <c r="AR3208" s="21" t="s">
        <v>1279</v>
      </c>
      <c r="AS3208" t="s">
        <v>3085</v>
      </c>
    </row>
    <row r="3209" spans="1:45" x14ac:dyDescent="0.2">
      <c r="A3209" s="21" t="s">
        <v>1685</v>
      </c>
      <c r="B3209" s="21" t="s">
        <v>1146</v>
      </c>
      <c r="C3209" s="21" t="s">
        <v>1149</v>
      </c>
      <c r="D3209" s="21" t="s">
        <v>420</v>
      </c>
      <c r="E3209" s="21" t="s">
        <v>3093</v>
      </c>
      <c r="G3209" s="21" t="s">
        <v>153</v>
      </c>
      <c r="H3209" s="21" t="s">
        <v>1165</v>
      </c>
      <c r="I3209" s="21" t="s">
        <v>3087</v>
      </c>
      <c r="J3209" s="21">
        <v>55.266666666666602</v>
      </c>
      <c r="K3209">
        <v>-128.4</v>
      </c>
      <c r="L3209">
        <v>1100</v>
      </c>
      <c r="M3209" s="21" t="s">
        <v>3034</v>
      </c>
      <c r="O3209" s="21">
        <v>1992</v>
      </c>
      <c r="Q3209" s="21" t="s">
        <v>3086</v>
      </c>
      <c r="T3209" s="21">
        <v>-20</v>
      </c>
      <c r="U3209" s="21" t="s">
        <v>1218</v>
      </c>
      <c r="V3209" s="9" t="s">
        <v>1247</v>
      </c>
      <c r="W3209" s="21">
        <v>56</v>
      </c>
      <c r="X3209" s="9" t="s">
        <v>3088</v>
      </c>
      <c r="Y3209" t="s">
        <v>3214</v>
      </c>
      <c r="Z3209" s="22">
        <v>8</v>
      </c>
      <c r="AD3209" s="22" t="s">
        <v>1165</v>
      </c>
      <c r="AF3209" s="24" t="s">
        <v>153</v>
      </c>
      <c r="AG3209" t="s">
        <v>1160</v>
      </c>
      <c r="AH3209">
        <f t="shared" si="35"/>
        <v>4320</v>
      </c>
      <c r="AI3209" s="21" t="s">
        <v>153</v>
      </c>
      <c r="AJ3209" s="21" t="s">
        <v>1148</v>
      </c>
      <c r="AK3209" s="21">
        <v>48.97</v>
      </c>
      <c r="AL3209" s="21" t="s">
        <v>1321</v>
      </c>
      <c r="AM3209" s="21" t="s">
        <v>3003</v>
      </c>
      <c r="AN3209" s="21">
        <v>3</v>
      </c>
      <c r="AO3209" s="21">
        <v>50</v>
      </c>
      <c r="AP3209" s="21">
        <v>15</v>
      </c>
      <c r="AQ3209" s="22" t="s">
        <v>3016</v>
      </c>
      <c r="AR3209" s="21" t="s">
        <v>1279</v>
      </c>
      <c r="AS3209" t="s">
        <v>3085</v>
      </c>
    </row>
    <row r="3210" spans="1:45" x14ac:dyDescent="0.2">
      <c r="A3210" s="21" t="s">
        <v>1685</v>
      </c>
      <c r="B3210" s="21" t="s">
        <v>1146</v>
      </c>
      <c r="C3210" s="21" t="s">
        <v>1149</v>
      </c>
      <c r="D3210" s="21" t="s">
        <v>420</v>
      </c>
      <c r="E3210" s="21" t="s">
        <v>3093</v>
      </c>
      <c r="G3210" s="21" t="s">
        <v>153</v>
      </c>
      <c r="H3210" s="21" t="s">
        <v>1165</v>
      </c>
      <c r="I3210" s="21" t="s">
        <v>3087</v>
      </c>
      <c r="J3210" s="21">
        <v>55.266666666666602</v>
      </c>
      <c r="K3210">
        <v>-128.4</v>
      </c>
      <c r="L3210">
        <v>1100</v>
      </c>
      <c r="M3210" s="21" t="s">
        <v>3034</v>
      </c>
      <c r="O3210" s="21">
        <v>1992</v>
      </c>
      <c r="Q3210" s="21" t="s">
        <v>3086</v>
      </c>
      <c r="T3210" s="21">
        <v>-20</v>
      </c>
      <c r="U3210" s="21" t="s">
        <v>1218</v>
      </c>
      <c r="V3210" s="9" t="s">
        <v>1247</v>
      </c>
      <c r="W3210" s="21">
        <v>56</v>
      </c>
      <c r="X3210" s="9" t="s">
        <v>3088</v>
      </c>
      <c r="Y3210" t="s">
        <v>3214</v>
      </c>
      <c r="Z3210" s="22">
        <v>8</v>
      </c>
      <c r="AD3210" s="22" t="s">
        <v>1165</v>
      </c>
      <c r="AF3210" s="24" t="s">
        <v>153</v>
      </c>
      <c r="AG3210" t="s">
        <v>1160</v>
      </c>
      <c r="AH3210">
        <f t="shared" si="35"/>
        <v>4320</v>
      </c>
      <c r="AI3210" s="21" t="s">
        <v>153</v>
      </c>
      <c r="AJ3210" s="21" t="s">
        <v>1148</v>
      </c>
      <c r="AK3210" s="21">
        <v>56.241999999999997</v>
      </c>
      <c r="AL3210" s="21" t="s">
        <v>1321</v>
      </c>
      <c r="AM3210" s="21" t="s">
        <v>3003</v>
      </c>
      <c r="AN3210" s="21">
        <v>3</v>
      </c>
      <c r="AO3210" s="21">
        <v>50</v>
      </c>
      <c r="AP3210" s="21">
        <v>18</v>
      </c>
      <c r="AQ3210" s="22" t="s">
        <v>3016</v>
      </c>
      <c r="AR3210" s="21" t="s">
        <v>1279</v>
      </c>
      <c r="AS3210" t="s">
        <v>3085</v>
      </c>
    </row>
    <row r="3211" spans="1:45" x14ac:dyDescent="0.2">
      <c r="A3211" s="21" t="s">
        <v>1685</v>
      </c>
      <c r="B3211" s="21" t="s">
        <v>1146</v>
      </c>
      <c r="C3211" s="21" t="s">
        <v>1149</v>
      </c>
      <c r="D3211" s="21" t="s">
        <v>420</v>
      </c>
      <c r="E3211" s="21" t="s">
        <v>3093</v>
      </c>
      <c r="G3211" s="21" t="s">
        <v>153</v>
      </c>
      <c r="H3211" s="21" t="s">
        <v>1165</v>
      </c>
      <c r="I3211" s="21" t="s">
        <v>3087</v>
      </c>
      <c r="J3211" s="21">
        <v>55.266666666666602</v>
      </c>
      <c r="K3211">
        <v>-128.4</v>
      </c>
      <c r="L3211">
        <v>1100</v>
      </c>
      <c r="M3211" s="21" t="s">
        <v>3034</v>
      </c>
      <c r="O3211" s="21">
        <v>1992</v>
      </c>
      <c r="Q3211" s="21" t="s">
        <v>3086</v>
      </c>
      <c r="T3211" s="21">
        <v>-20</v>
      </c>
      <c r="U3211" s="21" t="s">
        <v>1218</v>
      </c>
      <c r="V3211" s="9" t="s">
        <v>1247</v>
      </c>
      <c r="W3211" s="21">
        <v>56</v>
      </c>
      <c r="X3211" s="9" t="s">
        <v>3088</v>
      </c>
      <c r="Y3211" t="s">
        <v>3214</v>
      </c>
      <c r="Z3211" s="22">
        <v>8</v>
      </c>
      <c r="AD3211" s="22" t="s">
        <v>1165</v>
      </c>
      <c r="AF3211" s="24" t="s">
        <v>153</v>
      </c>
      <c r="AG3211" t="s">
        <v>1160</v>
      </c>
      <c r="AH3211">
        <f t="shared" si="35"/>
        <v>4320</v>
      </c>
      <c r="AI3211" s="21" t="s">
        <v>153</v>
      </c>
      <c r="AJ3211" s="21" t="s">
        <v>1148</v>
      </c>
      <c r="AK3211" s="21">
        <v>66.545000000000002</v>
      </c>
      <c r="AL3211" s="21" t="s">
        <v>1321</v>
      </c>
      <c r="AM3211" s="21" t="s">
        <v>3003</v>
      </c>
      <c r="AN3211" s="21">
        <v>3</v>
      </c>
      <c r="AO3211" s="21">
        <v>50</v>
      </c>
      <c r="AP3211" s="21">
        <v>24</v>
      </c>
      <c r="AQ3211" s="22" t="s">
        <v>3016</v>
      </c>
      <c r="AR3211" s="21" t="s">
        <v>1279</v>
      </c>
      <c r="AS3211" t="s">
        <v>3085</v>
      </c>
    </row>
    <row r="3212" spans="1:45" x14ac:dyDescent="0.2">
      <c r="A3212" s="21" t="s">
        <v>1685</v>
      </c>
      <c r="B3212" s="21" t="s">
        <v>1146</v>
      </c>
      <c r="C3212" s="21" t="s">
        <v>1149</v>
      </c>
      <c r="D3212" s="21" t="s">
        <v>420</v>
      </c>
      <c r="E3212" s="21" t="s">
        <v>3093</v>
      </c>
      <c r="G3212" s="21" t="s">
        <v>153</v>
      </c>
      <c r="H3212" s="21" t="s">
        <v>1165</v>
      </c>
      <c r="I3212" s="21" t="s">
        <v>3087</v>
      </c>
      <c r="J3212" s="21">
        <v>55.266666666666602</v>
      </c>
      <c r="K3212">
        <v>-128.4</v>
      </c>
      <c r="L3212">
        <v>1100</v>
      </c>
      <c r="M3212" s="21" t="s">
        <v>3034</v>
      </c>
      <c r="O3212" s="21">
        <v>1992</v>
      </c>
      <c r="Q3212" s="21" t="s">
        <v>3086</v>
      </c>
      <c r="T3212" s="21">
        <v>-20</v>
      </c>
      <c r="U3212" s="21" t="s">
        <v>1218</v>
      </c>
      <c r="V3212" s="9" t="s">
        <v>1247</v>
      </c>
      <c r="W3212" s="21">
        <v>56</v>
      </c>
      <c r="X3212" s="9" t="s">
        <v>3088</v>
      </c>
      <c r="Y3212" t="s">
        <v>3214</v>
      </c>
      <c r="Z3212" s="22">
        <v>8</v>
      </c>
      <c r="AD3212" s="22" t="s">
        <v>1165</v>
      </c>
      <c r="AF3212" s="24" t="s">
        <v>153</v>
      </c>
      <c r="AG3212" t="s">
        <v>1160</v>
      </c>
      <c r="AH3212">
        <f t="shared" si="35"/>
        <v>4320</v>
      </c>
      <c r="AI3212" s="21" t="s">
        <v>153</v>
      </c>
      <c r="AJ3212" s="21" t="s">
        <v>1148</v>
      </c>
      <c r="AK3212" s="21">
        <v>69.454999999999998</v>
      </c>
      <c r="AL3212" s="21" t="s">
        <v>1321</v>
      </c>
      <c r="AM3212" s="21" t="s">
        <v>3003</v>
      </c>
      <c r="AN3212" s="21">
        <v>3</v>
      </c>
      <c r="AO3212" s="21">
        <v>50</v>
      </c>
      <c r="AP3212" s="21">
        <v>30</v>
      </c>
      <c r="AQ3212" s="22" t="s">
        <v>3016</v>
      </c>
      <c r="AR3212" s="21" t="s">
        <v>1279</v>
      </c>
      <c r="AS3212" t="s">
        <v>3085</v>
      </c>
    </row>
    <row r="3213" spans="1:45" x14ac:dyDescent="0.2">
      <c r="A3213" s="21" t="s">
        <v>1685</v>
      </c>
      <c r="B3213" s="21" t="s">
        <v>1146</v>
      </c>
      <c r="C3213" s="21" t="s">
        <v>1149</v>
      </c>
      <c r="D3213" s="21" t="s">
        <v>420</v>
      </c>
      <c r="E3213" s="21" t="s">
        <v>3093</v>
      </c>
      <c r="G3213" s="21" t="s">
        <v>153</v>
      </c>
      <c r="H3213" s="21" t="s">
        <v>1165</v>
      </c>
      <c r="I3213" s="21" t="s">
        <v>3087</v>
      </c>
      <c r="J3213" s="21">
        <v>55.266666666666602</v>
      </c>
      <c r="K3213">
        <v>-128.4</v>
      </c>
      <c r="L3213">
        <v>1100</v>
      </c>
      <c r="M3213" s="21" t="s">
        <v>3034</v>
      </c>
      <c r="O3213" s="21">
        <v>1992</v>
      </c>
      <c r="Q3213" s="21" t="s">
        <v>3086</v>
      </c>
      <c r="T3213" s="21">
        <v>-20</v>
      </c>
      <c r="U3213" s="21" t="s">
        <v>1218</v>
      </c>
      <c r="V3213" s="9" t="s">
        <v>1247</v>
      </c>
      <c r="W3213" s="21">
        <v>56</v>
      </c>
      <c r="X3213" s="9" t="s">
        <v>3088</v>
      </c>
      <c r="Y3213" t="s">
        <v>3215</v>
      </c>
      <c r="Z3213" s="22">
        <v>8</v>
      </c>
      <c r="AD3213" s="22" t="s">
        <v>1165</v>
      </c>
      <c r="AF3213" s="24" t="s">
        <v>153</v>
      </c>
      <c r="AG3213" t="s">
        <v>1160</v>
      </c>
      <c r="AH3213">
        <f t="shared" si="35"/>
        <v>4320</v>
      </c>
      <c r="AI3213" s="21" t="s">
        <v>153</v>
      </c>
      <c r="AJ3213" s="21" t="s">
        <v>1148</v>
      </c>
      <c r="AK3213" s="21">
        <v>0</v>
      </c>
      <c r="AL3213" s="21" t="s">
        <v>1321</v>
      </c>
      <c r="AM3213">
        <v>0</v>
      </c>
      <c r="AN3213" s="21">
        <v>3</v>
      </c>
      <c r="AO3213" s="21">
        <v>50</v>
      </c>
      <c r="AP3213" s="21">
        <v>3</v>
      </c>
      <c r="AQ3213" s="22" t="s">
        <v>3016</v>
      </c>
      <c r="AR3213" s="21" t="s">
        <v>1279</v>
      </c>
      <c r="AS3213" t="s">
        <v>3085</v>
      </c>
    </row>
    <row r="3214" spans="1:45" x14ac:dyDescent="0.2">
      <c r="A3214" s="21" t="s">
        <v>1685</v>
      </c>
      <c r="B3214" s="21" t="s">
        <v>1146</v>
      </c>
      <c r="C3214" s="21" t="s">
        <v>1149</v>
      </c>
      <c r="D3214" s="21" t="s">
        <v>420</v>
      </c>
      <c r="E3214" s="21" t="s">
        <v>3093</v>
      </c>
      <c r="G3214" s="21" t="s">
        <v>153</v>
      </c>
      <c r="H3214" s="21" t="s">
        <v>1165</v>
      </c>
      <c r="I3214" s="21" t="s">
        <v>3087</v>
      </c>
      <c r="J3214" s="21">
        <v>55.266666666666602</v>
      </c>
      <c r="K3214">
        <v>-128.4</v>
      </c>
      <c r="L3214">
        <v>1100</v>
      </c>
      <c r="M3214" s="21" t="s">
        <v>3034</v>
      </c>
      <c r="O3214" s="21">
        <v>1992</v>
      </c>
      <c r="Q3214" s="21" t="s">
        <v>3086</v>
      </c>
      <c r="T3214" s="21">
        <v>-20</v>
      </c>
      <c r="U3214" s="21" t="s">
        <v>1218</v>
      </c>
      <c r="V3214" s="9" t="s">
        <v>1247</v>
      </c>
      <c r="W3214" s="21">
        <v>56</v>
      </c>
      <c r="X3214" s="9" t="s">
        <v>3088</v>
      </c>
      <c r="Y3214" t="s">
        <v>3215</v>
      </c>
      <c r="Z3214" s="22">
        <v>8</v>
      </c>
      <c r="AD3214" s="22" t="s">
        <v>1165</v>
      </c>
      <c r="AF3214" s="24" t="s">
        <v>153</v>
      </c>
      <c r="AG3214" t="s">
        <v>1160</v>
      </c>
      <c r="AH3214">
        <f t="shared" si="35"/>
        <v>4320</v>
      </c>
      <c r="AI3214" s="21" t="s">
        <v>153</v>
      </c>
      <c r="AJ3214" s="21" t="s">
        <v>1148</v>
      </c>
      <c r="AK3214" s="21">
        <v>23.273</v>
      </c>
      <c r="AL3214" s="21" t="s">
        <v>1321</v>
      </c>
      <c r="AM3214" s="21">
        <f>25.576-21.697</f>
        <v>3.8790000000000013</v>
      </c>
      <c r="AN3214" s="21">
        <v>3</v>
      </c>
      <c r="AO3214" s="21">
        <v>50</v>
      </c>
      <c r="AP3214" s="21">
        <v>9</v>
      </c>
      <c r="AQ3214" s="22" t="s">
        <v>3016</v>
      </c>
      <c r="AR3214" s="21" t="s">
        <v>1279</v>
      </c>
      <c r="AS3214" t="s">
        <v>3085</v>
      </c>
    </row>
    <row r="3215" spans="1:45" x14ac:dyDescent="0.2">
      <c r="A3215" s="21" t="s">
        <v>1685</v>
      </c>
      <c r="B3215" s="21" t="s">
        <v>1146</v>
      </c>
      <c r="C3215" s="21" t="s">
        <v>1149</v>
      </c>
      <c r="D3215" s="21" t="s">
        <v>420</v>
      </c>
      <c r="E3215" s="21" t="s">
        <v>3093</v>
      </c>
      <c r="G3215" s="21" t="s">
        <v>153</v>
      </c>
      <c r="H3215" s="21" t="s">
        <v>1165</v>
      </c>
      <c r="I3215" s="21" t="s">
        <v>3087</v>
      </c>
      <c r="J3215" s="21">
        <v>55.266666666666602</v>
      </c>
      <c r="K3215">
        <v>-128.4</v>
      </c>
      <c r="L3215">
        <v>1100</v>
      </c>
      <c r="M3215" s="21" t="s">
        <v>3034</v>
      </c>
      <c r="O3215" s="21">
        <v>1992</v>
      </c>
      <c r="Q3215" s="21" t="s">
        <v>3086</v>
      </c>
      <c r="T3215" s="21">
        <v>-20</v>
      </c>
      <c r="U3215" s="21" t="s">
        <v>1218</v>
      </c>
      <c r="V3215" s="9" t="s">
        <v>1247</v>
      </c>
      <c r="W3215" s="21">
        <v>56</v>
      </c>
      <c r="X3215" s="9" t="s">
        <v>3088</v>
      </c>
      <c r="Y3215" t="s">
        <v>3215</v>
      </c>
      <c r="Z3215" s="22">
        <v>8</v>
      </c>
      <c r="AD3215" s="22" t="s">
        <v>1165</v>
      </c>
      <c r="AF3215" s="24" t="s">
        <v>153</v>
      </c>
      <c r="AG3215" t="s">
        <v>1160</v>
      </c>
      <c r="AH3215">
        <f t="shared" si="35"/>
        <v>4320</v>
      </c>
      <c r="AI3215" s="21" t="s">
        <v>153</v>
      </c>
      <c r="AJ3215" s="21" t="s">
        <v>1148</v>
      </c>
      <c r="AK3215" s="21">
        <v>42.302999999999997</v>
      </c>
      <c r="AL3215" s="21" t="s">
        <v>1321</v>
      </c>
      <c r="AM3215" s="21">
        <f>44-40.848</f>
        <v>3.152000000000001</v>
      </c>
      <c r="AN3215" s="21">
        <v>3</v>
      </c>
      <c r="AO3215" s="21">
        <v>50</v>
      </c>
      <c r="AP3215" s="21">
        <v>12</v>
      </c>
      <c r="AQ3215" s="22" t="s">
        <v>3016</v>
      </c>
      <c r="AR3215" s="21" t="s">
        <v>1279</v>
      </c>
      <c r="AS3215" t="s">
        <v>3085</v>
      </c>
    </row>
    <row r="3216" spans="1:45" x14ac:dyDescent="0.2">
      <c r="A3216" s="21" t="s">
        <v>1685</v>
      </c>
      <c r="B3216" s="21" t="s">
        <v>1146</v>
      </c>
      <c r="C3216" s="21" t="s">
        <v>1149</v>
      </c>
      <c r="D3216" s="21" t="s">
        <v>420</v>
      </c>
      <c r="E3216" s="21" t="s">
        <v>3093</v>
      </c>
      <c r="G3216" s="21" t="s">
        <v>153</v>
      </c>
      <c r="H3216" s="21" t="s">
        <v>1165</v>
      </c>
      <c r="I3216" s="21" t="s">
        <v>3087</v>
      </c>
      <c r="J3216" s="21">
        <v>55.266666666666602</v>
      </c>
      <c r="K3216">
        <v>-128.4</v>
      </c>
      <c r="L3216">
        <v>1100</v>
      </c>
      <c r="M3216" s="21" t="s">
        <v>3034</v>
      </c>
      <c r="O3216" s="21">
        <v>1992</v>
      </c>
      <c r="Q3216" s="21" t="s">
        <v>3086</v>
      </c>
      <c r="T3216" s="21">
        <v>-20</v>
      </c>
      <c r="U3216" s="21" t="s">
        <v>1218</v>
      </c>
      <c r="V3216" s="9" t="s">
        <v>1247</v>
      </c>
      <c r="W3216" s="21">
        <v>56</v>
      </c>
      <c r="X3216" s="9" t="s">
        <v>3088</v>
      </c>
      <c r="Y3216" t="s">
        <v>3215</v>
      </c>
      <c r="Z3216" s="22">
        <v>8</v>
      </c>
      <c r="AD3216" s="22" t="s">
        <v>1165</v>
      </c>
      <c r="AF3216" s="24" t="s">
        <v>153</v>
      </c>
      <c r="AG3216" t="s">
        <v>1160</v>
      </c>
      <c r="AH3216">
        <f t="shared" si="35"/>
        <v>4320</v>
      </c>
      <c r="AI3216" s="21" t="s">
        <v>153</v>
      </c>
      <c r="AJ3216" s="21" t="s">
        <v>1148</v>
      </c>
      <c r="AK3216" s="21">
        <v>53.697000000000003</v>
      </c>
      <c r="AL3216" s="21" t="s">
        <v>1321</v>
      </c>
      <c r="AM3216" s="21" t="s">
        <v>3003</v>
      </c>
      <c r="AN3216" s="21">
        <v>3</v>
      </c>
      <c r="AO3216" s="21">
        <v>50</v>
      </c>
      <c r="AP3216" s="21">
        <v>15</v>
      </c>
      <c r="AQ3216" s="22" t="s">
        <v>3016</v>
      </c>
      <c r="AR3216" s="21" t="s">
        <v>1279</v>
      </c>
      <c r="AS3216" t="s">
        <v>3085</v>
      </c>
    </row>
    <row r="3217" spans="1:45" x14ac:dyDescent="0.2">
      <c r="A3217" s="21" t="s">
        <v>1685</v>
      </c>
      <c r="B3217" s="21" t="s">
        <v>1146</v>
      </c>
      <c r="C3217" s="21" t="s">
        <v>1149</v>
      </c>
      <c r="D3217" s="21" t="s">
        <v>420</v>
      </c>
      <c r="E3217" s="21" t="s">
        <v>3093</v>
      </c>
      <c r="G3217" s="21" t="s">
        <v>153</v>
      </c>
      <c r="H3217" s="21" t="s">
        <v>1165</v>
      </c>
      <c r="I3217" s="21" t="s">
        <v>3087</v>
      </c>
      <c r="J3217" s="21">
        <v>55.266666666666602</v>
      </c>
      <c r="K3217">
        <v>-128.4</v>
      </c>
      <c r="L3217">
        <v>1100</v>
      </c>
      <c r="M3217" s="21" t="s">
        <v>3034</v>
      </c>
      <c r="O3217" s="21">
        <v>1992</v>
      </c>
      <c r="Q3217" s="21" t="s">
        <v>3086</v>
      </c>
      <c r="T3217" s="21">
        <v>-20</v>
      </c>
      <c r="U3217" s="21" t="s">
        <v>1218</v>
      </c>
      <c r="V3217" s="9" t="s">
        <v>1247</v>
      </c>
      <c r="W3217" s="21">
        <v>56</v>
      </c>
      <c r="X3217" s="9" t="s">
        <v>3088</v>
      </c>
      <c r="Y3217" t="s">
        <v>3215</v>
      </c>
      <c r="Z3217" s="22">
        <v>8</v>
      </c>
      <c r="AD3217" s="22" t="s">
        <v>1165</v>
      </c>
      <c r="AF3217" s="24" t="s">
        <v>153</v>
      </c>
      <c r="AG3217" t="s">
        <v>1160</v>
      </c>
      <c r="AH3217">
        <f t="shared" si="35"/>
        <v>4320</v>
      </c>
      <c r="AI3217" s="21" t="s">
        <v>153</v>
      </c>
      <c r="AJ3217" s="21" t="s">
        <v>1148</v>
      </c>
      <c r="AK3217" s="21">
        <v>61.576000000000001</v>
      </c>
      <c r="AL3217" s="21" t="s">
        <v>1321</v>
      </c>
      <c r="AM3217" s="21">
        <f>63.636-59.758</f>
        <v>3.8780000000000001</v>
      </c>
      <c r="AN3217" s="21">
        <v>3</v>
      </c>
      <c r="AO3217" s="21">
        <v>50</v>
      </c>
      <c r="AP3217" s="21">
        <v>18</v>
      </c>
      <c r="AQ3217" s="22" t="s">
        <v>3016</v>
      </c>
      <c r="AR3217" s="21" t="s">
        <v>1279</v>
      </c>
      <c r="AS3217" t="s">
        <v>3085</v>
      </c>
    </row>
    <row r="3218" spans="1:45" x14ac:dyDescent="0.2">
      <c r="A3218" s="21" t="s">
        <v>1685</v>
      </c>
      <c r="B3218" s="21" t="s">
        <v>1146</v>
      </c>
      <c r="C3218" s="21" t="s">
        <v>1149</v>
      </c>
      <c r="D3218" s="21" t="s">
        <v>420</v>
      </c>
      <c r="E3218" s="21" t="s">
        <v>3093</v>
      </c>
      <c r="G3218" s="21" t="s">
        <v>153</v>
      </c>
      <c r="H3218" s="21" t="s">
        <v>1165</v>
      </c>
      <c r="I3218" s="21" t="s">
        <v>3087</v>
      </c>
      <c r="J3218" s="21">
        <v>55.266666666666602</v>
      </c>
      <c r="K3218">
        <v>-128.4</v>
      </c>
      <c r="L3218">
        <v>1100</v>
      </c>
      <c r="M3218" s="21" t="s">
        <v>3034</v>
      </c>
      <c r="O3218" s="21">
        <v>1992</v>
      </c>
      <c r="Q3218" s="21" t="s">
        <v>3086</v>
      </c>
      <c r="T3218" s="21">
        <v>-20</v>
      </c>
      <c r="U3218" s="21" t="s">
        <v>1218</v>
      </c>
      <c r="V3218" s="9" t="s">
        <v>1247</v>
      </c>
      <c r="W3218" s="21">
        <v>56</v>
      </c>
      <c r="X3218" s="9" t="s">
        <v>3088</v>
      </c>
      <c r="Y3218" t="s">
        <v>3215</v>
      </c>
      <c r="Z3218" s="22">
        <v>8</v>
      </c>
      <c r="AD3218" s="22" t="s">
        <v>1165</v>
      </c>
      <c r="AF3218" s="24" t="s">
        <v>153</v>
      </c>
      <c r="AG3218" t="s">
        <v>1160</v>
      </c>
      <c r="AH3218">
        <f t="shared" si="35"/>
        <v>4320</v>
      </c>
      <c r="AI3218" s="21" t="s">
        <v>153</v>
      </c>
      <c r="AJ3218" s="21" t="s">
        <v>1148</v>
      </c>
      <c r="AK3218" s="21">
        <v>70.182000000000002</v>
      </c>
      <c r="AL3218" s="21" t="s">
        <v>1321</v>
      </c>
      <c r="AM3218" s="21" t="s">
        <v>3003</v>
      </c>
      <c r="AN3218" s="21">
        <v>3</v>
      </c>
      <c r="AO3218" s="21">
        <v>50</v>
      </c>
      <c r="AP3218" s="21">
        <v>24</v>
      </c>
      <c r="AQ3218" s="22" t="s">
        <v>3016</v>
      </c>
      <c r="AR3218" s="21" t="s">
        <v>1279</v>
      </c>
      <c r="AS3218" t="s">
        <v>3085</v>
      </c>
    </row>
    <row r="3219" spans="1:45" x14ac:dyDescent="0.2">
      <c r="A3219" s="21" t="s">
        <v>1685</v>
      </c>
      <c r="B3219" s="21" t="s">
        <v>1146</v>
      </c>
      <c r="C3219" s="21" t="s">
        <v>1149</v>
      </c>
      <c r="D3219" s="21" t="s">
        <v>420</v>
      </c>
      <c r="E3219" s="21" t="s">
        <v>3093</v>
      </c>
      <c r="G3219" s="21" t="s">
        <v>153</v>
      </c>
      <c r="H3219" s="21" t="s">
        <v>1165</v>
      </c>
      <c r="I3219" s="21" t="s">
        <v>3087</v>
      </c>
      <c r="J3219" s="21">
        <v>55.266666666666602</v>
      </c>
      <c r="K3219">
        <v>-128.4</v>
      </c>
      <c r="L3219">
        <v>1100</v>
      </c>
      <c r="M3219" s="21" t="s">
        <v>3034</v>
      </c>
      <c r="O3219" s="21">
        <v>1992</v>
      </c>
      <c r="Q3219" s="21" t="s">
        <v>3086</v>
      </c>
      <c r="T3219" s="21">
        <v>-20</v>
      </c>
      <c r="U3219" s="21" t="s">
        <v>1218</v>
      </c>
      <c r="V3219" s="9" t="s">
        <v>1247</v>
      </c>
      <c r="W3219" s="21">
        <v>56</v>
      </c>
      <c r="X3219" s="9" t="s">
        <v>3088</v>
      </c>
      <c r="Y3219" t="s">
        <v>3215</v>
      </c>
      <c r="Z3219" s="22">
        <v>8</v>
      </c>
      <c r="AD3219" s="22" t="s">
        <v>1165</v>
      </c>
      <c r="AF3219" s="24" t="s">
        <v>153</v>
      </c>
      <c r="AG3219" t="s">
        <v>1160</v>
      </c>
      <c r="AH3219">
        <f t="shared" si="35"/>
        <v>4320</v>
      </c>
      <c r="AI3219" s="21" t="s">
        <v>153</v>
      </c>
      <c r="AJ3219" s="21" t="s">
        <v>1148</v>
      </c>
      <c r="AK3219" s="21">
        <v>75.03</v>
      </c>
      <c r="AL3219" s="21" t="s">
        <v>1321</v>
      </c>
      <c r="AM3219" s="21">
        <f>76.97-73.091</f>
        <v>3.8790000000000049</v>
      </c>
      <c r="AN3219" s="21">
        <v>3</v>
      </c>
      <c r="AO3219" s="21">
        <v>50</v>
      </c>
      <c r="AP3219" s="21">
        <v>27</v>
      </c>
      <c r="AQ3219" s="22" t="s">
        <v>3016</v>
      </c>
      <c r="AR3219" s="21" t="s">
        <v>1279</v>
      </c>
      <c r="AS3219" t="s">
        <v>3085</v>
      </c>
    </row>
    <row r="3220" spans="1:45" x14ac:dyDescent="0.2">
      <c r="A3220" s="21" t="s">
        <v>1685</v>
      </c>
      <c r="B3220" s="21" t="s">
        <v>1146</v>
      </c>
      <c r="C3220" s="21" t="s">
        <v>1149</v>
      </c>
      <c r="D3220" s="21" t="s">
        <v>420</v>
      </c>
      <c r="E3220" s="21" t="s">
        <v>3093</v>
      </c>
      <c r="G3220" s="21" t="s">
        <v>153</v>
      </c>
      <c r="H3220" s="21" t="s">
        <v>1165</v>
      </c>
      <c r="I3220" s="21" t="s">
        <v>3087</v>
      </c>
      <c r="J3220" s="21">
        <v>55.266666666666602</v>
      </c>
      <c r="K3220">
        <v>-128.4</v>
      </c>
      <c r="L3220">
        <v>1100</v>
      </c>
      <c r="M3220" s="21" t="s">
        <v>3034</v>
      </c>
      <c r="O3220" s="21">
        <v>1992</v>
      </c>
      <c r="Q3220" s="21" t="s">
        <v>3086</v>
      </c>
      <c r="T3220" s="21">
        <v>-20</v>
      </c>
      <c r="U3220" s="21" t="s">
        <v>1218</v>
      </c>
      <c r="V3220" s="9" t="s">
        <v>1247</v>
      </c>
      <c r="W3220" s="21">
        <v>56</v>
      </c>
      <c r="X3220" s="9" t="s">
        <v>3088</v>
      </c>
      <c r="Y3220" t="s">
        <v>3215</v>
      </c>
      <c r="Z3220" s="22">
        <v>8</v>
      </c>
      <c r="AD3220" s="22" t="s">
        <v>1165</v>
      </c>
      <c r="AF3220" s="24" t="s">
        <v>153</v>
      </c>
      <c r="AG3220" t="s">
        <v>1160</v>
      </c>
      <c r="AH3220">
        <f t="shared" si="35"/>
        <v>4320</v>
      </c>
      <c r="AI3220" s="21" t="s">
        <v>153</v>
      </c>
      <c r="AJ3220" s="21" t="s">
        <v>1148</v>
      </c>
      <c r="AK3220" s="21">
        <v>75.635999999999996</v>
      </c>
      <c r="AL3220" s="21" t="s">
        <v>1321</v>
      </c>
      <c r="AM3220" s="21">
        <v>0</v>
      </c>
      <c r="AN3220" s="21">
        <v>3</v>
      </c>
      <c r="AO3220" s="21">
        <v>50</v>
      </c>
      <c r="AP3220" s="21">
        <v>30</v>
      </c>
      <c r="AQ3220" s="22" t="s">
        <v>3016</v>
      </c>
      <c r="AR3220" s="21" t="s">
        <v>1279</v>
      </c>
      <c r="AS3220" t="s">
        <v>3085</v>
      </c>
    </row>
    <row r="3221" spans="1:45" x14ac:dyDescent="0.2">
      <c r="A3221" s="21" t="s">
        <v>1685</v>
      </c>
      <c r="B3221" s="21" t="s">
        <v>1146</v>
      </c>
      <c r="C3221" s="21" t="s">
        <v>1149</v>
      </c>
      <c r="D3221" s="21" t="s">
        <v>420</v>
      </c>
      <c r="E3221" s="21" t="s">
        <v>3083</v>
      </c>
      <c r="G3221" s="21" t="s">
        <v>153</v>
      </c>
      <c r="H3221" s="21" t="s">
        <v>1165</v>
      </c>
      <c r="I3221" s="21" t="s">
        <v>3084</v>
      </c>
      <c r="J3221" s="21">
        <v>49.133333333333297</v>
      </c>
      <c r="K3221">
        <v>-122.75</v>
      </c>
      <c r="L3221">
        <v>1415</v>
      </c>
      <c r="M3221" s="21" t="s">
        <v>3034</v>
      </c>
      <c r="O3221" s="21">
        <v>1985</v>
      </c>
      <c r="Q3221" s="21" t="s">
        <v>3086</v>
      </c>
      <c r="T3221" s="21">
        <v>-20</v>
      </c>
      <c r="U3221" s="21" t="s">
        <v>1147</v>
      </c>
      <c r="V3221" s="9" t="s">
        <v>1247</v>
      </c>
      <c r="W3221" s="21">
        <v>56</v>
      </c>
      <c r="X3221" s="9" t="s">
        <v>3088</v>
      </c>
      <c r="Y3221" t="s">
        <v>3216</v>
      </c>
      <c r="Z3221" s="22">
        <v>8</v>
      </c>
      <c r="AD3221" s="22" t="s">
        <v>1165</v>
      </c>
      <c r="AF3221" s="24" t="s">
        <v>153</v>
      </c>
      <c r="AG3221" t="s">
        <v>1160</v>
      </c>
      <c r="AH3221">
        <f t="shared" ref="AH3221:AH3273" si="36">24*60*3</f>
        <v>4320</v>
      </c>
      <c r="AI3221" s="21" t="s">
        <v>153</v>
      </c>
      <c r="AJ3221" s="21" t="s">
        <v>1148</v>
      </c>
      <c r="AK3221" s="21">
        <v>0</v>
      </c>
      <c r="AL3221" s="21" t="s">
        <v>1321</v>
      </c>
      <c r="AM3221" s="21">
        <v>0</v>
      </c>
      <c r="AN3221" s="21">
        <v>3</v>
      </c>
      <c r="AO3221" s="21">
        <v>50</v>
      </c>
      <c r="AP3221" s="21">
        <v>3</v>
      </c>
      <c r="AQ3221" s="22" t="s">
        <v>3016</v>
      </c>
      <c r="AR3221" s="21" t="s">
        <v>1279</v>
      </c>
      <c r="AS3221" t="s">
        <v>3085</v>
      </c>
    </row>
    <row r="3222" spans="1:45" x14ac:dyDescent="0.2">
      <c r="A3222" s="21" t="s">
        <v>1685</v>
      </c>
      <c r="B3222" s="21" t="s">
        <v>1146</v>
      </c>
      <c r="C3222" s="21" t="s">
        <v>1149</v>
      </c>
      <c r="D3222" s="21" t="s">
        <v>420</v>
      </c>
      <c r="E3222" s="21" t="s">
        <v>3083</v>
      </c>
      <c r="G3222" s="21" t="s">
        <v>153</v>
      </c>
      <c r="H3222" s="21" t="s">
        <v>1165</v>
      </c>
      <c r="I3222" s="21" t="s">
        <v>3084</v>
      </c>
      <c r="J3222" s="21">
        <v>49.133333333333297</v>
      </c>
      <c r="K3222">
        <v>-122.75</v>
      </c>
      <c r="L3222">
        <v>1415</v>
      </c>
      <c r="M3222" s="21" t="s">
        <v>3034</v>
      </c>
      <c r="O3222" s="21">
        <v>1985</v>
      </c>
      <c r="Q3222" s="21" t="s">
        <v>3086</v>
      </c>
      <c r="T3222" s="21">
        <v>-20</v>
      </c>
      <c r="U3222" s="21" t="s">
        <v>1147</v>
      </c>
      <c r="V3222" s="9" t="s">
        <v>1247</v>
      </c>
      <c r="W3222" s="21">
        <v>56</v>
      </c>
      <c r="X3222" s="9" t="s">
        <v>3088</v>
      </c>
      <c r="Y3222" t="s">
        <v>3216</v>
      </c>
      <c r="Z3222" s="22">
        <v>8</v>
      </c>
      <c r="AD3222" s="22" t="s">
        <v>1165</v>
      </c>
      <c r="AF3222" s="24" t="s">
        <v>153</v>
      </c>
      <c r="AG3222" t="s">
        <v>1160</v>
      </c>
      <c r="AH3222">
        <f t="shared" si="36"/>
        <v>4320</v>
      </c>
      <c r="AI3222" s="21" t="s">
        <v>153</v>
      </c>
      <c r="AJ3222" s="21" t="s">
        <v>1148</v>
      </c>
      <c r="AK3222" s="21">
        <v>1.294</v>
      </c>
      <c r="AL3222" s="21" t="s">
        <v>1321</v>
      </c>
      <c r="AM3222" s="21" t="s">
        <v>3003</v>
      </c>
      <c r="AN3222" s="21">
        <v>3</v>
      </c>
      <c r="AO3222" s="21">
        <v>50</v>
      </c>
      <c r="AP3222" s="21">
        <v>6</v>
      </c>
      <c r="AQ3222" s="22" t="s">
        <v>3016</v>
      </c>
      <c r="AR3222" s="21" t="s">
        <v>1279</v>
      </c>
      <c r="AS3222" t="s">
        <v>3085</v>
      </c>
    </row>
    <row r="3223" spans="1:45" x14ac:dyDescent="0.2">
      <c r="A3223" s="21" t="s">
        <v>1685</v>
      </c>
      <c r="B3223" s="21" t="s">
        <v>1146</v>
      </c>
      <c r="C3223" s="21" t="s">
        <v>1149</v>
      </c>
      <c r="D3223" s="21" t="s">
        <v>420</v>
      </c>
      <c r="E3223" s="21" t="s">
        <v>3083</v>
      </c>
      <c r="G3223" s="21" t="s">
        <v>153</v>
      </c>
      <c r="H3223" s="21" t="s">
        <v>1165</v>
      </c>
      <c r="I3223" s="21" t="s">
        <v>3084</v>
      </c>
      <c r="J3223" s="21">
        <v>49.133333333333297</v>
      </c>
      <c r="K3223">
        <v>-122.75</v>
      </c>
      <c r="L3223">
        <v>1415</v>
      </c>
      <c r="M3223" s="21" t="s">
        <v>3034</v>
      </c>
      <c r="O3223" s="21">
        <v>1985</v>
      </c>
      <c r="Q3223" s="21" t="s">
        <v>3086</v>
      </c>
      <c r="T3223" s="21">
        <v>-20</v>
      </c>
      <c r="U3223" s="21" t="s">
        <v>1147</v>
      </c>
      <c r="V3223" s="9" t="s">
        <v>1247</v>
      </c>
      <c r="W3223" s="21">
        <v>56</v>
      </c>
      <c r="X3223" s="9" t="s">
        <v>3088</v>
      </c>
      <c r="Y3223" t="s">
        <v>3216</v>
      </c>
      <c r="Z3223" s="22">
        <v>8</v>
      </c>
      <c r="AD3223" s="22" t="s">
        <v>1165</v>
      </c>
      <c r="AF3223" s="24" t="s">
        <v>153</v>
      </c>
      <c r="AG3223" t="s">
        <v>1160</v>
      </c>
      <c r="AH3223">
        <f t="shared" si="36"/>
        <v>4320</v>
      </c>
      <c r="AI3223" s="21" t="s">
        <v>153</v>
      </c>
      <c r="AJ3223" s="21" t="s">
        <v>1148</v>
      </c>
      <c r="AK3223" s="21">
        <v>17.646999999999998</v>
      </c>
      <c r="AL3223" s="21" t="s">
        <v>1321</v>
      </c>
      <c r="AM3223" s="21" t="s">
        <v>3003</v>
      </c>
      <c r="AN3223" s="21">
        <v>3</v>
      </c>
      <c r="AO3223" s="21">
        <v>50</v>
      </c>
      <c r="AP3223" s="21">
        <v>12</v>
      </c>
      <c r="AQ3223" s="22" t="s">
        <v>3016</v>
      </c>
      <c r="AR3223" s="21" t="s">
        <v>1279</v>
      </c>
      <c r="AS3223" t="s">
        <v>3085</v>
      </c>
    </row>
    <row r="3224" spans="1:45" x14ac:dyDescent="0.2">
      <c r="A3224" s="21" t="s">
        <v>1685</v>
      </c>
      <c r="B3224" s="21" t="s">
        <v>1146</v>
      </c>
      <c r="C3224" s="21" t="s">
        <v>1149</v>
      </c>
      <c r="D3224" s="21" t="s">
        <v>420</v>
      </c>
      <c r="E3224" s="21" t="s">
        <v>3083</v>
      </c>
      <c r="G3224" s="21" t="s">
        <v>153</v>
      </c>
      <c r="H3224" s="21" t="s">
        <v>1165</v>
      </c>
      <c r="I3224" s="21" t="s">
        <v>3084</v>
      </c>
      <c r="J3224" s="21">
        <v>49.133333333333297</v>
      </c>
      <c r="K3224">
        <v>-122.75</v>
      </c>
      <c r="L3224">
        <v>1415</v>
      </c>
      <c r="M3224" s="21" t="s">
        <v>3034</v>
      </c>
      <c r="O3224" s="21">
        <v>1985</v>
      </c>
      <c r="Q3224" s="21" t="s">
        <v>3086</v>
      </c>
      <c r="T3224" s="21">
        <v>-20</v>
      </c>
      <c r="U3224" s="21" t="s">
        <v>1147</v>
      </c>
      <c r="V3224" s="9" t="s">
        <v>1247</v>
      </c>
      <c r="W3224" s="21">
        <v>56</v>
      </c>
      <c r="X3224" s="9" t="s">
        <v>3088</v>
      </c>
      <c r="Y3224" t="s">
        <v>3216</v>
      </c>
      <c r="Z3224" s="22">
        <v>8</v>
      </c>
      <c r="AD3224" s="22" t="s">
        <v>1165</v>
      </c>
      <c r="AF3224" s="24" t="s">
        <v>153</v>
      </c>
      <c r="AG3224" t="s">
        <v>1160</v>
      </c>
      <c r="AH3224">
        <f t="shared" si="36"/>
        <v>4320</v>
      </c>
      <c r="AI3224" s="21" t="s">
        <v>153</v>
      </c>
      <c r="AJ3224" s="21" t="s">
        <v>1148</v>
      </c>
      <c r="AK3224" s="21">
        <v>24.117999999999999</v>
      </c>
      <c r="AL3224" s="21" t="s">
        <v>1321</v>
      </c>
      <c r="AM3224" s="21" t="s">
        <v>3003</v>
      </c>
      <c r="AN3224" s="21">
        <v>3</v>
      </c>
      <c r="AO3224" s="21">
        <v>50</v>
      </c>
      <c r="AP3224" s="21">
        <v>15</v>
      </c>
      <c r="AQ3224" s="22" t="s">
        <v>3016</v>
      </c>
      <c r="AR3224" s="21" t="s">
        <v>1279</v>
      </c>
      <c r="AS3224" t="s">
        <v>3085</v>
      </c>
    </row>
    <row r="3225" spans="1:45" x14ac:dyDescent="0.2">
      <c r="A3225" s="21" t="s">
        <v>1685</v>
      </c>
      <c r="B3225" s="21" t="s">
        <v>1146</v>
      </c>
      <c r="C3225" s="21" t="s">
        <v>1149</v>
      </c>
      <c r="D3225" s="21" t="s">
        <v>420</v>
      </c>
      <c r="E3225" s="21" t="s">
        <v>3083</v>
      </c>
      <c r="G3225" s="21" t="s">
        <v>153</v>
      </c>
      <c r="H3225" s="21" t="s">
        <v>1165</v>
      </c>
      <c r="I3225" s="21" t="s">
        <v>3084</v>
      </c>
      <c r="J3225" s="21">
        <v>49.133333333333297</v>
      </c>
      <c r="K3225">
        <v>-122.75</v>
      </c>
      <c r="L3225">
        <v>1415</v>
      </c>
      <c r="M3225" s="21" t="s">
        <v>3034</v>
      </c>
      <c r="O3225" s="21">
        <v>1985</v>
      </c>
      <c r="Q3225" s="21" t="s">
        <v>3086</v>
      </c>
      <c r="T3225" s="21">
        <v>-20</v>
      </c>
      <c r="U3225" s="21" t="s">
        <v>1147</v>
      </c>
      <c r="V3225" s="9" t="s">
        <v>1247</v>
      </c>
      <c r="W3225" s="21">
        <v>56</v>
      </c>
      <c r="X3225" s="9" t="s">
        <v>3088</v>
      </c>
      <c r="Y3225" t="s">
        <v>3216</v>
      </c>
      <c r="Z3225" s="22">
        <v>8</v>
      </c>
      <c r="AD3225" s="22" t="s">
        <v>1165</v>
      </c>
      <c r="AF3225" s="24" t="s">
        <v>153</v>
      </c>
      <c r="AG3225" t="s">
        <v>1160</v>
      </c>
      <c r="AH3225">
        <f t="shared" si="36"/>
        <v>4320</v>
      </c>
      <c r="AI3225" s="21" t="s">
        <v>153</v>
      </c>
      <c r="AJ3225" s="21" t="s">
        <v>1148</v>
      </c>
      <c r="AK3225" s="21">
        <v>30.940999999999999</v>
      </c>
      <c r="AL3225" s="21" t="s">
        <v>1321</v>
      </c>
      <c r="AM3225" s="21" t="s">
        <v>3003</v>
      </c>
      <c r="AN3225" s="21">
        <v>3</v>
      </c>
      <c r="AO3225" s="21">
        <v>50</v>
      </c>
      <c r="AP3225" s="21">
        <v>18</v>
      </c>
      <c r="AQ3225" s="22" t="s">
        <v>3016</v>
      </c>
      <c r="AR3225" s="21" t="s">
        <v>1279</v>
      </c>
      <c r="AS3225" t="s">
        <v>3085</v>
      </c>
    </row>
    <row r="3226" spans="1:45" x14ac:dyDescent="0.2">
      <c r="A3226" s="21" t="s">
        <v>1685</v>
      </c>
      <c r="B3226" s="21" t="s">
        <v>1146</v>
      </c>
      <c r="C3226" s="21" t="s">
        <v>1149</v>
      </c>
      <c r="D3226" s="21" t="s">
        <v>420</v>
      </c>
      <c r="E3226" s="21" t="s">
        <v>3083</v>
      </c>
      <c r="G3226" s="21" t="s">
        <v>153</v>
      </c>
      <c r="H3226" s="21" t="s">
        <v>1165</v>
      </c>
      <c r="I3226" s="21" t="s">
        <v>3084</v>
      </c>
      <c r="J3226" s="21">
        <v>49.133333333333297</v>
      </c>
      <c r="K3226">
        <v>-122.75</v>
      </c>
      <c r="L3226">
        <v>1415</v>
      </c>
      <c r="M3226" s="21" t="s">
        <v>3034</v>
      </c>
      <c r="O3226" s="21">
        <v>1985</v>
      </c>
      <c r="Q3226" s="21" t="s">
        <v>3086</v>
      </c>
      <c r="T3226" s="21">
        <v>-20</v>
      </c>
      <c r="U3226" s="21" t="s">
        <v>1147</v>
      </c>
      <c r="V3226" s="9" t="s">
        <v>1247</v>
      </c>
      <c r="W3226" s="21">
        <v>56</v>
      </c>
      <c r="X3226" s="9" t="s">
        <v>3088</v>
      </c>
      <c r="Y3226" t="s">
        <v>3216</v>
      </c>
      <c r="Z3226" s="22">
        <v>8</v>
      </c>
      <c r="AD3226" s="22" t="s">
        <v>1165</v>
      </c>
      <c r="AF3226" s="24" t="s">
        <v>153</v>
      </c>
      <c r="AG3226" t="s">
        <v>1160</v>
      </c>
      <c r="AH3226">
        <f t="shared" si="36"/>
        <v>4320</v>
      </c>
      <c r="AI3226" s="21" t="s">
        <v>153</v>
      </c>
      <c r="AJ3226" s="21" t="s">
        <v>1148</v>
      </c>
      <c r="AK3226" s="21">
        <v>38.234999999999999</v>
      </c>
      <c r="AL3226" s="21" t="s">
        <v>1321</v>
      </c>
      <c r="AM3226" s="21" t="s">
        <v>3003</v>
      </c>
      <c r="AN3226" s="21">
        <v>3</v>
      </c>
      <c r="AO3226" s="21">
        <v>50</v>
      </c>
      <c r="AP3226" s="21">
        <v>21</v>
      </c>
      <c r="AQ3226" s="22" t="s">
        <v>3016</v>
      </c>
      <c r="AR3226" s="21" t="s">
        <v>1279</v>
      </c>
      <c r="AS3226" t="s">
        <v>3085</v>
      </c>
    </row>
    <row r="3227" spans="1:45" x14ac:dyDescent="0.2">
      <c r="A3227" s="21" t="s">
        <v>1685</v>
      </c>
      <c r="B3227" s="21" t="s">
        <v>1146</v>
      </c>
      <c r="C3227" s="21" t="s">
        <v>1149</v>
      </c>
      <c r="D3227" s="21" t="s">
        <v>420</v>
      </c>
      <c r="E3227" s="21" t="s">
        <v>3083</v>
      </c>
      <c r="G3227" s="21" t="s">
        <v>153</v>
      </c>
      <c r="H3227" s="21" t="s">
        <v>1165</v>
      </c>
      <c r="I3227" s="21" t="s">
        <v>3084</v>
      </c>
      <c r="J3227" s="21">
        <v>49.133333333333297</v>
      </c>
      <c r="K3227">
        <v>-122.75</v>
      </c>
      <c r="L3227">
        <v>1415</v>
      </c>
      <c r="M3227" s="21" t="s">
        <v>3034</v>
      </c>
      <c r="O3227" s="21">
        <v>1985</v>
      </c>
      <c r="Q3227" s="21" t="s">
        <v>3086</v>
      </c>
      <c r="T3227" s="21">
        <v>-20</v>
      </c>
      <c r="U3227" s="21" t="s">
        <v>1147</v>
      </c>
      <c r="V3227" s="9" t="s">
        <v>1247</v>
      </c>
      <c r="W3227" s="21">
        <v>56</v>
      </c>
      <c r="X3227" s="9" t="s">
        <v>3088</v>
      </c>
      <c r="Y3227" t="s">
        <v>3216</v>
      </c>
      <c r="Z3227" s="22">
        <v>8</v>
      </c>
      <c r="AD3227" s="22" t="s">
        <v>1165</v>
      </c>
      <c r="AF3227" s="24" t="s">
        <v>153</v>
      </c>
      <c r="AG3227" t="s">
        <v>1160</v>
      </c>
      <c r="AH3227">
        <f t="shared" si="36"/>
        <v>4320</v>
      </c>
      <c r="AI3227" s="21" t="s">
        <v>153</v>
      </c>
      <c r="AJ3227" s="21" t="s">
        <v>1148</v>
      </c>
      <c r="AK3227" s="21">
        <v>46.118000000000002</v>
      </c>
      <c r="AL3227" s="21" t="s">
        <v>1321</v>
      </c>
      <c r="AM3227" s="21">
        <v>0</v>
      </c>
      <c r="AN3227" s="21">
        <v>3</v>
      </c>
      <c r="AO3227" s="21">
        <v>50</v>
      </c>
      <c r="AP3227" s="21">
        <v>24</v>
      </c>
      <c r="AQ3227" s="22" t="s">
        <v>3016</v>
      </c>
      <c r="AR3227" s="21" t="s">
        <v>1279</v>
      </c>
      <c r="AS3227" t="s">
        <v>3085</v>
      </c>
    </row>
    <row r="3228" spans="1:45" x14ac:dyDescent="0.2">
      <c r="A3228" s="21" t="s">
        <v>1685</v>
      </c>
      <c r="B3228" s="21" t="s">
        <v>1146</v>
      </c>
      <c r="C3228" s="21" t="s">
        <v>1149</v>
      </c>
      <c r="D3228" s="21" t="s">
        <v>420</v>
      </c>
      <c r="E3228" s="21" t="s">
        <v>3083</v>
      </c>
      <c r="G3228" s="21" t="s">
        <v>153</v>
      </c>
      <c r="H3228" s="21" t="s">
        <v>1165</v>
      </c>
      <c r="I3228" s="21" t="s">
        <v>3084</v>
      </c>
      <c r="J3228" s="21">
        <v>49.133333333333297</v>
      </c>
      <c r="K3228">
        <v>-122.75</v>
      </c>
      <c r="L3228">
        <v>1415</v>
      </c>
      <c r="M3228" s="21" t="s">
        <v>3034</v>
      </c>
      <c r="O3228" s="21">
        <v>1985</v>
      </c>
      <c r="Q3228" s="21" t="s">
        <v>3086</v>
      </c>
      <c r="T3228" s="21">
        <v>-20</v>
      </c>
      <c r="U3228" s="21" t="s">
        <v>1147</v>
      </c>
      <c r="V3228" s="9" t="s">
        <v>1247</v>
      </c>
      <c r="W3228" s="21">
        <v>56</v>
      </c>
      <c r="X3228" s="9" t="s">
        <v>3088</v>
      </c>
      <c r="Y3228" t="s">
        <v>3216</v>
      </c>
      <c r="Z3228" s="22">
        <v>8</v>
      </c>
      <c r="AD3228" s="22" t="s">
        <v>1165</v>
      </c>
      <c r="AF3228" s="24" t="s">
        <v>153</v>
      </c>
      <c r="AG3228" t="s">
        <v>1160</v>
      </c>
      <c r="AH3228">
        <f t="shared" si="36"/>
        <v>4320</v>
      </c>
      <c r="AI3228" s="21" t="s">
        <v>153</v>
      </c>
      <c r="AJ3228" s="21" t="s">
        <v>1148</v>
      </c>
      <c r="AK3228" s="21">
        <v>52.823999999999998</v>
      </c>
      <c r="AL3228" s="21" t="s">
        <v>1321</v>
      </c>
      <c r="AM3228" s="21">
        <v>0</v>
      </c>
      <c r="AN3228" s="21">
        <v>3</v>
      </c>
      <c r="AO3228" s="21">
        <v>50</v>
      </c>
      <c r="AP3228" s="21">
        <v>27</v>
      </c>
      <c r="AQ3228" s="22" t="s">
        <v>3016</v>
      </c>
      <c r="AR3228" s="21" t="s">
        <v>1279</v>
      </c>
      <c r="AS3228" t="s">
        <v>3085</v>
      </c>
    </row>
    <row r="3229" spans="1:45" x14ac:dyDescent="0.2">
      <c r="A3229" s="21" t="s">
        <v>1685</v>
      </c>
      <c r="B3229" s="21" t="s">
        <v>1146</v>
      </c>
      <c r="C3229" s="21" t="s">
        <v>1149</v>
      </c>
      <c r="D3229" s="21" t="s">
        <v>420</v>
      </c>
      <c r="E3229" s="21" t="s">
        <v>3083</v>
      </c>
      <c r="G3229" s="21" t="s">
        <v>153</v>
      </c>
      <c r="H3229" s="21" t="s">
        <v>1165</v>
      </c>
      <c r="I3229" s="21" t="s">
        <v>3084</v>
      </c>
      <c r="J3229" s="21">
        <v>49.133333333333297</v>
      </c>
      <c r="K3229">
        <v>-122.75</v>
      </c>
      <c r="L3229">
        <v>1415</v>
      </c>
      <c r="M3229" s="21" t="s">
        <v>3034</v>
      </c>
      <c r="O3229" s="21">
        <v>1985</v>
      </c>
      <c r="Q3229" s="21" t="s">
        <v>3086</v>
      </c>
      <c r="T3229" s="21">
        <v>-20</v>
      </c>
      <c r="U3229" s="21" t="s">
        <v>1147</v>
      </c>
      <c r="V3229" s="9" t="s">
        <v>1247</v>
      </c>
      <c r="W3229" s="21">
        <v>56</v>
      </c>
      <c r="X3229" s="9" t="s">
        <v>3088</v>
      </c>
      <c r="Y3229" t="s">
        <v>3216</v>
      </c>
      <c r="Z3229" s="22">
        <v>8</v>
      </c>
      <c r="AD3229" s="22" t="s">
        <v>1165</v>
      </c>
      <c r="AF3229" s="24" t="s">
        <v>153</v>
      </c>
      <c r="AG3229" t="s">
        <v>1160</v>
      </c>
      <c r="AH3229">
        <f t="shared" si="36"/>
        <v>4320</v>
      </c>
      <c r="AI3229" s="21" t="s">
        <v>153</v>
      </c>
      <c r="AJ3229" s="21" t="s">
        <v>1148</v>
      </c>
      <c r="AK3229" s="21">
        <v>57.058999999999997</v>
      </c>
      <c r="AL3229" s="21" t="s">
        <v>1321</v>
      </c>
      <c r="AM3229" s="21">
        <v>0</v>
      </c>
      <c r="AN3229" s="21">
        <v>3</v>
      </c>
      <c r="AO3229" s="21">
        <v>50</v>
      </c>
      <c r="AP3229" s="21">
        <v>30</v>
      </c>
      <c r="AQ3229" s="22" t="s">
        <v>3016</v>
      </c>
      <c r="AR3229" s="21" t="s">
        <v>1279</v>
      </c>
      <c r="AS3229" t="s">
        <v>3085</v>
      </c>
    </row>
    <row r="3230" spans="1:45" x14ac:dyDescent="0.2">
      <c r="A3230" s="21" t="s">
        <v>1685</v>
      </c>
      <c r="B3230" s="21" t="s">
        <v>1146</v>
      </c>
      <c r="C3230" s="21" t="s">
        <v>1149</v>
      </c>
      <c r="D3230" s="21" t="s">
        <v>420</v>
      </c>
      <c r="E3230" s="21" t="s">
        <v>3083</v>
      </c>
      <c r="G3230" s="21" t="s">
        <v>153</v>
      </c>
      <c r="H3230" s="21" t="s">
        <v>1165</v>
      </c>
      <c r="I3230" s="21" t="s">
        <v>3084</v>
      </c>
      <c r="J3230" s="21">
        <v>49.133333333333297</v>
      </c>
      <c r="K3230">
        <v>-122.75</v>
      </c>
      <c r="L3230">
        <v>1415</v>
      </c>
      <c r="M3230" s="21" t="s">
        <v>3034</v>
      </c>
      <c r="O3230" s="21">
        <v>1985</v>
      </c>
      <c r="Q3230" s="21" t="s">
        <v>3086</v>
      </c>
      <c r="T3230" s="21">
        <v>-20</v>
      </c>
      <c r="U3230" s="21" t="s">
        <v>1147</v>
      </c>
      <c r="V3230" s="9" t="s">
        <v>1247</v>
      </c>
      <c r="W3230" s="21">
        <v>56</v>
      </c>
      <c r="X3230" s="9" t="s">
        <v>3088</v>
      </c>
      <c r="Y3230" t="s">
        <v>3217</v>
      </c>
      <c r="Z3230" s="22">
        <v>8</v>
      </c>
      <c r="AD3230" s="22" t="s">
        <v>1165</v>
      </c>
      <c r="AF3230" s="24" t="s">
        <v>153</v>
      </c>
      <c r="AG3230" t="s">
        <v>1160</v>
      </c>
      <c r="AH3230">
        <f t="shared" si="36"/>
        <v>4320</v>
      </c>
      <c r="AI3230" s="21" t="s">
        <v>153</v>
      </c>
      <c r="AJ3230" s="21" t="s">
        <v>1148</v>
      </c>
      <c r="AK3230" s="21">
        <v>0</v>
      </c>
      <c r="AL3230" s="21" t="s">
        <v>1321</v>
      </c>
      <c r="AM3230" s="21">
        <v>0</v>
      </c>
      <c r="AN3230" s="21">
        <v>3</v>
      </c>
      <c r="AO3230" s="21">
        <v>50</v>
      </c>
      <c r="AP3230" s="21">
        <v>3</v>
      </c>
      <c r="AQ3230" s="22" t="s">
        <v>3016</v>
      </c>
      <c r="AR3230" s="21" t="s">
        <v>1279</v>
      </c>
      <c r="AS3230" t="s">
        <v>3085</v>
      </c>
    </row>
    <row r="3231" spans="1:45" x14ac:dyDescent="0.2">
      <c r="A3231" s="21" t="s">
        <v>1685</v>
      </c>
      <c r="B3231" s="21" t="s">
        <v>1146</v>
      </c>
      <c r="C3231" s="21" t="s">
        <v>1149</v>
      </c>
      <c r="D3231" s="21" t="s">
        <v>420</v>
      </c>
      <c r="E3231" s="21" t="s">
        <v>3083</v>
      </c>
      <c r="G3231" s="21" t="s">
        <v>153</v>
      </c>
      <c r="H3231" s="21" t="s">
        <v>1165</v>
      </c>
      <c r="I3231" s="21" t="s">
        <v>3084</v>
      </c>
      <c r="J3231" s="21">
        <v>49.133333333333297</v>
      </c>
      <c r="K3231">
        <v>-122.75</v>
      </c>
      <c r="L3231">
        <v>1415</v>
      </c>
      <c r="M3231" s="21" t="s">
        <v>3034</v>
      </c>
      <c r="O3231" s="21">
        <v>1985</v>
      </c>
      <c r="Q3231" s="21" t="s">
        <v>3086</v>
      </c>
      <c r="T3231" s="21">
        <v>-20</v>
      </c>
      <c r="U3231" s="21" t="s">
        <v>1147</v>
      </c>
      <c r="V3231" s="9" t="s">
        <v>1247</v>
      </c>
      <c r="W3231" s="21">
        <v>56</v>
      </c>
      <c r="X3231" s="9" t="s">
        <v>3088</v>
      </c>
      <c r="Y3231" t="s">
        <v>3217</v>
      </c>
      <c r="Z3231" s="22">
        <v>8</v>
      </c>
      <c r="AD3231" s="22" t="s">
        <v>1165</v>
      </c>
      <c r="AF3231" s="24" t="s">
        <v>153</v>
      </c>
      <c r="AG3231" t="s">
        <v>1160</v>
      </c>
      <c r="AH3231">
        <f t="shared" si="36"/>
        <v>4320</v>
      </c>
      <c r="AI3231" s="21" t="s">
        <v>153</v>
      </c>
      <c r="AJ3231" s="21" t="s">
        <v>1148</v>
      </c>
      <c r="AK3231" s="21">
        <v>0</v>
      </c>
      <c r="AL3231" s="21" t="s">
        <v>1321</v>
      </c>
      <c r="AM3231" s="21" t="s">
        <v>3003</v>
      </c>
      <c r="AN3231" s="21">
        <v>3</v>
      </c>
      <c r="AO3231" s="21">
        <v>50</v>
      </c>
      <c r="AP3231" s="21">
        <v>6</v>
      </c>
      <c r="AQ3231" s="22" t="s">
        <v>3016</v>
      </c>
      <c r="AR3231" s="21" t="s">
        <v>1279</v>
      </c>
      <c r="AS3231" t="s">
        <v>3085</v>
      </c>
    </row>
    <row r="3232" spans="1:45" x14ac:dyDescent="0.2">
      <c r="A3232" s="21" t="s">
        <v>1685</v>
      </c>
      <c r="B3232" s="21" t="s">
        <v>1146</v>
      </c>
      <c r="C3232" s="21" t="s">
        <v>1149</v>
      </c>
      <c r="D3232" s="21" t="s">
        <v>420</v>
      </c>
      <c r="E3232" s="21" t="s">
        <v>3083</v>
      </c>
      <c r="G3232" s="21" t="s">
        <v>153</v>
      </c>
      <c r="H3232" s="21" t="s">
        <v>1165</v>
      </c>
      <c r="I3232" s="21" t="s">
        <v>3084</v>
      </c>
      <c r="J3232" s="21">
        <v>49.133333333333297</v>
      </c>
      <c r="K3232">
        <v>-122.75</v>
      </c>
      <c r="L3232">
        <v>1415</v>
      </c>
      <c r="M3232" s="21" t="s">
        <v>3034</v>
      </c>
      <c r="O3232" s="21">
        <v>1985</v>
      </c>
      <c r="Q3232" s="21" t="s">
        <v>3086</v>
      </c>
      <c r="T3232" s="21">
        <v>-20</v>
      </c>
      <c r="U3232" s="21" t="s">
        <v>1147</v>
      </c>
      <c r="V3232" s="9" t="s">
        <v>1247</v>
      </c>
      <c r="W3232" s="21">
        <v>56</v>
      </c>
      <c r="X3232" s="9" t="s">
        <v>3088</v>
      </c>
      <c r="Y3232" t="s">
        <v>3217</v>
      </c>
      <c r="Z3232" s="22">
        <v>8</v>
      </c>
      <c r="AD3232" s="22" t="s">
        <v>1165</v>
      </c>
      <c r="AF3232" s="24" t="s">
        <v>153</v>
      </c>
      <c r="AG3232" t="s">
        <v>1160</v>
      </c>
      <c r="AH3232">
        <f t="shared" si="36"/>
        <v>4320</v>
      </c>
      <c r="AI3232" s="21" t="s">
        <v>153</v>
      </c>
      <c r="AJ3232" s="21" t="s">
        <v>1148</v>
      </c>
      <c r="AK3232" s="21">
        <v>14.941000000000001</v>
      </c>
      <c r="AL3232" s="21" t="s">
        <v>1321</v>
      </c>
      <c r="AM3232" s="21" t="s">
        <v>3003</v>
      </c>
      <c r="AN3232" s="21">
        <v>3</v>
      </c>
      <c r="AO3232" s="21">
        <v>50</v>
      </c>
      <c r="AP3232" s="21">
        <v>12</v>
      </c>
      <c r="AQ3232" s="22" t="s">
        <v>3016</v>
      </c>
      <c r="AR3232" s="21" t="s">
        <v>1279</v>
      </c>
      <c r="AS3232" t="s">
        <v>3085</v>
      </c>
    </row>
    <row r="3233" spans="1:45" x14ac:dyDescent="0.2">
      <c r="A3233" s="21" t="s">
        <v>1685</v>
      </c>
      <c r="B3233" s="21" t="s">
        <v>1146</v>
      </c>
      <c r="C3233" s="21" t="s">
        <v>1149</v>
      </c>
      <c r="D3233" s="21" t="s">
        <v>420</v>
      </c>
      <c r="E3233" s="21" t="s">
        <v>3083</v>
      </c>
      <c r="G3233" s="21" t="s">
        <v>153</v>
      </c>
      <c r="H3233" s="21" t="s">
        <v>1165</v>
      </c>
      <c r="I3233" s="21" t="s">
        <v>3084</v>
      </c>
      <c r="J3233" s="21">
        <v>49.133333333333297</v>
      </c>
      <c r="K3233">
        <v>-122.75</v>
      </c>
      <c r="L3233">
        <v>1415</v>
      </c>
      <c r="M3233" s="21" t="s">
        <v>3034</v>
      </c>
      <c r="O3233" s="21">
        <v>1985</v>
      </c>
      <c r="Q3233" s="21" t="s">
        <v>3086</v>
      </c>
      <c r="T3233" s="21">
        <v>-20</v>
      </c>
      <c r="U3233" s="21" t="s">
        <v>1147</v>
      </c>
      <c r="V3233" s="9" t="s">
        <v>1247</v>
      </c>
      <c r="W3233" s="21">
        <v>56</v>
      </c>
      <c r="X3233" s="9" t="s">
        <v>3088</v>
      </c>
      <c r="Y3233" t="s">
        <v>3217</v>
      </c>
      <c r="Z3233" s="22">
        <v>8</v>
      </c>
      <c r="AD3233" s="22" t="s">
        <v>1165</v>
      </c>
      <c r="AF3233" s="24" t="s">
        <v>153</v>
      </c>
      <c r="AG3233" t="s">
        <v>1160</v>
      </c>
      <c r="AH3233">
        <f t="shared" si="36"/>
        <v>4320</v>
      </c>
      <c r="AI3233" s="21" t="s">
        <v>153</v>
      </c>
      <c r="AJ3233" s="21" t="s">
        <v>1148</v>
      </c>
      <c r="AK3233" s="21">
        <v>21.529</v>
      </c>
      <c r="AL3233" s="21" t="s">
        <v>1321</v>
      </c>
      <c r="AM3233" s="21" t="s">
        <v>3003</v>
      </c>
      <c r="AN3233" s="21">
        <v>3</v>
      </c>
      <c r="AO3233" s="21">
        <v>50</v>
      </c>
      <c r="AP3233" s="21">
        <v>15</v>
      </c>
      <c r="AQ3233" s="22" t="s">
        <v>3016</v>
      </c>
      <c r="AR3233" s="21" t="s">
        <v>1279</v>
      </c>
      <c r="AS3233" t="s">
        <v>3085</v>
      </c>
    </row>
    <row r="3234" spans="1:45" x14ac:dyDescent="0.2">
      <c r="A3234" s="21" t="s">
        <v>1685</v>
      </c>
      <c r="B3234" s="21" t="s">
        <v>1146</v>
      </c>
      <c r="C3234" s="21" t="s">
        <v>1149</v>
      </c>
      <c r="D3234" s="21" t="s">
        <v>420</v>
      </c>
      <c r="E3234" s="21" t="s">
        <v>3083</v>
      </c>
      <c r="G3234" s="21" t="s">
        <v>153</v>
      </c>
      <c r="H3234" s="21" t="s">
        <v>1165</v>
      </c>
      <c r="I3234" s="21" t="s">
        <v>3084</v>
      </c>
      <c r="J3234" s="21">
        <v>49.133333333333297</v>
      </c>
      <c r="K3234">
        <v>-122.75</v>
      </c>
      <c r="L3234">
        <v>1415</v>
      </c>
      <c r="M3234" s="21" t="s">
        <v>3034</v>
      </c>
      <c r="O3234" s="21">
        <v>1985</v>
      </c>
      <c r="Q3234" s="21" t="s">
        <v>3086</v>
      </c>
      <c r="T3234" s="21">
        <v>-20</v>
      </c>
      <c r="U3234" s="21" t="s">
        <v>1147</v>
      </c>
      <c r="V3234" s="9" t="s">
        <v>1247</v>
      </c>
      <c r="W3234" s="21">
        <v>56</v>
      </c>
      <c r="X3234" s="9" t="s">
        <v>3088</v>
      </c>
      <c r="Y3234" t="s">
        <v>3217</v>
      </c>
      <c r="Z3234" s="22">
        <v>8</v>
      </c>
      <c r="AD3234" s="22" t="s">
        <v>1165</v>
      </c>
      <c r="AF3234" s="24" t="s">
        <v>153</v>
      </c>
      <c r="AG3234" t="s">
        <v>1160</v>
      </c>
      <c r="AH3234">
        <f t="shared" si="36"/>
        <v>4320</v>
      </c>
      <c r="AI3234" s="21" t="s">
        <v>153</v>
      </c>
      <c r="AJ3234" s="21" t="s">
        <v>1148</v>
      </c>
      <c r="AK3234" s="21">
        <v>33.529000000000003</v>
      </c>
      <c r="AL3234" s="21" t="s">
        <v>1321</v>
      </c>
      <c r="AM3234" s="21" t="s">
        <v>3003</v>
      </c>
      <c r="AN3234" s="21">
        <v>3</v>
      </c>
      <c r="AO3234" s="21">
        <v>50</v>
      </c>
      <c r="AP3234" s="21">
        <v>18</v>
      </c>
      <c r="AQ3234" s="22" t="s">
        <v>3016</v>
      </c>
      <c r="AR3234" s="21" t="s">
        <v>1279</v>
      </c>
      <c r="AS3234" t="s">
        <v>3085</v>
      </c>
    </row>
    <row r="3235" spans="1:45" x14ac:dyDescent="0.2">
      <c r="A3235" s="21" t="s">
        <v>1685</v>
      </c>
      <c r="B3235" s="21" t="s">
        <v>1146</v>
      </c>
      <c r="C3235" s="21" t="s">
        <v>1149</v>
      </c>
      <c r="D3235" s="21" t="s">
        <v>420</v>
      </c>
      <c r="E3235" s="21" t="s">
        <v>3083</v>
      </c>
      <c r="G3235" s="21" t="s">
        <v>153</v>
      </c>
      <c r="H3235" s="21" t="s">
        <v>1165</v>
      </c>
      <c r="I3235" s="21" t="s">
        <v>3084</v>
      </c>
      <c r="J3235" s="21">
        <v>49.133333333333297</v>
      </c>
      <c r="K3235">
        <v>-122.75</v>
      </c>
      <c r="L3235">
        <v>1415</v>
      </c>
      <c r="M3235" s="21" t="s">
        <v>3034</v>
      </c>
      <c r="O3235" s="21">
        <v>1985</v>
      </c>
      <c r="Q3235" s="21" t="s">
        <v>3086</v>
      </c>
      <c r="T3235" s="21">
        <v>-20</v>
      </c>
      <c r="U3235" s="21" t="s">
        <v>1147</v>
      </c>
      <c r="V3235" s="9" t="s">
        <v>1247</v>
      </c>
      <c r="W3235" s="21">
        <v>56</v>
      </c>
      <c r="X3235" s="9" t="s">
        <v>3088</v>
      </c>
      <c r="Y3235" t="s">
        <v>3217</v>
      </c>
      <c r="Z3235" s="22">
        <v>8</v>
      </c>
      <c r="AD3235" s="22" t="s">
        <v>1165</v>
      </c>
      <c r="AF3235" s="24" t="s">
        <v>153</v>
      </c>
      <c r="AG3235" t="s">
        <v>1160</v>
      </c>
      <c r="AH3235">
        <f t="shared" si="36"/>
        <v>4320</v>
      </c>
      <c r="AI3235" s="21" t="s">
        <v>153</v>
      </c>
      <c r="AJ3235" s="21" t="s">
        <v>1148</v>
      </c>
      <c r="AK3235" s="21">
        <v>43.411999999999999</v>
      </c>
      <c r="AL3235" s="21" t="s">
        <v>1321</v>
      </c>
      <c r="AM3235" s="21" t="s">
        <v>3003</v>
      </c>
      <c r="AN3235" s="21">
        <v>3</v>
      </c>
      <c r="AO3235" s="21">
        <v>50</v>
      </c>
      <c r="AP3235" s="21">
        <v>21</v>
      </c>
      <c r="AQ3235" s="22" t="s">
        <v>3016</v>
      </c>
      <c r="AR3235" s="21" t="s">
        <v>1279</v>
      </c>
      <c r="AS3235" t="s">
        <v>3085</v>
      </c>
    </row>
    <row r="3236" spans="1:45" x14ac:dyDescent="0.2">
      <c r="A3236" s="21" t="s">
        <v>1685</v>
      </c>
      <c r="B3236" s="21" t="s">
        <v>1146</v>
      </c>
      <c r="C3236" s="21" t="s">
        <v>1149</v>
      </c>
      <c r="D3236" s="21" t="s">
        <v>420</v>
      </c>
      <c r="E3236" s="21" t="s">
        <v>3083</v>
      </c>
      <c r="G3236" s="21" t="s">
        <v>153</v>
      </c>
      <c r="H3236" s="21" t="s">
        <v>1165</v>
      </c>
      <c r="I3236" s="21" t="s">
        <v>3084</v>
      </c>
      <c r="J3236" s="21">
        <v>49.133333333333297</v>
      </c>
      <c r="K3236">
        <v>-122.75</v>
      </c>
      <c r="L3236">
        <v>1415</v>
      </c>
      <c r="M3236" s="21" t="s">
        <v>3034</v>
      </c>
      <c r="O3236" s="21">
        <v>1985</v>
      </c>
      <c r="Q3236" s="21" t="s">
        <v>3086</v>
      </c>
      <c r="T3236" s="21">
        <v>-20</v>
      </c>
      <c r="U3236" s="21" t="s">
        <v>1147</v>
      </c>
      <c r="V3236" s="9" t="s">
        <v>1247</v>
      </c>
      <c r="W3236" s="21">
        <v>56</v>
      </c>
      <c r="X3236" s="9" t="s">
        <v>3088</v>
      </c>
      <c r="Y3236" t="s">
        <v>3217</v>
      </c>
      <c r="Z3236" s="22">
        <v>8</v>
      </c>
      <c r="AD3236" s="22" t="s">
        <v>1165</v>
      </c>
      <c r="AF3236" s="24" t="s">
        <v>153</v>
      </c>
      <c r="AG3236" t="s">
        <v>1160</v>
      </c>
      <c r="AH3236">
        <f t="shared" si="36"/>
        <v>4320</v>
      </c>
      <c r="AI3236" s="21" t="s">
        <v>153</v>
      </c>
      <c r="AJ3236" s="21" t="s">
        <v>1148</v>
      </c>
      <c r="AK3236" s="21">
        <v>56.470999999999997</v>
      </c>
      <c r="AL3236" s="21" t="s">
        <v>1321</v>
      </c>
      <c r="AM3236" s="21" t="s">
        <v>3003</v>
      </c>
      <c r="AN3236" s="21">
        <v>3</v>
      </c>
      <c r="AO3236" s="21">
        <v>50</v>
      </c>
      <c r="AP3236" s="21">
        <v>24</v>
      </c>
      <c r="AQ3236" s="22" t="s">
        <v>3016</v>
      </c>
      <c r="AR3236" s="21" t="s">
        <v>1279</v>
      </c>
      <c r="AS3236" t="s">
        <v>3085</v>
      </c>
    </row>
    <row r="3237" spans="1:45" x14ac:dyDescent="0.2">
      <c r="A3237" s="21" t="s">
        <v>1685</v>
      </c>
      <c r="B3237" s="21" t="s">
        <v>1146</v>
      </c>
      <c r="C3237" s="21" t="s">
        <v>1149</v>
      </c>
      <c r="D3237" s="21" t="s">
        <v>420</v>
      </c>
      <c r="E3237" s="21" t="s">
        <v>3083</v>
      </c>
      <c r="G3237" s="21" t="s">
        <v>153</v>
      </c>
      <c r="H3237" s="21" t="s">
        <v>1165</v>
      </c>
      <c r="I3237" s="21" t="s">
        <v>3084</v>
      </c>
      <c r="J3237" s="21">
        <v>49.133333333333297</v>
      </c>
      <c r="K3237">
        <v>-122.75</v>
      </c>
      <c r="L3237">
        <v>1415</v>
      </c>
      <c r="M3237" s="21" t="s">
        <v>3034</v>
      </c>
      <c r="O3237" s="21">
        <v>1985</v>
      </c>
      <c r="Q3237" s="21" t="s">
        <v>3086</v>
      </c>
      <c r="T3237" s="21">
        <v>-20</v>
      </c>
      <c r="U3237" s="21" t="s">
        <v>1147</v>
      </c>
      <c r="V3237" s="9" t="s">
        <v>1247</v>
      </c>
      <c r="W3237" s="21">
        <v>56</v>
      </c>
      <c r="X3237" s="9" t="s">
        <v>3088</v>
      </c>
      <c r="Y3237" t="s">
        <v>3217</v>
      </c>
      <c r="Z3237" s="22">
        <v>8</v>
      </c>
      <c r="AD3237" s="22" t="s">
        <v>1165</v>
      </c>
      <c r="AF3237" s="24" t="s">
        <v>153</v>
      </c>
      <c r="AG3237" t="s">
        <v>1160</v>
      </c>
      <c r="AH3237">
        <f t="shared" si="36"/>
        <v>4320</v>
      </c>
      <c r="AI3237" s="21" t="s">
        <v>153</v>
      </c>
      <c r="AJ3237" s="21" t="s">
        <v>1148</v>
      </c>
      <c r="AK3237" s="21">
        <v>59.176000000000002</v>
      </c>
      <c r="AL3237" s="21" t="s">
        <v>1321</v>
      </c>
      <c r="AM3237" s="21">
        <f>61.765-58</f>
        <v>3.7650000000000006</v>
      </c>
      <c r="AN3237" s="21">
        <v>3</v>
      </c>
      <c r="AO3237" s="21">
        <v>50</v>
      </c>
      <c r="AP3237" s="21">
        <v>27</v>
      </c>
      <c r="AQ3237" s="22" t="s">
        <v>3016</v>
      </c>
      <c r="AR3237" s="21" t="s">
        <v>1279</v>
      </c>
      <c r="AS3237" t="s">
        <v>3085</v>
      </c>
    </row>
    <row r="3238" spans="1:45" x14ac:dyDescent="0.2">
      <c r="A3238" s="21" t="s">
        <v>1685</v>
      </c>
      <c r="B3238" s="21" t="s">
        <v>1146</v>
      </c>
      <c r="C3238" s="21" t="s">
        <v>1149</v>
      </c>
      <c r="D3238" s="21" t="s">
        <v>420</v>
      </c>
      <c r="E3238" s="21" t="s">
        <v>3083</v>
      </c>
      <c r="G3238" s="21" t="s">
        <v>153</v>
      </c>
      <c r="H3238" s="21" t="s">
        <v>1165</v>
      </c>
      <c r="I3238" s="21" t="s">
        <v>3084</v>
      </c>
      <c r="J3238" s="21">
        <v>49.133333333333297</v>
      </c>
      <c r="K3238">
        <v>-122.75</v>
      </c>
      <c r="L3238">
        <v>1415</v>
      </c>
      <c r="M3238" s="21" t="s">
        <v>3034</v>
      </c>
      <c r="O3238" s="21">
        <v>1985</v>
      </c>
      <c r="Q3238" s="21" t="s">
        <v>3086</v>
      </c>
      <c r="T3238" s="21">
        <v>-20</v>
      </c>
      <c r="U3238" s="21" t="s">
        <v>1147</v>
      </c>
      <c r="V3238" s="9" t="s">
        <v>1247</v>
      </c>
      <c r="W3238" s="21">
        <v>56</v>
      </c>
      <c r="X3238" s="9" t="s">
        <v>3088</v>
      </c>
      <c r="Y3238" t="s">
        <v>3217</v>
      </c>
      <c r="Z3238" s="22">
        <v>8</v>
      </c>
      <c r="AD3238" s="22" t="s">
        <v>1165</v>
      </c>
      <c r="AF3238" s="24" t="s">
        <v>153</v>
      </c>
      <c r="AG3238" t="s">
        <v>1160</v>
      </c>
      <c r="AH3238">
        <f t="shared" si="36"/>
        <v>4320</v>
      </c>
      <c r="AI3238" s="21" t="s">
        <v>153</v>
      </c>
      <c r="AJ3238" s="21" t="s">
        <v>1148</v>
      </c>
      <c r="AK3238" s="21">
        <v>63.765000000000001</v>
      </c>
      <c r="AL3238" s="21" t="s">
        <v>1321</v>
      </c>
      <c r="AM3238" s="21">
        <f>66.235-62.941</f>
        <v>3.2939999999999969</v>
      </c>
      <c r="AN3238" s="21">
        <v>3</v>
      </c>
      <c r="AO3238" s="21">
        <v>50</v>
      </c>
      <c r="AP3238" s="21">
        <v>30</v>
      </c>
      <c r="AQ3238" s="22" t="s">
        <v>3016</v>
      </c>
      <c r="AR3238" s="21" t="s">
        <v>1279</v>
      </c>
      <c r="AS3238" t="s">
        <v>3085</v>
      </c>
    </row>
    <row r="3239" spans="1:45" x14ac:dyDescent="0.2">
      <c r="A3239" s="21" t="s">
        <v>1685</v>
      </c>
      <c r="B3239" s="21" t="s">
        <v>1146</v>
      </c>
      <c r="C3239" s="21" t="s">
        <v>1149</v>
      </c>
      <c r="D3239" s="21" t="s">
        <v>420</v>
      </c>
      <c r="E3239" s="21" t="s">
        <v>3083</v>
      </c>
      <c r="G3239" s="21" t="s">
        <v>153</v>
      </c>
      <c r="H3239" s="21" t="s">
        <v>1165</v>
      </c>
      <c r="I3239" s="21" t="s">
        <v>3084</v>
      </c>
      <c r="J3239" s="21">
        <v>49.133333333333297</v>
      </c>
      <c r="K3239">
        <v>-122.75</v>
      </c>
      <c r="L3239">
        <v>1415</v>
      </c>
      <c r="M3239" s="21" t="s">
        <v>3034</v>
      </c>
      <c r="O3239" s="21">
        <v>1985</v>
      </c>
      <c r="Q3239" s="21" t="s">
        <v>3086</v>
      </c>
      <c r="T3239" s="21">
        <v>-20</v>
      </c>
      <c r="U3239" s="21" t="s">
        <v>1147</v>
      </c>
      <c r="V3239" s="9" t="s">
        <v>1247</v>
      </c>
      <c r="W3239" s="21">
        <v>56</v>
      </c>
      <c r="X3239" s="9" t="s">
        <v>3088</v>
      </c>
      <c r="Y3239" t="s">
        <v>3218</v>
      </c>
      <c r="Z3239" s="22">
        <v>8</v>
      </c>
      <c r="AD3239" s="22" t="s">
        <v>1165</v>
      </c>
      <c r="AF3239" s="24" t="s">
        <v>153</v>
      </c>
      <c r="AG3239" t="s">
        <v>1160</v>
      </c>
      <c r="AH3239">
        <f t="shared" si="36"/>
        <v>4320</v>
      </c>
      <c r="AI3239" s="21" t="s">
        <v>153</v>
      </c>
      <c r="AJ3239" s="21" t="s">
        <v>1148</v>
      </c>
      <c r="AK3239" s="21">
        <v>0</v>
      </c>
      <c r="AL3239" s="21" t="s">
        <v>1321</v>
      </c>
      <c r="AM3239">
        <v>0</v>
      </c>
      <c r="AN3239" s="21">
        <v>3</v>
      </c>
      <c r="AO3239" s="21">
        <v>50</v>
      </c>
      <c r="AP3239" s="21">
        <v>3</v>
      </c>
      <c r="AQ3239" s="22" t="s">
        <v>3016</v>
      </c>
      <c r="AR3239" s="21" t="s">
        <v>1279</v>
      </c>
      <c r="AS3239" t="s">
        <v>3085</v>
      </c>
    </row>
    <row r="3240" spans="1:45" x14ac:dyDescent="0.2">
      <c r="A3240" s="21" t="s">
        <v>1685</v>
      </c>
      <c r="B3240" s="21" t="s">
        <v>1146</v>
      </c>
      <c r="C3240" s="21" t="s">
        <v>1149</v>
      </c>
      <c r="D3240" s="21" t="s">
        <v>420</v>
      </c>
      <c r="E3240" s="21" t="s">
        <v>3083</v>
      </c>
      <c r="G3240" s="21" t="s">
        <v>153</v>
      </c>
      <c r="H3240" s="21" t="s">
        <v>1165</v>
      </c>
      <c r="I3240" s="21" t="s">
        <v>3084</v>
      </c>
      <c r="J3240" s="21">
        <v>49.133333333333297</v>
      </c>
      <c r="K3240">
        <v>-122.75</v>
      </c>
      <c r="L3240">
        <v>1415</v>
      </c>
      <c r="M3240" s="21" t="s">
        <v>3034</v>
      </c>
      <c r="O3240" s="21">
        <v>1985</v>
      </c>
      <c r="Q3240" s="21" t="s">
        <v>3086</v>
      </c>
      <c r="T3240" s="21">
        <v>-20</v>
      </c>
      <c r="U3240" s="21" t="s">
        <v>1147</v>
      </c>
      <c r="V3240" s="9" t="s">
        <v>1247</v>
      </c>
      <c r="W3240" s="21">
        <v>56</v>
      </c>
      <c r="X3240" s="9" t="s">
        <v>3088</v>
      </c>
      <c r="Y3240" t="s">
        <v>3218</v>
      </c>
      <c r="Z3240" s="22">
        <v>8</v>
      </c>
      <c r="AD3240" s="22" t="s">
        <v>1165</v>
      </c>
      <c r="AF3240" s="24" t="s">
        <v>153</v>
      </c>
      <c r="AG3240" t="s">
        <v>1160</v>
      </c>
      <c r="AH3240">
        <f t="shared" si="36"/>
        <v>4320</v>
      </c>
      <c r="AI3240" s="21" t="s">
        <v>153</v>
      </c>
      <c r="AJ3240" s="21" t="s">
        <v>1148</v>
      </c>
      <c r="AK3240" s="21">
        <v>3.1760000000000002</v>
      </c>
      <c r="AL3240" s="21" t="s">
        <v>1321</v>
      </c>
      <c r="AM3240" s="21">
        <v>0</v>
      </c>
      <c r="AN3240" s="21">
        <v>3</v>
      </c>
      <c r="AO3240" s="21">
        <v>50</v>
      </c>
      <c r="AP3240" s="21">
        <v>12</v>
      </c>
      <c r="AQ3240" s="22" t="s">
        <v>3016</v>
      </c>
      <c r="AR3240" s="21" t="s">
        <v>1279</v>
      </c>
      <c r="AS3240" t="s">
        <v>3085</v>
      </c>
    </row>
    <row r="3241" spans="1:45" x14ac:dyDescent="0.2">
      <c r="A3241" s="21" t="s">
        <v>1685</v>
      </c>
      <c r="B3241" s="21" t="s">
        <v>1146</v>
      </c>
      <c r="C3241" s="21" t="s">
        <v>1149</v>
      </c>
      <c r="D3241" s="21" t="s">
        <v>420</v>
      </c>
      <c r="E3241" s="21" t="s">
        <v>3083</v>
      </c>
      <c r="G3241" s="21" t="s">
        <v>153</v>
      </c>
      <c r="H3241" s="21" t="s">
        <v>1165</v>
      </c>
      <c r="I3241" s="21" t="s">
        <v>3084</v>
      </c>
      <c r="J3241" s="21">
        <v>49.133333333333297</v>
      </c>
      <c r="K3241">
        <v>-122.75</v>
      </c>
      <c r="L3241">
        <v>1415</v>
      </c>
      <c r="M3241" s="21" t="s">
        <v>3034</v>
      </c>
      <c r="O3241" s="21">
        <v>1985</v>
      </c>
      <c r="Q3241" s="21" t="s">
        <v>3086</v>
      </c>
      <c r="T3241" s="21">
        <v>-20</v>
      </c>
      <c r="U3241" s="21" t="s">
        <v>1147</v>
      </c>
      <c r="V3241" s="9" t="s">
        <v>1247</v>
      </c>
      <c r="W3241" s="21">
        <v>56</v>
      </c>
      <c r="X3241" s="9" t="s">
        <v>3088</v>
      </c>
      <c r="Y3241" t="s">
        <v>3218</v>
      </c>
      <c r="Z3241" s="22">
        <v>8</v>
      </c>
      <c r="AD3241" s="22" t="s">
        <v>1165</v>
      </c>
      <c r="AF3241" s="24" t="s">
        <v>153</v>
      </c>
      <c r="AG3241" t="s">
        <v>1160</v>
      </c>
      <c r="AH3241">
        <f t="shared" si="36"/>
        <v>4320</v>
      </c>
      <c r="AI3241" s="21" t="s">
        <v>153</v>
      </c>
      <c r="AJ3241" s="21" t="s">
        <v>1148</v>
      </c>
      <c r="AK3241" s="21">
        <v>5.7649999999999997</v>
      </c>
      <c r="AL3241" s="21" t="s">
        <v>1321</v>
      </c>
      <c r="AM3241" s="21">
        <f>7.647-4.353</f>
        <v>3.2940000000000005</v>
      </c>
      <c r="AN3241" s="21">
        <v>3</v>
      </c>
      <c r="AO3241" s="21">
        <v>50</v>
      </c>
      <c r="AP3241" s="21">
        <v>15</v>
      </c>
      <c r="AQ3241" s="22" t="s">
        <v>3016</v>
      </c>
      <c r="AR3241" s="21" t="s">
        <v>1279</v>
      </c>
      <c r="AS3241" t="s">
        <v>3085</v>
      </c>
    </row>
    <row r="3242" spans="1:45" x14ac:dyDescent="0.2">
      <c r="A3242" s="21" t="s">
        <v>1685</v>
      </c>
      <c r="B3242" s="21" t="s">
        <v>1146</v>
      </c>
      <c r="C3242" s="21" t="s">
        <v>1149</v>
      </c>
      <c r="D3242" s="21" t="s">
        <v>420</v>
      </c>
      <c r="E3242" s="21" t="s">
        <v>3083</v>
      </c>
      <c r="G3242" s="21" t="s">
        <v>153</v>
      </c>
      <c r="H3242" s="21" t="s">
        <v>1165</v>
      </c>
      <c r="I3242" s="21" t="s">
        <v>3084</v>
      </c>
      <c r="J3242" s="21">
        <v>49.133333333333297</v>
      </c>
      <c r="K3242">
        <v>-122.75</v>
      </c>
      <c r="L3242">
        <v>1415</v>
      </c>
      <c r="M3242" s="21" t="s">
        <v>3034</v>
      </c>
      <c r="O3242" s="21">
        <v>1985</v>
      </c>
      <c r="Q3242" s="21" t="s">
        <v>3086</v>
      </c>
      <c r="T3242" s="21">
        <v>-20</v>
      </c>
      <c r="U3242" s="21" t="s">
        <v>1147</v>
      </c>
      <c r="V3242" s="9" t="s">
        <v>1247</v>
      </c>
      <c r="W3242" s="21">
        <v>56</v>
      </c>
      <c r="X3242" s="9" t="s">
        <v>3088</v>
      </c>
      <c r="Y3242" t="s">
        <v>3218</v>
      </c>
      <c r="Z3242" s="22">
        <v>8</v>
      </c>
      <c r="AD3242" s="22" t="s">
        <v>1165</v>
      </c>
      <c r="AF3242" s="24" t="s">
        <v>153</v>
      </c>
      <c r="AG3242" t="s">
        <v>1160</v>
      </c>
      <c r="AH3242">
        <f t="shared" si="36"/>
        <v>4320</v>
      </c>
      <c r="AI3242" s="21" t="s">
        <v>153</v>
      </c>
      <c r="AJ3242" s="21" t="s">
        <v>1148</v>
      </c>
      <c r="AK3242" s="21">
        <v>11.765000000000001</v>
      </c>
      <c r="AL3242" s="21" t="s">
        <v>1321</v>
      </c>
      <c r="AM3242" s="21">
        <f>13.765-10.235</f>
        <v>3.5300000000000011</v>
      </c>
      <c r="AN3242" s="21">
        <v>3</v>
      </c>
      <c r="AO3242" s="21">
        <v>50</v>
      </c>
      <c r="AP3242" s="21">
        <v>18</v>
      </c>
      <c r="AQ3242" s="22" t="s">
        <v>3016</v>
      </c>
      <c r="AR3242" s="21" t="s">
        <v>1279</v>
      </c>
      <c r="AS3242" t="s">
        <v>3085</v>
      </c>
    </row>
    <row r="3243" spans="1:45" x14ac:dyDescent="0.2">
      <c r="A3243" s="21" t="s">
        <v>1685</v>
      </c>
      <c r="B3243" s="21" t="s">
        <v>1146</v>
      </c>
      <c r="C3243" s="21" t="s">
        <v>1149</v>
      </c>
      <c r="D3243" s="21" t="s">
        <v>420</v>
      </c>
      <c r="E3243" s="21" t="s">
        <v>3083</v>
      </c>
      <c r="G3243" s="21" t="s">
        <v>153</v>
      </c>
      <c r="H3243" s="21" t="s">
        <v>1165</v>
      </c>
      <c r="I3243" s="21" t="s">
        <v>3084</v>
      </c>
      <c r="J3243" s="21">
        <v>49.133333333333297</v>
      </c>
      <c r="K3243">
        <v>-122.75</v>
      </c>
      <c r="L3243">
        <v>1415</v>
      </c>
      <c r="M3243" s="21" t="s">
        <v>3034</v>
      </c>
      <c r="O3243" s="21">
        <v>1985</v>
      </c>
      <c r="Q3243" s="21" t="s">
        <v>3086</v>
      </c>
      <c r="T3243" s="21">
        <v>-20</v>
      </c>
      <c r="U3243" s="21" t="s">
        <v>1147</v>
      </c>
      <c r="V3243" s="9" t="s">
        <v>1247</v>
      </c>
      <c r="W3243" s="21">
        <v>56</v>
      </c>
      <c r="X3243" s="9" t="s">
        <v>3088</v>
      </c>
      <c r="Y3243" t="s">
        <v>3218</v>
      </c>
      <c r="Z3243" s="22">
        <v>8</v>
      </c>
      <c r="AD3243" s="22" t="s">
        <v>1165</v>
      </c>
      <c r="AF3243" s="24" t="s">
        <v>153</v>
      </c>
      <c r="AG3243" t="s">
        <v>1160</v>
      </c>
      <c r="AH3243">
        <f t="shared" si="36"/>
        <v>4320</v>
      </c>
      <c r="AI3243" s="21" t="s">
        <v>153</v>
      </c>
      <c r="AJ3243" s="21" t="s">
        <v>1148</v>
      </c>
      <c r="AK3243" s="21">
        <v>18.706</v>
      </c>
      <c r="AL3243" s="21" t="s">
        <v>1321</v>
      </c>
      <c r="AM3243" s="21" t="s">
        <v>3003</v>
      </c>
      <c r="AN3243" s="21">
        <v>3</v>
      </c>
      <c r="AO3243" s="21">
        <v>50</v>
      </c>
      <c r="AP3243" s="21">
        <v>21</v>
      </c>
      <c r="AQ3243" s="22" t="s">
        <v>3016</v>
      </c>
      <c r="AR3243" s="21" t="s">
        <v>1279</v>
      </c>
      <c r="AS3243" t="s">
        <v>3085</v>
      </c>
    </row>
    <row r="3244" spans="1:45" x14ac:dyDescent="0.2">
      <c r="A3244" s="21" t="s">
        <v>1685</v>
      </c>
      <c r="B3244" s="21" t="s">
        <v>1146</v>
      </c>
      <c r="C3244" s="21" t="s">
        <v>1149</v>
      </c>
      <c r="D3244" s="21" t="s">
        <v>420</v>
      </c>
      <c r="E3244" s="21" t="s">
        <v>3083</v>
      </c>
      <c r="G3244" s="21" t="s">
        <v>153</v>
      </c>
      <c r="H3244" s="21" t="s">
        <v>1165</v>
      </c>
      <c r="I3244" s="21" t="s">
        <v>3084</v>
      </c>
      <c r="J3244" s="21">
        <v>49.133333333333297</v>
      </c>
      <c r="K3244">
        <v>-122.75</v>
      </c>
      <c r="L3244">
        <v>1415</v>
      </c>
      <c r="M3244" s="21" t="s">
        <v>3034</v>
      </c>
      <c r="O3244" s="21">
        <v>1985</v>
      </c>
      <c r="Q3244" s="21" t="s">
        <v>3086</v>
      </c>
      <c r="T3244" s="21">
        <v>-20</v>
      </c>
      <c r="U3244" s="21" t="s">
        <v>1147</v>
      </c>
      <c r="V3244" s="9" t="s">
        <v>1247</v>
      </c>
      <c r="W3244" s="21">
        <v>56</v>
      </c>
      <c r="X3244" s="9" t="s">
        <v>3088</v>
      </c>
      <c r="Y3244" t="s">
        <v>3218</v>
      </c>
      <c r="Z3244" s="22">
        <v>8</v>
      </c>
      <c r="AD3244" s="22" t="s">
        <v>1165</v>
      </c>
      <c r="AF3244" s="24" t="s">
        <v>153</v>
      </c>
      <c r="AG3244" t="s">
        <v>1160</v>
      </c>
      <c r="AH3244">
        <f t="shared" si="36"/>
        <v>4320</v>
      </c>
      <c r="AI3244" s="21" t="s">
        <v>153</v>
      </c>
      <c r="AJ3244" s="21" t="s">
        <v>1148</v>
      </c>
      <c r="AK3244" s="21">
        <v>21.175999999999998</v>
      </c>
      <c r="AL3244" s="21" t="s">
        <v>1321</v>
      </c>
      <c r="AM3244" s="21">
        <f>23.412-19.412</f>
        <v>4</v>
      </c>
      <c r="AN3244" s="21">
        <v>3</v>
      </c>
      <c r="AO3244" s="21">
        <v>50</v>
      </c>
      <c r="AP3244" s="21">
        <v>24</v>
      </c>
      <c r="AQ3244" s="22" t="s">
        <v>3016</v>
      </c>
      <c r="AR3244" s="21" t="s">
        <v>1279</v>
      </c>
      <c r="AS3244" t="s">
        <v>3085</v>
      </c>
    </row>
    <row r="3245" spans="1:45" x14ac:dyDescent="0.2">
      <c r="A3245" s="21" t="s">
        <v>1685</v>
      </c>
      <c r="B3245" s="21" t="s">
        <v>1146</v>
      </c>
      <c r="C3245" s="21" t="s">
        <v>1149</v>
      </c>
      <c r="D3245" s="21" t="s">
        <v>420</v>
      </c>
      <c r="E3245" s="21" t="s">
        <v>3083</v>
      </c>
      <c r="G3245" s="21" t="s">
        <v>153</v>
      </c>
      <c r="H3245" s="21" t="s">
        <v>1165</v>
      </c>
      <c r="I3245" s="21" t="s">
        <v>3084</v>
      </c>
      <c r="J3245" s="21">
        <v>49.133333333333297</v>
      </c>
      <c r="K3245">
        <v>-122.75</v>
      </c>
      <c r="L3245">
        <v>1415</v>
      </c>
      <c r="M3245" s="21" t="s">
        <v>3034</v>
      </c>
      <c r="O3245" s="21">
        <v>1985</v>
      </c>
      <c r="Q3245" s="21" t="s">
        <v>3086</v>
      </c>
      <c r="T3245" s="21">
        <v>-20</v>
      </c>
      <c r="U3245" s="21" t="s">
        <v>1147</v>
      </c>
      <c r="V3245" s="9" t="s">
        <v>1247</v>
      </c>
      <c r="W3245" s="21">
        <v>56</v>
      </c>
      <c r="X3245" s="9" t="s">
        <v>3088</v>
      </c>
      <c r="Y3245" t="s">
        <v>3218</v>
      </c>
      <c r="Z3245" s="22">
        <v>8</v>
      </c>
      <c r="AD3245" s="22" t="s">
        <v>1165</v>
      </c>
      <c r="AF3245" s="24" t="s">
        <v>153</v>
      </c>
      <c r="AG3245" t="s">
        <v>1160</v>
      </c>
      <c r="AH3245">
        <f t="shared" si="36"/>
        <v>4320</v>
      </c>
      <c r="AI3245" s="21" t="s">
        <v>153</v>
      </c>
      <c r="AJ3245" s="21" t="s">
        <v>1148</v>
      </c>
      <c r="AK3245" s="21">
        <v>23.411999999999999</v>
      </c>
      <c r="AL3245" s="21" t="s">
        <v>1321</v>
      </c>
      <c r="AM3245" s="21">
        <f>25.529-21.529</f>
        <v>4</v>
      </c>
      <c r="AN3245" s="21">
        <v>3</v>
      </c>
      <c r="AO3245" s="21">
        <v>50</v>
      </c>
      <c r="AP3245" s="21">
        <v>27</v>
      </c>
      <c r="AQ3245" s="22" t="s">
        <v>3016</v>
      </c>
      <c r="AR3245" s="21" t="s">
        <v>1279</v>
      </c>
      <c r="AS3245" t="s">
        <v>3085</v>
      </c>
    </row>
    <row r="3246" spans="1:45" x14ac:dyDescent="0.2">
      <c r="A3246" s="21" t="s">
        <v>1685</v>
      </c>
      <c r="B3246" s="21" t="s">
        <v>1146</v>
      </c>
      <c r="C3246" s="21" t="s">
        <v>1149</v>
      </c>
      <c r="D3246" s="21" t="s">
        <v>420</v>
      </c>
      <c r="E3246" s="21" t="s">
        <v>3083</v>
      </c>
      <c r="G3246" s="21" t="s">
        <v>153</v>
      </c>
      <c r="H3246" s="21" t="s">
        <v>1165</v>
      </c>
      <c r="I3246" s="21" t="s">
        <v>3084</v>
      </c>
      <c r="J3246" s="21">
        <v>49.133333333333297</v>
      </c>
      <c r="K3246">
        <v>-122.75</v>
      </c>
      <c r="L3246">
        <v>1415</v>
      </c>
      <c r="M3246" s="21" t="s">
        <v>3034</v>
      </c>
      <c r="O3246" s="21">
        <v>1985</v>
      </c>
      <c r="Q3246" s="21" t="s">
        <v>3086</v>
      </c>
      <c r="T3246" s="21">
        <v>-20</v>
      </c>
      <c r="U3246" s="21" t="s">
        <v>1147</v>
      </c>
      <c r="V3246" s="9" t="s">
        <v>1247</v>
      </c>
      <c r="W3246" s="21">
        <v>56</v>
      </c>
      <c r="X3246" s="9" t="s">
        <v>3088</v>
      </c>
      <c r="Y3246" t="s">
        <v>3218</v>
      </c>
      <c r="Z3246" s="22">
        <v>8</v>
      </c>
      <c r="AD3246" s="22" t="s">
        <v>1165</v>
      </c>
      <c r="AF3246" s="24" t="s">
        <v>153</v>
      </c>
      <c r="AG3246" t="s">
        <v>1160</v>
      </c>
      <c r="AH3246">
        <f t="shared" si="36"/>
        <v>4320</v>
      </c>
      <c r="AI3246" s="21" t="s">
        <v>153</v>
      </c>
      <c r="AJ3246" s="21" t="s">
        <v>1148</v>
      </c>
      <c r="AK3246" s="21">
        <v>25.882000000000001</v>
      </c>
      <c r="AL3246" s="21" t="s">
        <v>1321</v>
      </c>
      <c r="AM3246" s="21">
        <f>27.882-24.353</f>
        <v>3.5289999999999999</v>
      </c>
      <c r="AN3246" s="21">
        <v>3</v>
      </c>
      <c r="AO3246" s="21">
        <v>50</v>
      </c>
      <c r="AP3246" s="21">
        <v>30</v>
      </c>
      <c r="AQ3246" s="22" t="s">
        <v>3016</v>
      </c>
      <c r="AR3246" s="21" t="s">
        <v>1279</v>
      </c>
      <c r="AS3246" t="s">
        <v>3085</v>
      </c>
    </row>
    <row r="3247" spans="1:45" x14ac:dyDescent="0.2">
      <c r="A3247" s="21" t="s">
        <v>1685</v>
      </c>
      <c r="B3247" s="21" t="s">
        <v>1146</v>
      </c>
      <c r="C3247" s="21" t="s">
        <v>1149</v>
      </c>
      <c r="D3247" s="21" t="s">
        <v>420</v>
      </c>
      <c r="E3247" s="21" t="s">
        <v>3093</v>
      </c>
      <c r="G3247" s="21" t="s">
        <v>153</v>
      </c>
      <c r="H3247" s="21" t="s">
        <v>1165</v>
      </c>
      <c r="I3247" s="21" t="s">
        <v>3087</v>
      </c>
      <c r="J3247" s="21">
        <v>55.266666666666602</v>
      </c>
      <c r="K3247">
        <v>-128.4</v>
      </c>
      <c r="L3247">
        <v>1100</v>
      </c>
      <c r="M3247" s="21" t="s">
        <v>3034</v>
      </c>
      <c r="O3247" s="21">
        <v>1992</v>
      </c>
      <c r="Q3247" s="21" t="s">
        <v>3086</v>
      </c>
      <c r="T3247" s="21">
        <v>-20</v>
      </c>
      <c r="U3247" s="21" t="s">
        <v>1147</v>
      </c>
      <c r="V3247" s="9" t="s">
        <v>1247</v>
      </c>
      <c r="W3247" s="21">
        <v>56</v>
      </c>
      <c r="X3247" s="9" t="s">
        <v>3088</v>
      </c>
      <c r="Y3247" t="s">
        <v>3216</v>
      </c>
      <c r="Z3247" s="22">
        <v>8</v>
      </c>
      <c r="AD3247" s="22" t="s">
        <v>1165</v>
      </c>
      <c r="AF3247" s="24" t="s">
        <v>153</v>
      </c>
      <c r="AG3247" t="s">
        <v>1160</v>
      </c>
      <c r="AH3247">
        <f t="shared" si="36"/>
        <v>4320</v>
      </c>
      <c r="AI3247" s="21" t="s">
        <v>153</v>
      </c>
      <c r="AJ3247" s="21" t="s">
        <v>1148</v>
      </c>
      <c r="AK3247" s="21">
        <v>0</v>
      </c>
      <c r="AL3247" s="21" t="s">
        <v>1321</v>
      </c>
      <c r="AM3247" s="21" t="s">
        <v>3003</v>
      </c>
      <c r="AN3247" s="21">
        <v>3</v>
      </c>
      <c r="AO3247" s="21">
        <v>50</v>
      </c>
      <c r="AP3247" s="21">
        <v>3</v>
      </c>
      <c r="AQ3247" s="22" t="s">
        <v>3016</v>
      </c>
      <c r="AR3247" s="21" t="s">
        <v>1279</v>
      </c>
      <c r="AS3247" t="s">
        <v>3085</v>
      </c>
    </row>
    <row r="3248" spans="1:45" x14ac:dyDescent="0.2">
      <c r="A3248" s="21" t="s">
        <v>1685</v>
      </c>
      <c r="B3248" s="21" t="s">
        <v>1146</v>
      </c>
      <c r="C3248" s="21" t="s">
        <v>1149</v>
      </c>
      <c r="D3248" s="21" t="s">
        <v>420</v>
      </c>
      <c r="E3248" s="21" t="s">
        <v>3093</v>
      </c>
      <c r="G3248" s="21" t="s">
        <v>153</v>
      </c>
      <c r="H3248" s="21" t="s">
        <v>1165</v>
      </c>
      <c r="I3248" s="21" t="s">
        <v>3087</v>
      </c>
      <c r="J3248" s="21">
        <v>55.266666666666602</v>
      </c>
      <c r="K3248">
        <v>-128.4</v>
      </c>
      <c r="L3248">
        <v>1100</v>
      </c>
      <c r="M3248" s="21" t="s">
        <v>3034</v>
      </c>
      <c r="O3248" s="21">
        <v>1992</v>
      </c>
      <c r="Q3248" s="21" t="s">
        <v>3086</v>
      </c>
      <c r="T3248" s="21">
        <v>-20</v>
      </c>
      <c r="U3248" s="21" t="s">
        <v>1147</v>
      </c>
      <c r="V3248" s="9" t="s">
        <v>1247</v>
      </c>
      <c r="W3248" s="21">
        <v>56</v>
      </c>
      <c r="X3248" s="9" t="s">
        <v>3088</v>
      </c>
      <c r="Y3248" t="s">
        <v>3216</v>
      </c>
      <c r="Z3248" s="22">
        <v>8</v>
      </c>
      <c r="AD3248" s="22" t="s">
        <v>1165</v>
      </c>
      <c r="AF3248" s="24" t="s">
        <v>153</v>
      </c>
      <c r="AG3248" t="s">
        <v>1160</v>
      </c>
      <c r="AH3248">
        <f t="shared" si="36"/>
        <v>4320</v>
      </c>
      <c r="AI3248" s="21" t="s">
        <v>153</v>
      </c>
      <c r="AJ3248" s="21" t="s">
        <v>1148</v>
      </c>
      <c r="AK3248" s="21">
        <v>1.198</v>
      </c>
      <c r="AL3248" s="21" t="s">
        <v>1321</v>
      </c>
      <c r="AM3248" s="21" t="s">
        <v>3003</v>
      </c>
      <c r="AN3248" s="21">
        <v>3</v>
      </c>
      <c r="AO3248" s="21">
        <v>50</v>
      </c>
      <c r="AP3248" s="21">
        <v>6</v>
      </c>
      <c r="AQ3248" s="22" t="s">
        <v>3016</v>
      </c>
      <c r="AR3248" s="21" t="s">
        <v>1279</v>
      </c>
      <c r="AS3248" t="s">
        <v>3085</v>
      </c>
    </row>
    <row r="3249" spans="1:45" x14ac:dyDescent="0.2">
      <c r="A3249" s="21" t="s">
        <v>1685</v>
      </c>
      <c r="B3249" s="21" t="s">
        <v>1146</v>
      </c>
      <c r="C3249" s="21" t="s">
        <v>1149</v>
      </c>
      <c r="D3249" s="21" t="s">
        <v>420</v>
      </c>
      <c r="E3249" s="21" t="s">
        <v>3093</v>
      </c>
      <c r="G3249" s="21" t="s">
        <v>153</v>
      </c>
      <c r="H3249" s="21" t="s">
        <v>1165</v>
      </c>
      <c r="I3249" s="21" t="s">
        <v>3087</v>
      </c>
      <c r="J3249" s="21">
        <v>55.266666666666602</v>
      </c>
      <c r="K3249">
        <v>-128.4</v>
      </c>
      <c r="L3249">
        <v>1100</v>
      </c>
      <c r="M3249" s="21" t="s">
        <v>3034</v>
      </c>
      <c r="O3249" s="21">
        <v>1992</v>
      </c>
      <c r="Q3249" s="21" t="s">
        <v>3086</v>
      </c>
      <c r="T3249" s="21">
        <v>-20</v>
      </c>
      <c r="U3249" s="21" t="s">
        <v>1147</v>
      </c>
      <c r="V3249" s="9" t="s">
        <v>1247</v>
      </c>
      <c r="W3249" s="21">
        <v>56</v>
      </c>
      <c r="X3249" s="9" t="s">
        <v>3088</v>
      </c>
      <c r="Y3249" t="s">
        <v>3216</v>
      </c>
      <c r="Z3249" s="22">
        <v>8</v>
      </c>
      <c r="AD3249" s="22" t="s">
        <v>1165</v>
      </c>
      <c r="AF3249" s="24" t="s">
        <v>153</v>
      </c>
      <c r="AG3249" t="s">
        <v>1160</v>
      </c>
      <c r="AH3249">
        <f t="shared" si="36"/>
        <v>4320</v>
      </c>
      <c r="AI3249" s="21" t="s">
        <v>153</v>
      </c>
      <c r="AJ3249" s="21" t="s">
        <v>1148</v>
      </c>
      <c r="AK3249" s="21">
        <v>10.898</v>
      </c>
      <c r="AL3249" s="21" t="s">
        <v>1321</v>
      </c>
      <c r="AM3249" s="21" t="s">
        <v>3003</v>
      </c>
      <c r="AN3249" s="21">
        <v>3</v>
      </c>
      <c r="AO3249" s="21">
        <v>50</v>
      </c>
      <c r="AP3249" s="21">
        <v>9</v>
      </c>
      <c r="AQ3249" s="22" t="s">
        <v>3016</v>
      </c>
      <c r="AR3249" s="21" t="s">
        <v>1279</v>
      </c>
      <c r="AS3249" t="s">
        <v>3085</v>
      </c>
    </row>
    <row r="3250" spans="1:45" x14ac:dyDescent="0.2">
      <c r="A3250" s="21" t="s">
        <v>1685</v>
      </c>
      <c r="B3250" s="21" t="s">
        <v>1146</v>
      </c>
      <c r="C3250" s="21" t="s">
        <v>1149</v>
      </c>
      <c r="D3250" s="21" t="s">
        <v>420</v>
      </c>
      <c r="E3250" s="21" t="s">
        <v>3093</v>
      </c>
      <c r="G3250" s="21" t="s">
        <v>153</v>
      </c>
      <c r="H3250" s="21" t="s">
        <v>1165</v>
      </c>
      <c r="I3250" s="21" t="s">
        <v>3087</v>
      </c>
      <c r="J3250" s="21">
        <v>55.266666666666602</v>
      </c>
      <c r="K3250">
        <v>-128.4</v>
      </c>
      <c r="L3250">
        <v>1100</v>
      </c>
      <c r="M3250" s="21" t="s">
        <v>3034</v>
      </c>
      <c r="O3250" s="21">
        <v>1992</v>
      </c>
      <c r="Q3250" s="21" t="s">
        <v>3086</v>
      </c>
      <c r="T3250" s="21">
        <v>-20</v>
      </c>
      <c r="U3250" s="21" t="s">
        <v>1147</v>
      </c>
      <c r="V3250" s="9" t="s">
        <v>1247</v>
      </c>
      <c r="W3250" s="21">
        <v>56</v>
      </c>
      <c r="X3250" s="9" t="s">
        <v>3088</v>
      </c>
      <c r="Y3250" t="s">
        <v>3216</v>
      </c>
      <c r="Z3250" s="22">
        <v>8</v>
      </c>
      <c r="AD3250" s="22" t="s">
        <v>1165</v>
      </c>
      <c r="AF3250" s="24" t="s">
        <v>153</v>
      </c>
      <c r="AG3250" t="s">
        <v>1160</v>
      </c>
      <c r="AH3250">
        <f t="shared" si="36"/>
        <v>4320</v>
      </c>
      <c r="AI3250" s="21" t="s">
        <v>153</v>
      </c>
      <c r="AJ3250" s="21" t="s">
        <v>1148</v>
      </c>
      <c r="AK3250" s="21">
        <v>30.777999999999999</v>
      </c>
      <c r="AL3250" s="21" t="s">
        <v>1321</v>
      </c>
      <c r="AM3250" s="21" t="s">
        <v>3003</v>
      </c>
      <c r="AN3250" s="21">
        <v>3</v>
      </c>
      <c r="AO3250" s="21">
        <v>50</v>
      </c>
      <c r="AP3250" s="21">
        <v>12</v>
      </c>
      <c r="AQ3250" s="22" t="s">
        <v>3016</v>
      </c>
      <c r="AR3250" s="21" t="s">
        <v>1279</v>
      </c>
      <c r="AS3250" t="s">
        <v>3085</v>
      </c>
    </row>
    <row r="3251" spans="1:45" x14ac:dyDescent="0.2">
      <c r="A3251" s="21" t="s">
        <v>1685</v>
      </c>
      <c r="B3251" s="21" t="s">
        <v>1146</v>
      </c>
      <c r="C3251" s="21" t="s">
        <v>1149</v>
      </c>
      <c r="D3251" s="21" t="s">
        <v>420</v>
      </c>
      <c r="E3251" s="21" t="s">
        <v>3093</v>
      </c>
      <c r="G3251" s="21" t="s">
        <v>153</v>
      </c>
      <c r="H3251" s="21" t="s">
        <v>1165</v>
      </c>
      <c r="I3251" s="21" t="s">
        <v>3087</v>
      </c>
      <c r="J3251" s="21">
        <v>55.266666666666602</v>
      </c>
      <c r="K3251">
        <v>-128.4</v>
      </c>
      <c r="L3251">
        <v>1100</v>
      </c>
      <c r="M3251" s="21" t="s">
        <v>3034</v>
      </c>
      <c r="O3251" s="21">
        <v>1992</v>
      </c>
      <c r="Q3251" s="21" t="s">
        <v>3086</v>
      </c>
      <c r="T3251" s="21">
        <v>-20</v>
      </c>
      <c r="U3251" s="21" t="s">
        <v>1147</v>
      </c>
      <c r="V3251" s="9" t="s">
        <v>1247</v>
      </c>
      <c r="W3251" s="21">
        <v>56</v>
      </c>
      <c r="X3251" s="9" t="s">
        <v>3088</v>
      </c>
      <c r="Y3251" t="s">
        <v>3216</v>
      </c>
      <c r="Z3251" s="22">
        <v>8</v>
      </c>
      <c r="AD3251" s="22" t="s">
        <v>1165</v>
      </c>
      <c r="AF3251" s="24" t="s">
        <v>153</v>
      </c>
      <c r="AG3251" t="s">
        <v>1160</v>
      </c>
      <c r="AH3251">
        <f t="shared" si="36"/>
        <v>4320</v>
      </c>
      <c r="AI3251" s="21" t="s">
        <v>153</v>
      </c>
      <c r="AJ3251" s="21" t="s">
        <v>1148</v>
      </c>
      <c r="AK3251" s="21">
        <v>40.838000000000001</v>
      </c>
      <c r="AL3251" s="21" t="s">
        <v>1321</v>
      </c>
      <c r="AM3251" s="21" t="s">
        <v>3003</v>
      </c>
      <c r="AN3251" s="21">
        <v>3</v>
      </c>
      <c r="AO3251" s="21">
        <v>50</v>
      </c>
      <c r="AP3251" s="21">
        <v>15</v>
      </c>
      <c r="AQ3251" s="22" t="s">
        <v>3016</v>
      </c>
      <c r="AR3251" s="21" t="s">
        <v>1279</v>
      </c>
      <c r="AS3251" t="s">
        <v>3085</v>
      </c>
    </row>
    <row r="3252" spans="1:45" x14ac:dyDescent="0.2">
      <c r="A3252" s="21" t="s">
        <v>1685</v>
      </c>
      <c r="B3252" s="21" t="s">
        <v>1146</v>
      </c>
      <c r="C3252" s="21" t="s">
        <v>1149</v>
      </c>
      <c r="D3252" s="21" t="s">
        <v>420</v>
      </c>
      <c r="E3252" s="21" t="s">
        <v>3093</v>
      </c>
      <c r="G3252" s="21" t="s">
        <v>153</v>
      </c>
      <c r="H3252" s="21" t="s">
        <v>1165</v>
      </c>
      <c r="I3252" s="21" t="s">
        <v>3087</v>
      </c>
      <c r="J3252" s="21">
        <v>55.266666666666602</v>
      </c>
      <c r="K3252">
        <v>-128.4</v>
      </c>
      <c r="L3252">
        <v>1100</v>
      </c>
      <c r="M3252" s="21" t="s">
        <v>3034</v>
      </c>
      <c r="O3252" s="21">
        <v>1992</v>
      </c>
      <c r="Q3252" s="21" t="s">
        <v>3086</v>
      </c>
      <c r="T3252" s="21">
        <v>-20</v>
      </c>
      <c r="U3252" s="21" t="s">
        <v>1147</v>
      </c>
      <c r="V3252" s="9" t="s">
        <v>1247</v>
      </c>
      <c r="W3252" s="21">
        <v>56</v>
      </c>
      <c r="X3252" s="9" t="s">
        <v>3088</v>
      </c>
      <c r="Y3252" t="s">
        <v>3216</v>
      </c>
      <c r="Z3252" s="22">
        <v>8</v>
      </c>
      <c r="AD3252" s="22" t="s">
        <v>1165</v>
      </c>
      <c r="AF3252" s="24" t="s">
        <v>153</v>
      </c>
      <c r="AG3252" t="s">
        <v>1160</v>
      </c>
      <c r="AH3252">
        <f t="shared" si="36"/>
        <v>4320</v>
      </c>
      <c r="AI3252" s="21" t="s">
        <v>153</v>
      </c>
      <c r="AJ3252" s="21" t="s">
        <v>1148</v>
      </c>
      <c r="AK3252" s="21">
        <v>56.646999999999998</v>
      </c>
      <c r="AL3252" s="21" t="s">
        <v>1321</v>
      </c>
      <c r="AM3252" s="21" t="s">
        <v>3003</v>
      </c>
      <c r="AN3252" s="21">
        <v>3</v>
      </c>
      <c r="AO3252" s="21">
        <v>50</v>
      </c>
      <c r="AP3252" s="21">
        <v>18</v>
      </c>
      <c r="AQ3252" s="22" t="s">
        <v>3016</v>
      </c>
      <c r="AR3252" s="21" t="s">
        <v>1279</v>
      </c>
      <c r="AS3252" t="s">
        <v>3085</v>
      </c>
    </row>
    <row r="3253" spans="1:45" x14ac:dyDescent="0.2">
      <c r="A3253" s="21" t="s">
        <v>1685</v>
      </c>
      <c r="B3253" s="21" t="s">
        <v>1146</v>
      </c>
      <c r="C3253" s="21" t="s">
        <v>1149</v>
      </c>
      <c r="D3253" s="21" t="s">
        <v>420</v>
      </c>
      <c r="E3253" s="21" t="s">
        <v>3093</v>
      </c>
      <c r="G3253" s="21" t="s">
        <v>153</v>
      </c>
      <c r="H3253" s="21" t="s">
        <v>1165</v>
      </c>
      <c r="I3253" s="21" t="s">
        <v>3087</v>
      </c>
      <c r="J3253" s="21">
        <v>55.266666666666602</v>
      </c>
      <c r="K3253">
        <v>-128.4</v>
      </c>
      <c r="L3253">
        <v>1100</v>
      </c>
      <c r="M3253" s="21" t="s">
        <v>3034</v>
      </c>
      <c r="O3253" s="21">
        <v>1992</v>
      </c>
      <c r="Q3253" s="21" t="s">
        <v>3086</v>
      </c>
      <c r="T3253" s="21">
        <v>-20</v>
      </c>
      <c r="U3253" s="21" t="s">
        <v>1147</v>
      </c>
      <c r="V3253" s="9" t="s">
        <v>1247</v>
      </c>
      <c r="W3253" s="21">
        <v>56</v>
      </c>
      <c r="X3253" s="9" t="s">
        <v>3088</v>
      </c>
      <c r="Y3253" t="s">
        <v>3216</v>
      </c>
      <c r="Z3253" s="22">
        <v>8</v>
      </c>
      <c r="AD3253" s="22" t="s">
        <v>1165</v>
      </c>
      <c r="AF3253" s="24" t="s">
        <v>153</v>
      </c>
      <c r="AG3253" t="s">
        <v>1160</v>
      </c>
      <c r="AH3253">
        <f t="shared" si="36"/>
        <v>4320</v>
      </c>
      <c r="AI3253" s="21" t="s">
        <v>153</v>
      </c>
      <c r="AJ3253" s="21" t="s">
        <v>1148</v>
      </c>
      <c r="AK3253" s="21">
        <v>66.945999999999998</v>
      </c>
      <c r="AL3253" s="21" t="s">
        <v>1321</v>
      </c>
      <c r="AM3253" s="21" t="s">
        <v>3003</v>
      </c>
      <c r="AN3253" s="21">
        <v>3</v>
      </c>
      <c r="AO3253" s="21">
        <v>50</v>
      </c>
      <c r="AP3253" s="21">
        <v>21</v>
      </c>
      <c r="AQ3253" s="22" t="s">
        <v>3016</v>
      </c>
      <c r="AR3253" s="21" t="s">
        <v>1279</v>
      </c>
      <c r="AS3253" t="s">
        <v>3085</v>
      </c>
    </row>
    <row r="3254" spans="1:45" x14ac:dyDescent="0.2">
      <c r="A3254" s="21" t="s">
        <v>1685</v>
      </c>
      <c r="B3254" s="21" t="s">
        <v>1146</v>
      </c>
      <c r="C3254" s="21" t="s">
        <v>1149</v>
      </c>
      <c r="D3254" s="21" t="s">
        <v>420</v>
      </c>
      <c r="E3254" s="21" t="s">
        <v>3093</v>
      </c>
      <c r="G3254" s="21" t="s">
        <v>153</v>
      </c>
      <c r="H3254" s="21" t="s">
        <v>1165</v>
      </c>
      <c r="I3254" s="21" t="s">
        <v>3087</v>
      </c>
      <c r="J3254" s="21">
        <v>55.266666666666602</v>
      </c>
      <c r="K3254">
        <v>-128.4</v>
      </c>
      <c r="L3254">
        <v>1100</v>
      </c>
      <c r="M3254" s="21" t="s">
        <v>3034</v>
      </c>
      <c r="O3254" s="21">
        <v>1992</v>
      </c>
      <c r="Q3254" s="21" t="s">
        <v>3086</v>
      </c>
      <c r="T3254" s="21">
        <v>-20</v>
      </c>
      <c r="U3254" s="21" t="s">
        <v>1147</v>
      </c>
      <c r="V3254" s="9" t="s">
        <v>1247</v>
      </c>
      <c r="W3254" s="21">
        <v>56</v>
      </c>
      <c r="X3254" s="9" t="s">
        <v>3088</v>
      </c>
      <c r="Y3254" t="s">
        <v>3216</v>
      </c>
      <c r="Z3254" s="22">
        <v>8</v>
      </c>
      <c r="AD3254" s="22" t="s">
        <v>1165</v>
      </c>
      <c r="AF3254" s="24" t="s">
        <v>153</v>
      </c>
      <c r="AG3254" t="s">
        <v>1160</v>
      </c>
      <c r="AH3254">
        <f t="shared" si="36"/>
        <v>4320</v>
      </c>
      <c r="AI3254" s="21" t="s">
        <v>153</v>
      </c>
      <c r="AJ3254" s="21" t="s">
        <v>1148</v>
      </c>
      <c r="AK3254" s="21">
        <v>71.497</v>
      </c>
      <c r="AL3254" s="21" t="s">
        <v>1321</v>
      </c>
      <c r="AM3254" s="21" t="s">
        <v>3003</v>
      </c>
      <c r="AN3254" s="21">
        <v>3</v>
      </c>
      <c r="AO3254" s="21">
        <v>50</v>
      </c>
      <c r="AP3254" s="21">
        <v>24</v>
      </c>
      <c r="AQ3254" s="22" t="s">
        <v>3016</v>
      </c>
      <c r="AR3254" s="21" t="s">
        <v>1279</v>
      </c>
      <c r="AS3254" t="s">
        <v>3085</v>
      </c>
    </row>
    <row r="3255" spans="1:45" x14ac:dyDescent="0.2">
      <c r="A3255" s="21" t="s">
        <v>1685</v>
      </c>
      <c r="B3255" s="21" t="s">
        <v>1146</v>
      </c>
      <c r="C3255" s="21" t="s">
        <v>1149</v>
      </c>
      <c r="D3255" s="21" t="s">
        <v>420</v>
      </c>
      <c r="E3255" s="21" t="s">
        <v>3093</v>
      </c>
      <c r="G3255" s="21" t="s">
        <v>153</v>
      </c>
      <c r="H3255" s="21" t="s">
        <v>1165</v>
      </c>
      <c r="I3255" s="21" t="s">
        <v>3087</v>
      </c>
      <c r="J3255" s="21">
        <v>55.266666666666602</v>
      </c>
      <c r="K3255">
        <v>-128.4</v>
      </c>
      <c r="L3255">
        <v>1100</v>
      </c>
      <c r="M3255" s="21" t="s">
        <v>3034</v>
      </c>
      <c r="O3255" s="21">
        <v>1992</v>
      </c>
      <c r="Q3255" s="21" t="s">
        <v>3086</v>
      </c>
      <c r="T3255" s="21">
        <v>-20</v>
      </c>
      <c r="U3255" s="21" t="s">
        <v>1147</v>
      </c>
      <c r="V3255" s="9" t="s">
        <v>1247</v>
      </c>
      <c r="W3255" s="21">
        <v>56</v>
      </c>
      <c r="X3255" s="9" t="s">
        <v>3088</v>
      </c>
      <c r="Y3255" t="s">
        <v>3216</v>
      </c>
      <c r="Z3255" s="22">
        <v>8</v>
      </c>
      <c r="AD3255" s="22" t="s">
        <v>1165</v>
      </c>
      <c r="AF3255" s="24" t="s">
        <v>153</v>
      </c>
      <c r="AG3255" t="s">
        <v>1160</v>
      </c>
      <c r="AH3255">
        <f t="shared" si="36"/>
        <v>4320</v>
      </c>
      <c r="AI3255" s="21" t="s">
        <v>153</v>
      </c>
      <c r="AJ3255" s="21" t="s">
        <v>1148</v>
      </c>
      <c r="AK3255" s="21">
        <v>73.653000000000006</v>
      </c>
      <c r="AL3255" s="21" t="s">
        <v>1321</v>
      </c>
      <c r="AM3255" s="21" t="s">
        <v>3003</v>
      </c>
      <c r="AN3255" s="21">
        <v>3</v>
      </c>
      <c r="AO3255" s="21">
        <v>50</v>
      </c>
      <c r="AP3255" s="21">
        <v>27</v>
      </c>
      <c r="AQ3255" s="22" t="s">
        <v>3016</v>
      </c>
      <c r="AR3255" s="21" t="s">
        <v>1279</v>
      </c>
      <c r="AS3255" t="s">
        <v>3085</v>
      </c>
    </row>
    <row r="3256" spans="1:45" x14ac:dyDescent="0.2">
      <c r="A3256" s="21" t="s">
        <v>1685</v>
      </c>
      <c r="B3256" s="21" t="s">
        <v>1146</v>
      </c>
      <c r="C3256" s="21" t="s">
        <v>1149</v>
      </c>
      <c r="D3256" s="21" t="s">
        <v>420</v>
      </c>
      <c r="E3256" s="21" t="s">
        <v>3093</v>
      </c>
      <c r="G3256" s="21" t="s">
        <v>153</v>
      </c>
      <c r="H3256" s="21" t="s">
        <v>1165</v>
      </c>
      <c r="I3256" s="21" t="s">
        <v>3087</v>
      </c>
      <c r="J3256" s="21">
        <v>55.266666666666602</v>
      </c>
      <c r="K3256">
        <v>-128.4</v>
      </c>
      <c r="L3256">
        <v>1100</v>
      </c>
      <c r="M3256" s="21" t="s">
        <v>3034</v>
      </c>
      <c r="O3256" s="21">
        <v>1992</v>
      </c>
      <c r="Q3256" s="21" t="s">
        <v>3086</v>
      </c>
      <c r="T3256" s="21">
        <v>-20</v>
      </c>
      <c r="U3256" s="21" t="s">
        <v>1147</v>
      </c>
      <c r="V3256" s="9" t="s">
        <v>1247</v>
      </c>
      <c r="W3256" s="21">
        <v>56</v>
      </c>
      <c r="X3256" s="9" t="s">
        <v>3088</v>
      </c>
      <c r="Y3256" t="s">
        <v>3216</v>
      </c>
      <c r="Z3256" s="22">
        <v>8</v>
      </c>
      <c r="AD3256" s="22" t="s">
        <v>1165</v>
      </c>
      <c r="AF3256" s="24" t="s">
        <v>153</v>
      </c>
      <c r="AG3256" t="s">
        <v>1160</v>
      </c>
      <c r="AH3256">
        <f t="shared" si="36"/>
        <v>4320</v>
      </c>
      <c r="AI3256" s="21" t="s">
        <v>153</v>
      </c>
      <c r="AJ3256" s="21" t="s">
        <v>1148</v>
      </c>
      <c r="AK3256" s="21">
        <v>75.808000000000007</v>
      </c>
      <c r="AL3256" s="21" t="s">
        <v>1321</v>
      </c>
      <c r="AM3256" s="21" t="s">
        <v>3003</v>
      </c>
      <c r="AN3256" s="21">
        <v>3</v>
      </c>
      <c r="AO3256" s="21">
        <v>50</v>
      </c>
      <c r="AP3256" s="21">
        <v>30</v>
      </c>
      <c r="AQ3256" s="22" t="s">
        <v>3016</v>
      </c>
      <c r="AR3256" s="21" t="s">
        <v>1279</v>
      </c>
      <c r="AS3256" t="s">
        <v>3085</v>
      </c>
    </row>
    <row r="3257" spans="1:45" x14ac:dyDescent="0.2">
      <c r="A3257" s="21" t="s">
        <v>1685</v>
      </c>
      <c r="B3257" s="21" t="s">
        <v>1146</v>
      </c>
      <c r="C3257" s="21" t="s">
        <v>1149</v>
      </c>
      <c r="D3257" s="21" t="s">
        <v>420</v>
      </c>
      <c r="E3257" s="21" t="s">
        <v>3093</v>
      </c>
      <c r="G3257" s="21" t="s">
        <v>153</v>
      </c>
      <c r="H3257" s="21" t="s">
        <v>1165</v>
      </c>
      <c r="I3257" s="21" t="s">
        <v>3087</v>
      </c>
      <c r="J3257" s="21">
        <v>55.266666666666602</v>
      </c>
      <c r="K3257">
        <v>-128.4</v>
      </c>
      <c r="L3257">
        <v>1100</v>
      </c>
      <c r="M3257" s="21" t="s">
        <v>3034</v>
      </c>
      <c r="O3257" s="21">
        <v>1992</v>
      </c>
      <c r="Q3257" s="21" t="s">
        <v>3086</v>
      </c>
      <c r="T3257" s="21">
        <v>-20</v>
      </c>
      <c r="U3257" s="21" t="s">
        <v>1147</v>
      </c>
      <c r="V3257" s="9" t="s">
        <v>1247</v>
      </c>
      <c r="W3257" s="21">
        <v>56</v>
      </c>
      <c r="X3257" s="9" t="s">
        <v>3088</v>
      </c>
      <c r="Y3257" t="s">
        <v>3217</v>
      </c>
      <c r="Z3257" s="22">
        <v>8</v>
      </c>
      <c r="AD3257" s="22" t="s">
        <v>1165</v>
      </c>
      <c r="AF3257" s="24" t="s">
        <v>153</v>
      </c>
      <c r="AG3257" t="s">
        <v>1160</v>
      </c>
      <c r="AH3257">
        <f t="shared" si="36"/>
        <v>4320</v>
      </c>
      <c r="AI3257" s="21" t="s">
        <v>153</v>
      </c>
      <c r="AJ3257" s="21" t="s">
        <v>1148</v>
      </c>
      <c r="AK3257" s="21">
        <v>0</v>
      </c>
      <c r="AL3257" s="21" t="s">
        <v>1321</v>
      </c>
      <c r="AM3257" s="21">
        <v>0</v>
      </c>
      <c r="AN3257" s="21">
        <v>3</v>
      </c>
      <c r="AO3257" s="21">
        <v>50</v>
      </c>
      <c r="AP3257" s="21">
        <v>3</v>
      </c>
      <c r="AQ3257" s="22" t="s">
        <v>3016</v>
      </c>
      <c r="AR3257" s="21" t="s">
        <v>1279</v>
      </c>
      <c r="AS3257" t="s">
        <v>3085</v>
      </c>
    </row>
    <row r="3258" spans="1:45" x14ac:dyDescent="0.2">
      <c r="A3258" s="21" t="s">
        <v>1685</v>
      </c>
      <c r="B3258" s="21" t="s">
        <v>1146</v>
      </c>
      <c r="C3258" s="21" t="s">
        <v>1149</v>
      </c>
      <c r="D3258" s="21" t="s">
        <v>420</v>
      </c>
      <c r="E3258" s="21" t="s">
        <v>3093</v>
      </c>
      <c r="G3258" s="21" t="s">
        <v>153</v>
      </c>
      <c r="H3258" s="21" t="s">
        <v>1165</v>
      </c>
      <c r="I3258" s="21" t="s">
        <v>3087</v>
      </c>
      <c r="J3258" s="21">
        <v>55.266666666666602</v>
      </c>
      <c r="K3258">
        <v>-128.4</v>
      </c>
      <c r="L3258">
        <v>1100</v>
      </c>
      <c r="M3258" s="21" t="s">
        <v>3034</v>
      </c>
      <c r="O3258" s="21">
        <v>1992</v>
      </c>
      <c r="Q3258" s="21" t="s">
        <v>3086</v>
      </c>
      <c r="T3258" s="21">
        <v>-20</v>
      </c>
      <c r="U3258" s="21" t="s">
        <v>1147</v>
      </c>
      <c r="V3258" s="9" t="s">
        <v>1247</v>
      </c>
      <c r="W3258" s="21">
        <v>56</v>
      </c>
      <c r="X3258" s="9" t="s">
        <v>3088</v>
      </c>
      <c r="Y3258" t="s">
        <v>3217</v>
      </c>
      <c r="Z3258" s="22">
        <v>8</v>
      </c>
      <c r="AD3258" s="22" t="s">
        <v>1165</v>
      </c>
      <c r="AF3258" s="24" t="s">
        <v>153</v>
      </c>
      <c r="AG3258" t="s">
        <v>1160</v>
      </c>
      <c r="AH3258">
        <f t="shared" si="36"/>
        <v>4320</v>
      </c>
      <c r="AI3258" s="21" t="s">
        <v>153</v>
      </c>
      <c r="AJ3258" s="21" t="s">
        <v>1148</v>
      </c>
      <c r="AK3258" s="21">
        <v>2.8740000000000001</v>
      </c>
      <c r="AL3258" s="21" t="s">
        <v>1321</v>
      </c>
      <c r="AM3258" s="21" t="s">
        <v>3003</v>
      </c>
      <c r="AN3258" s="21">
        <v>3</v>
      </c>
      <c r="AO3258" s="21">
        <v>50</v>
      </c>
      <c r="AP3258" s="21">
        <v>6</v>
      </c>
      <c r="AQ3258" s="22" t="s">
        <v>3016</v>
      </c>
      <c r="AR3258" s="21" t="s">
        <v>1279</v>
      </c>
      <c r="AS3258" t="s">
        <v>3085</v>
      </c>
    </row>
    <row r="3259" spans="1:45" x14ac:dyDescent="0.2">
      <c r="A3259" s="21" t="s">
        <v>1685</v>
      </c>
      <c r="B3259" s="21" t="s">
        <v>1146</v>
      </c>
      <c r="C3259" s="21" t="s">
        <v>1149</v>
      </c>
      <c r="D3259" s="21" t="s">
        <v>420</v>
      </c>
      <c r="E3259" s="21" t="s">
        <v>3093</v>
      </c>
      <c r="G3259" s="21" t="s">
        <v>153</v>
      </c>
      <c r="H3259" s="21" t="s">
        <v>1165</v>
      </c>
      <c r="I3259" s="21" t="s">
        <v>3087</v>
      </c>
      <c r="J3259" s="21">
        <v>55.266666666666602</v>
      </c>
      <c r="K3259">
        <v>-128.4</v>
      </c>
      <c r="L3259">
        <v>1100</v>
      </c>
      <c r="M3259" s="21" t="s">
        <v>3034</v>
      </c>
      <c r="O3259" s="21">
        <v>1992</v>
      </c>
      <c r="Q3259" s="21" t="s">
        <v>3086</v>
      </c>
      <c r="T3259" s="21">
        <v>-20</v>
      </c>
      <c r="U3259" s="21" t="s">
        <v>1147</v>
      </c>
      <c r="V3259" s="9" t="s">
        <v>1247</v>
      </c>
      <c r="W3259" s="21">
        <v>56</v>
      </c>
      <c r="X3259" s="9" t="s">
        <v>3088</v>
      </c>
      <c r="Y3259" t="s">
        <v>3217</v>
      </c>
      <c r="Z3259" s="22">
        <v>8</v>
      </c>
      <c r="AD3259" s="22" t="s">
        <v>1165</v>
      </c>
      <c r="AF3259" s="24" t="s">
        <v>153</v>
      </c>
      <c r="AG3259" t="s">
        <v>1160</v>
      </c>
      <c r="AH3259">
        <f t="shared" si="36"/>
        <v>4320</v>
      </c>
      <c r="AI3259" s="21" t="s">
        <v>153</v>
      </c>
      <c r="AJ3259" s="21" t="s">
        <v>1148</v>
      </c>
      <c r="AK3259" s="21">
        <v>13.054</v>
      </c>
      <c r="AL3259" s="21" t="s">
        <v>1321</v>
      </c>
      <c r="AM3259" s="21" t="s">
        <v>3003</v>
      </c>
      <c r="AN3259" s="21">
        <v>3</v>
      </c>
      <c r="AO3259" s="21">
        <v>50</v>
      </c>
      <c r="AP3259" s="21">
        <v>9</v>
      </c>
      <c r="AQ3259" s="22" t="s">
        <v>3016</v>
      </c>
      <c r="AR3259" s="21" t="s">
        <v>1279</v>
      </c>
      <c r="AS3259" t="s">
        <v>3085</v>
      </c>
    </row>
    <row r="3260" spans="1:45" x14ac:dyDescent="0.2">
      <c r="A3260" s="21" t="s">
        <v>1685</v>
      </c>
      <c r="B3260" s="21" t="s">
        <v>1146</v>
      </c>
      <c r="C3260" s="21" t="s">
        <v>1149</v>
      </c>
      <c r="D3260" s="21" t="s">
        <v>420</v>
      </c>
      <c r="E3260" s="21" t="s">
        <v>3093</v>
      </c>
      <c r="G3260" s="21" t="s">
        <v>153</v>
      </c>
      <c r="H3260" s="21" t="s">
        <v>1165</v>
      </c>
      <c r="I3260" s="21" t="s">
        <v>3087</v>
      </c>
      <c r="J3260" s="21">
        <v>55.266666666666602</v>
      </c>
      <c r="K3260">
        <v>-128.4</v>
      </c>
      <c r="L3260">
        <v>1100</v>
      </c>
      <c r="M3260" s="21" t="s">
        <v>3034</v>
      </c>
      <c r="O3260" s="21">
        <v>1992</v>
      </c>
      <c r="Q3260" s="21" t="s">
        <v>3086</v>
      </c>
      <c r="T3260" s="21">
        <v>-20</v>
      </c>
      <c r="U3260" s="21" t="s">
        <v>1147</v>
      </c>
      <c r="V3260" s="9" t="s">
        <v>1247</v>
      </c>
      <c r="W3260" s="21">
        <v>56</v>
      </c>
      <c r="X3260" s="9" t="s">
        <v>3088</v>
      </c>
      <c r="Y3260" t="s">
        <v>3217</v>
      </c>
      <c r="Z3260" s="22">
        <v>8</v>
      </c>
      <c r="AD3260" s="22" t="s">
        <v>1165</v>
      </c>
      <c r="AF3260" s="24" t="s">
        <v>153</v>
      </c>
      <c r="AG3260" t="s">
        <v>1160</v>
      </c>
      <c r="AH3260">
        <f t="shared" si="36"/>
        <v>4320</v>
      </c>
      <c r="AI3260" s="21" t="s">
        <v>153</v>
      </c>
      <c r="AJ3260" s="21" t="s">
        <v>1148</v>
      </c>
      <c r="AK3260" s="21">
        <v>42.994</v>
      </c>
      <c r="AL3260" s="21" t="s">
        <v>1321</v>
      </c>
      <c r="AM3260" s="21" t="s">
        <v>3003</v>
      </c>
      <c r="AN3260" s="21">
        <v>3</v>
      </c>
      <c r="AO3260" s="21">
        <v>50</v>
      </c>
      <c r="AP3260" s="21">
        <v>15</v>
      </c>
      <c r="AQ3260" s="22" t="s">
        <v>3016</v>
      </c>
      <c r="AR3260" s="21" t="s">
        <v>1279</v>
      </c>
      <c r="AS3260" t="s">
        <v>3085</v>
      </c>
    </row>
    <row r="3261" spans="1:45" x14ac:dyDescent="0.2">
      <c r="A3261" s="21" t="s">
        <v>1685</v>
      </c>
      <c r="B3261" s="21" t="s">
        <v>1146</v>
      </c>
      <c r="C3261" s="21" t="s">
        <v>1149</v>
      </c>
      <c r="D3261" s="21" t="s">
        <v>420</v>
      </c>
      <c r="E3261" s="21" t="s">
        <v>3093</v>
      </c>
      <c r="G3261" s="21" t="s">
        <v>153</v>
      </c>
      <c r="H3261" s="21" t="s">
        <v>1165</v>
      </c>
      <c r="I3261" s="21" t="s">
        <v>3087</v>
      </c>
      <c r="J3261" s="21">
        <v>55.266666666666602</v>
      </c>
      <c r="K3261">
        <v>-128.4</v>
      </c>
      <c r="L3261">
        <v>1100</v>
      </c>
      <c r="M3261" s="21" t="s">
        <v>3034</v>
      </c>
      <c r="O3261" s="21">
        <v>1992</v>
      </c>
      <c r="Q3261" s="21" t="s">
        <v>3086</v>
      </c>
      <c r="T3261" s="21">
        <v>-20</v>
      </c>
      <c r="U3261" s="21" t="s">
        <v>1147</v>
      </c>
      <c r="V3261" s="9" t="s">
        <v>1247</v>
      </c>
      <c r="W3261" s="21">
        <v>56</v>
      </c>
      <c r="X3261" s="9" t="s">
        <v>3088</v>
      </c>
      <c r="Y3261" t="s">
        <v>3217</v>
      </c>
      <c r="Z3261" s="22">
        <v>8</v>
      </c>
      <c r="AD3261" s="22" t="s">
        <v>1165</v>
      </c>
      <c r="AF3261" s="24" t="s">
        <v>153</v>
      </c>
      <c r="AG3261" t="s">
        <v>1160</v>
      </c>
      <c r="AH3261">
        <f t="shared" si="36"/>
        <v>4320</v>
      </c>
      <c r="AI3261" s="21" t="s">
        <v>153</v>
      </c>
      <c r="AJ3261" s="21" t="s">
        <v>1148</v>
      </c>
      <c r="AK3261" s="21">
        <v>60.719000000000001</v>
      </c>
      <c r="AL3261" s="21" t="s">
        <v>1321</v>
      </c>
      <c r="AM3261" s="21" t="s">
        <v>3003</v>
      </c>
      <c r="AN3261" s="21">
        <v>3</v>
      </c>
      <c r="AO3261" s="21">
        <v>50</v>
      </c>
      <c r="AP3261" s="21">
        <v>18</v>
      </c>
      <c r="AQ3261" s="22" t="s">
        <v>3016</v>
      </c>
      <c r="AR3261" s="21" t="s">
        <v>1279</v>
      </c>
      <c r="AS3261" t="s">
        <v>3085</v>
      </c>
    </row>
    <row r="3262" spans="1:45" x14ac:dyDescent="0.2">
      <c r="A3262" s="21" t="s">
        <v>1685</v>
      </c>
      <c r="B3262" s="21" t="s">
        <v>1146</v>
      </c>
      <c r="C3262" s="21" t="s">
        <v>1149</v>
      </c>
      <c r="D3262" s="21" t="s">
        <v>420</v>
      </c>
      <c r="E3262" s="21" t="s">
        <v>3093</v>
      </c>
      <c r="G3262" s="21" t="s">
        <v>153</v>
      </c>
      <c r="H3262" s="21" t="s">
        <v>1165</v>
      </c>
      <c r="I3262" s="21" t="s">
        <v>3087</v>
      </c>
      <c r="J3262" s="21">
        <v>55.266666666666602</v>
      </c>
      <c r="K3262">
        <v>-128.4</v>
      </c>
      <c r="L3262">
        <v>1100</v>
      </c>
      <c r="M3262" s="21" t="s">
        <v>3034</v>
      </c>
      <c r="O3262" s="21">
        <v>1992</v>
      </c>
      <c r="Q3262" s="21" t="s">
        <v>3086</v>
      </c>
      <c r="T3262" s="21">
        <v>-20</v>
      </c>
      <c r="U3262" s="21" t="s">
        <v>1147</v>
      </c>
      <c r="V3262" s="9" t="s">
        <v>1247</v>
      </c>
      <c r="W3262" s="21">
        <v>56</v>
      </c>
      <c r="X3262" s="9" t="s">
        <v>3088</v>
      </c>
      <c r="Y3262" t="s">
        <v>3217</v>
      </c>
      <c r="Z3262" s="22">
        <v>8</v>
      </c>
      <c r="AD3262" s="22" t="s">
        <v>1165</v>
      </c>
      <c r="AF3262" s="24" t="s">
        <v>153</v>
      </c>
      <c r="AG3262" t="s">
        <v>1160</v>
      </c>
      <c r="AH3262">
        <f t="shared" si="36"/>
        <v>4320</v>
      </c>
      <c r="AI3262" s="21" t="s">
        <v>153</v>
      </c>
      <c r="AJ3262" s="21" t="s">
        <v>1148</v>
      </c>
      <c r="AK3262" s="21">
        <v>68.623000000000005</v>
      </c>
      <c r="AL3262" s="21" t="s">
        <v>1321</v>
      </c>
      <c r="AM3262" s="21" t="s">
        <v>3003</v>
      </c>
      <c r="AN3262" s="21">
        <v>3</v>
      </c>
      <c r="AO3262" s="21">
        <v>50</v>
      </c>
      <c r="AP3262" s="21">
        <v>21</v>
      </c>
      <c r="AQ3262" s="22" t="s">
        <v>3016</v>
      </c>
      <c r="AR3262" s="21" t="s">
        <v>1279</v>
      </c>
      <c r="AS3262" t="s">
        <v>3085</v>
      </c>
    </row>
    <row r="3263" spans="1:45" x14ac:dyDescent="0.2">
      <c r="A3263" s="21" t="s">
        <v>1685</v>
      </c>
      <c r="B3263" s="21" t="s">
        <v>1146</v>
      </c>
      <c r="C3263" s="21" t="s">
        <v>1149</v>
      </c>
      <c r="D3263" s="21" t="s">
        <v>420</v>
      </c>
      <c r="E3263" s="21" t="s">
        <v>3093</v>
      </c>
      <c r="G3263" s="21" t="s">
        <v>153</v>
      </c>
      <c r="H3263" s="21" t="s">
        <v>1165</v>
      </c>
      <c r="I3263" s="21" t="s">
        <v>3087</v>
      </c>
      <c r="J3263" s="21">
        <v>55.266666666666602</v>
      </c>
      <c r="K3263">
        <v>-128.4</v>
      </c>
      <c r="L3263">
        <v>1100</v>
      </c>
      <c r="M3263" s="21" t="s">
        <v>3034</v>
      </c>
      <c r="O3263" s="21">
        <v>1992</v>
      </c>
      <c r="Q3263" s="21" t="s">
        <v>3086</v>
      </c>
      <c r="T3263" s="21">
        <v>-20</v>
      </c>
      <c r="U3263" s="21" t="s">
        <v>1147</v>
      </c>
      <c r="V3263" s="9" t="s">
        <v>1247</v>
      </c>
      <c r="W3263" s="21">
        <v>56</v>
      </c>
      <c r="X3263" s="9" t="s">
        <v>3088</v>
      </c>
      <c r="Y3263" t="s">
        <v>3217</v>
      </c>
      <c r="Z3263" s="22">
        <v>8</v>
      </c>
      <c r="AD3263" s="22" t="s">
        <v>1165</v>
      </c>
      <c r="AF3263" s="24" t="s">
        <v>153</v>
      </c>
      <c r="AG3263" t="s">
        <v>1160</v>
      </c>
      <c r="AH3263">
        <f t="shared" si="36"/>
        <v>4320</v>
      </c>
      <c r="AI3263" s="21" t="s">
        <v>153</v>
      </c>
      <c r="AJ3263" s="21" t="s">
        <v>1148</v>
      </c>
      <c r="AK3263" s="21">
        <v>72.813999999999993</v>
      </c>
      <c r="AL3263" s="21" t="s">
        <v>1321</v>
      </c>
      <c r="AM3263" s="21" t="s">
        <v>3003</v>
      </c>
      <c r="AN3263" s="21">
        <v>3</v>
      </c>
      <c r="AO3263" s="21">
        <v>50</v>
      </c>
      <c r="AP3263" s="21">
        <v>24</v>
      </c>
      <c r="AQ3263" s="22" t="s">
        <v>3016</v>
      </c>
      <c r="AR3263" s="21" t="s">
        <v>1279</v>
      </c>
      <c r="AS3263" t="s">
        <v>3085</v>
      </c>
    </row>
    <row r="3264" spans="1:45" x14ac:dyDescent="0.2">
      <c r="A3264" s="21" t="s">
        <v>1685</v>
      </c>
      <c r="B3264" s="21" t="s">
        <v>1146</v>
      </c>
      <c r="C3264" s="21" t="s">
        <v>1149</v>
      </c>
      <c r="D3264" s="21" t="s">
        <v>420</v>
      </c>
      <c r="E3264" s="21" t="s">
        <v>3093</v>
      </c>
      <c r="G3264" s="21" t="s">
        <v>153</v>
      </c>
      <c r="H3264" s="21" t="s">
        <v>1165</v>
      </c>
      <c r="I3264" s="21" t="s">
        <v>3087</v>
      </c>
      <c r="J3264" s="21">
        <v>55.266666666666602</v>
      </c>
      <c r="K3264">
        <v>-128.4</v>
      </c>
      <c r="L3264">
        <v>1100</v>
      </c>
      <c r="M3264" s="21" t="s">
        <v>3034</v>
      </c>
      <c r="O3264" s="21">
        <v>1992</v>
      </c>
      <c r="Q3264" s="21" t="s">
        <v>3086</v>
      </c>
      <c r="T3264" s="21">
        <v>-20</v>
      </c>
      <c r="U3264" s="21" t="s">
        <v>1147</v>
      </c>
      <c r="V3264" s="9" t="s">
        <v>1247</v>
      </c>
      <c r="W3264" s="21">
        <v>56</v>
      </c>
      <c r="X3264" s="9" t="s">
        <v>3088</v>
      </c>
      <c r="Y3264" t="s">
        <v>3217</v>
      </c>
      <c r="Z3264" s="22">
        <v>8</v>
      </c>
      <c r="AD3264" s="22" t="s">
        <v>1165</v>
      </c>
      <c r="AF3264" s="24" t="s">
        <v>153</v>
      </c>
      <c r="AG3264" t="s">
        <v>1160</v>
      </c>
      <c r="AH3264">
        <f t="shared" si="36"/>
        <v>4320</v>
      </c>
      <c r="AI3264" s="21" t="s">
        <v>153</v>
      </c>
      <c r="AJ3264" s="21" t="s">
        <v>1148</v>
      </c>
      <c r="AK3264" s="21">
        <v>75.569000000000003</v>
      </c>
      <c r="AL3264" s="21" t="s">
        <v>1321</v>
      </c>
      <c r="AM3264" s="21" t="s">
        <v>3003</v>
      </c>
      <c r="AN3264" s="21">
        <v>3</v>
      </c>
      <c r="AO3264" s="21">
        <v>50</v>
      </c>
      <c r="AP3264" s="21">
        <v>27</v>
      </c>
      <c r="AQ3264" s="22" t="s">
        <v>3016</v>
      </c>
      <c r="AR3264" s="21" t="s">
        <v>1279</v>
      </c>
      <c r="AS3264" t="s">
        <v>3085</v>
      </c>
    </row>
    <row r="3265" spans="1:45" x14ac:dyDescent="0.2">
      <c r="A3265" s="21" t="s">
        <v>1685</v>
      </c>
      <c r="B3265" s="21" t="s">
        <v>1146</v>
      </c>
      <c r="C3265" s="21" t="s">
        <v>1149</v>
      </c>
      <c r="D3265" s="21" t="s">
        <v>420</v>
      </c>
      <c r="E3265" s="21" t="s">
        <v>3093</v>
      </c>
      <c r="G3265" s="21" t="s">
        <v>153</v>
      </c>
      <c r="H3265" s="21" t="s">
        <v>1165</v>
      </c>
      <c r="I3265" s="21" t="s">
        <v>3087</v>
      </c>
      <c r="J3265" s="21">
        <v>55.266666666666602</v>
      </c>
      <c r="K3265">
        <v>-128.4</v>
      </c>
      <c r="L3265">
        <v>1100</v>
      </c>
      <c r="M3265" s="21" t="s">
        <v>3034</v>
      </c>
      <c r="O3265" s="21">
        <v>1992</v>
      </c>
      <c r="Q3265" s="21" t="s">
        <v>3086</v>
      </c>
      <c r="T3265" s="21">
        <v>-20</v>
      </c>
      <c r="U3265" s="21" t="s">
        <v>1147</v>
      </c>
      <c r="V3265" s="9" t="s">
        <v>1247</v>
      </c>
      <c r="W3265" s="21">
        <v>56</v>
      </c>
      <c r="X3265" s="9" t="s">
        <v>3088</v>
      </c>
      <c r="Y3265" t="s">
        <v>3217</v>
      </c>
      <c r="Z3265" s="22">
        <v>8</v>
      </c>
      <c r="AD3265" s="22" t="s">
        <v>1165</v>
      </c>
      <c r="AF3265" s="24" t="s">
        <v>153</v>
      </c>
      <c r="AG3265" t="s">
        <v>1160</v>
      </c>
      <c r="AH3265">
        <f t="shared" si="36"/>
        <v>4320</v>
      </c>
      <c r="AI3265" s="21" t="s">
        <v>153</v>
      </c>
      <c r="AJ3265" s="21" t="s">
        <v>1148</v>
      </c>
      <c r="AK3265" s="21">
        <v>77.484999999999999</v>
      </c>
      <c r="AL3265" s="21" t="s">
        <v>1321</v>
      </c>
      <c r="AM3265" s="21" t="s">
        <v>3003</v>
      </c>
      <c r="AN3265" s="21">
        <v>3</v>
      </c>
      <c r="AO3265" s="21">
        <v>50</v>
      </c>
      <c r="AP3265" s="21">
        <v>30</v>
      </c>
      <c r="AQ3265" s="22" t="s">
        <v>3016</v>
      </c>
      <c r="AR3265" s="21" t="s">
        <v>1279</v>
      </c>
      <c r="AS3265" t="s">
        <v>3085</v>
      </c>
    </row>
    <row r="3266" spans="1:45" x14ac:dyDescent="0.2">
      <c r="A3266" s="21" t="s">
        <v>1685</v>
      </c>
      <c r="B3266" s="21" t="s">
        <v>1146</v>
      </c>
      <c r="C3266" s="21" t="s">
        <v>1149</v>
      </c>
      <c r="D3266" s="21" t="s">
        <v>420</v>
      </c>
      <c r="E3266" s="21" t="s">
        <v>3093</v>
      </c>
      <c r="G3266" s="21" t="s">
        <v>153</v>
      </c>
      <c r="H3266" s="21" t="s">
        <v>1165</v>
      </c>
      <c r="I3266" s="21" t="s">
        <v>3087</v>
      </c>
      <c r="J3266" s="21">
        <v>55.266666666666602</v>
      </c>
      <c r="K3266">
        <v>-128.4</v>
      </c>
      <c r="L3266">
        <v>1100</v>
      </c>
      <c r="M3266" s="21" t="s">
        <v>3034</v>
      </c>
      <c r="O3266" s="21">
        <v>1992</v>
      </c>
      <c r="Q3266" s="21" t="s">
        <v>3086</v>
      </c>
      <c r="T3266" s="21">
        <v>-20</v>
      </c>
      <c r="U3266" s="21" t="s">
        <v>1147</v>
      </c>
      <c r="V3266" s="9" t="s">
        <v>1247</v>
      </c>
      <c r="W3266" s="21">
        <v>56</v>
      </c>
      <c r="X3266" s="9" t="s">
        <v>3088</v>
      </c>
      <c r="Y3266" t="s">
        <v>3218</v>
      </c>
      <c r="Z3266" s="22">
        <v>8</v>
      </c>
      <c r="AD3266" s="22" t="s">
        <v>1165</v>
      </c>
      <c r="AF3266" s="24" t="s">
        <v>153</v>
      </c>
      <c r="AG3266" t="s">
        <v>1160</v>
      </c>
      <c r="AH3266">
        <f t="shared" si="36"/>
        <v>4320</v>
      </c>
      <c r="AI3266" s="21" t="s">
        <v>153</v>
      </c>
      <c r="AJ3266" s="21" t="s">
        <v>1148</v>
      </c>
      <c r="AK3266" s="21">
        <v>0</v>
      </c>
      <c r="AL3266" s="21" t="s">
        <v>1321</v>
      </c>
      <c r="AM3266" s="21" t="s">
        <v>3003</v>
      </c>
      <c r="AN3266" s="21">
        <v>3</v>
      </c>
      <c r="AO3266" s="21">
        <v>50</v>
      </c>
      <c r="AP3266" s="21">
        <v>3</v>
      </c>
      <c r="AQ3266" s="22" t="s">
        <v>3016</v>
      </c>
      <c r="AR3266" s="21" t="s">
        <v>1279</v>
      </c>
      <c r="AS3266" t="s">
        <v>3085</v>
      </c>
    </row>
    <row r="3267" spans="1:45" x14ac:dyDescent="0.2">
      <c r="A3267" s="21" t="s">
        <v>1685</v>
      </c>
      <c r="B3267" s="21" t="s">
        <v>1146</v>
      </c>
      <c r="C3267" s="21" t="s">
        <v>1149</v>
      </c>
      <c r="D3267" s="21" t="s">
        <v>420</v>
      </c>
      <c r="E3267" s="21" t="s">
        <v>3093</v>
      </c>
      <c r="G3267" s="21" t="s">
        <v>153</v>
      </c>
      <c r="H3267" s="21" t="s">
        <v>1165</v>
      </c>
      <c r="I3267" s="21" t="s">
        <v>3087</v>
      </c>
      <c r="J3267" s="21">
        <v>55.266666666666602</v>
      </c>
      <c r="K3267">
        <v>-128.4</v>
      </c>
      <c r="L3267">
        <v>1100</v>
      </c>
      <c r="M3267" s="21" t="s">
        <v>3034</v>
      </c>
      <c r="O3267" s="21">
        <v>1992</v>
      </c>
      <c r="Q3267" s="21" t="s">
        <v>3086</v>
      </c>
      <c r="T3267" s="21">
        <v>-20</v>
      </c>
      <c r="U3267" s="21" t="s">
        <v>1147</v>
      </c>
      <c r="V3267" s="9" t="s">
        <v>1247</v>
      </c>
      <c r="W3267" s="21">
        <v>56</v>
      </c>
      <c r="X3267" s="9" t="s">
        <v>3088</v>
      </c>
      <c r="Y3267" t="s">
        <v>3218</v>
      </c>
      <c r="Z3267" s="22">
        <v>8</v>
      </c>
      <c r="AD3267" s="22" t="s">
        <v>1165</v>
      </c>
      <c r="AF3267" s="24" t="s">
        <v>153</v>
      </c>
      <c r="AG3267" t="s">
        <v>1160</v>
      </c>
      <c r="AH3267">
        <f t="shared" si="36"/>
        <v>4320</v>
      </c>
      <c r="AI3267" s="21" t="s">
        <v>153</v>
      </c>
      <c r="AJ3267" s="21" t="s">
        <v>1148</v>
      </c>
      <c r="AK3267" s="21">
        <v>19.521000000000001</v>
      </c>
      <c r="AL3267" s="21" t="s">
        <v>1321</v>
      </c>
      <c r="AM3267" s="21" t="s">
        <v>3003</v>
      </c>
      <c r="AN3267" s="21">
        <v>3</v>
      </c>
      <c r="AO3267" s="21">
        <v>50</v>
      </c>
      <c r="AP3267" s="21">
        <v>12</v>
      </c>
      <c r="AQ3267" s="22" t="s">
        <v>3016</v>
      </c>
      <c r="AR3267" s="21" t="s">
        <v>1279</v>
      </c>
      <c r="AS3267" t="s">
        <v>3085</v>
      </c>
    </row>
    <row r="3268" spans="1:45" x14ac:dyDescent="0.2">
      <c r="A3268" s="21" t="s">
        <v>1685</v>
      </c>
      <c r="B3268" s="21" t="s">
        <v>1146</v>
      </c>
      <c r="C3268" s="21" t="s">
        <v>1149</v>
      </c>
      <c r="D3268" s="21" t="s">
        <v>420</v>
      </c>
      <c r="E3268" s="21" t="s">
        <v>3093</v>
      </c>
      <c r="G3268" s="21" t="s">
        <v>153</v>
      </c>
      <c r="H3268" s="21" t="s">
        <v>1165</v>
      </c>
      <c r="I3268" s="21" t="s">
        <v>3087</v>
      </c>
      <c r="J3268" s="21">
        <v>55.266666666666602</v>
      </c>
      <c r="K3268">
        <v>-128.4</v>
      </c>
      <c r="L3268">
        <v>1100</v>
      </c>
      <c r="M3268" s="21" t="s">
        <v>3034</v>
      </c>
      <c r="O3268" s="21">
        <v>1992</v>
      </c>
      <c r="Q3268" s="21" t="s">
        <v>3086</v>
      </c>
      <c r="T3268" s="21">
        <v>-20</v>
      </c>
      <c r="U3268" s="21" t="s">
        <v>1147</v>
      </c>
      <c r="V3268" s="9" t="s">
        <v>1247</v>
      </c>
      <c r="W3268" s="21">
        <v>56</v>
      </c>
      <c r="X3268" s="9" t="s">
        <v>3088</v>
      </c>
      <c r="Y3268" t="s">
        <v>3218</v>
      </c>
      <c r="Z3268" s="22">
        <v>8</v>
      </c>
      <c r="AD3268" s="22" t="s">
        <v>1165</v>
      </c>
      <c r="AF3268" s="24" t="s">
        <v>153</v>
      </c>
      <c r="AG3268" t="s">
        <v>1160</v>
      </c>
      <c r="AH3268">
        <f t="shared" si="36"/>
        <v>4320</v>
      </c>
      <c r="AI3268" s="21" t="s">
        <v>153</v>
      </c>
      <c r="AJ3268" s="21" t="s">
        <v>1148</v>
      </c>
      <c r="AK3268" s="21">
        <v>26.946000000000002</v>
      </c>
      <c r="AL3268" s="21" t="s">
        <v>1321</v>
      </c>
      <c r="AM3268" s="21" t="s">
        <v>3003</v>
      </c>
      <c r="AN3268" s="21">
        <v>3</v>
      </c>
      <c r="AO3268" s="21">
        <v>50</v>
      </c>
      <c r="AP3268" s="21">
        <v>15</v>
      </c>
      <c r="AQ3268" s="22" t="s">
        <v>3016</v>
      </c>
      <c r="AR3268" s="21" t="s">
        <v>1279</v>
      </c>
      <c r="AS3268" t="s">
        <v>3085</v>
      </c>
    </row>
    <row r="3269" spans="1:45" x14ac:dyDescent="0.2">
      <c r="A3269" s="21" t="s">
        <v>1685</v>
      </c>
      <c r="B3269" s="21" t="s">
        <v>1146</v>
      </c>
      <c r="C3269" s="21" t="s">
        <v>1149</v>
      </c>
      <c r="D3269" s="21" t="s">
        <v>420</v>
      </c>
      <c r="E3269" s="21" t="s">
        <v>3093</v>
      </c>
      <c r="G3269" s="21" t="s">
        <v>153</v>
      </c>
      <c r="H3269" s="21" t="s">
        <v>1165</v>
      </c>
      <c r="I3269" s="21" t="s">
        <v>3087</v>
      </c>
      <c r="J3269" s="21">
        <v>55.266666666666602</v>
      </c>
      <c r="K3269">
        <v>-128.4</v>
      </c>
      <c r="L3269">
        <v>1100</v>
      </c>
      <c r="M3269" s="21" t="s">
        <v>3034</v>
      </c>
      <c r="O3269" s="21">
        <v>1992</v>
      </c>
      <c r="Q3269" s="21" t="s">
        <v>3086</v>
      </c>
      <c r="T3269" s="21">
        <v>-20</v>
      </c>
      <c r="U3269" s="21" t="s">
        <v>1147</v>
      </c>
      <c r="V3269" s="9" t="s">
        <v>1247</v>
      </c>
      <c r="W3269" s="21">
        <v>56</v>
      </c>
      <c r="X3269" s="9" t="s">
        <v>3088</v>
      </c>
      <c r="Y3269" t="s">
        <v>3218</v>
      </c>
      <c r="Z3269" s="22">
        <v>8</v>
      </c>
      <c r="AD3269" s="22" t="s">
        <v>1165</v>
      </c>
      <c r="AF3269" s="24" t="s">
        <v>153</v>
      </c>
      <c r="AG3269" t="s">
        <v>1160</v>
      </c>
      <c r="AH3269">
        <f t="shared" si="36"/>
        <v>4320</v>
      </c>
      <c r="AI3269" s="21" t="s">
        <v>153</v>
      </c>
      <c r="AJ3269" s="21" t="s">
        <v>1148</v>
      </c>
      <c r="AK3269" s="21">
        <v>34.012</v>
      </c>
      <c r="AL3269" s="21" t="s">
        <v>1321</v>
      </c>
      <c r="AM3269" s="21">
        <f>36.048-32.455</f>
        <v>3.5930000000000035</v>
      </c>
      <c r="AN3269" s="21">
        <v>3</v>
      </c>
      <c r="AO3269" s="21">
        <v>50</v>
      </c>
      <c r="AP3269" s="21">
        <v>18</v>
      </c>
      <c r="AQ3269" s="22" t="s">
        <v>3016</v>
      </c>
      <c r="AR3269" s="21" t="s">
        <v>1279</v>
      </c>
      <c r="AS3269" t="s">
        <v>3085</v>
      </c>
    </row>
    <row r="3270" spans="1:45" x14ac:dyDescent="0.2">
      <c r="A3270" s="21" t="s">
        <v>1685</v>
      </c>
      <c r="B3270" s="21" t="s">
        <v>1146</v>
      </c>
      <c r="C3270" s="21" t="s">
        <v>1149</v>
      </c>
      <c r="D3270" s="21" t="s">
        <v>420</v>
      </c>
      <c r="E3270" s="21" t="s">
        <v>3093</v>
      </c>
      <c r="G3270" s="21" t="s">
        <v>153</v>
      </c>
      <c r="H3270" s="21" t="s">
        <v>1165</v>
      </c>
      <c r="I3270" s="21" t="s">
        <v>3087</v>
      </c>
      <c r="J3270" s="21">
        <v>55.266666666666602</v>
      </c>
      <c r="K3270">
        <v>-128.4</v>
      </c>
      <c r="L3270">
        <v>1100</v>
      </c>
      <c r="M3270" s="21" t="s">
        <v>3034</v>
      </c>
      <c r="O3270" s="21">
        <v>1992</v>
      </c>
      <c r="Q3270" s="21" t="s">
        <v>3086</v>
      </c>
      <c r="T3270" s="21">
        <v>-20</v>
      </c>
      <c r="U3270" s="21" t="s">
        <v>1147</v>
      </c>
      <c r="V3270" s="9" t="s">
        <v>1247</v>
      </c>
      <c r="W3270" s="21">
        <v>56</v>
      </c>
      <c r="X3270" s="9" t="s">
        <v>3088</v>
      </c>
      <c r="Y3270" t="s">
        <v>3218</v>
      </c>
      <c r="Z3270" s="22">
        <v>8</v>
      </c>
      <c r="AD3270" s="22" t="s">
        <v>1165</v>
      </c>
      <c r="AF3270" s="24" t="s">
        <v>153</v>
      </c>
      <c r="AG3270" t="s">
        <v>1160</v>
      </c>
      <c r="AH3270">
        <f t="shared" si="36"/>
        <v>4320</v>
      </c>
      <c r="AI3270" s="21" t="s">
        <v>153</v>
      </c>
      <c r="AJ3270" s="21" t="s">
        <v>1148</v>
      </c>
      <c r="AK3270" s="21">
        <v>40.719000000000001</v>
      </c>
      <c r="AL3270" s="21" t="s">
        <v>1321</v>
      </c>
      <c r="AM3270" s="21">
        <f>43.473-38.443</f>
        <v>5.0300000000000011</v>
      </c>
      <c r="AN3270" s="21">
        <v>3</v>
      </c>
      <c r="AO3270" s="21">
        <v>50</v>
      </c>
      <c r="AP3270" s="21">
        <v>21</v>
      </c>
      <c r="AQ3270" s="22" t="s">
        <v>3016</v>
      </c>
      <c r="AR3270" s="21" t="s">
        <v>1279</v>
      </c>
      <c r="AS3270" t="s">
        <v>3085</v>
      </c>
    </row>
    <row r="3271" spans="1:45" x14ac:dyDescent="0.2">
      <c r="A3271" s="21" t="s">
        <v>1685</v>
      </c>
      <c r="B3271" s="21" t="s">
        <v>1146</v>
      </c>
      <c r="C3271" s="21" t="s">
        <v>1149</v>
      </c>
      <c r="D3271" s="21" t="s">
        <v>420</v>
      </c>
      <c r="E3271" s="21" t="s">
        <v>3093</v>
      </c>
      <c r="G3271" s="21" t="s">
        <v>153</v>
      </c>
      <c r="H3271" s="21" t="s">
        <v>1165</v>
      </c>
      <c r="I3271" s="21" t="s">
        <v>3087</v>
      </c>
      <c r="J3271" s="21">
        <v>55.266666666666602</v>
      </c>
      <c r="K3271">
        <v>-128.4</v>
      </c>
      <c r="L3271">
        <v>1100</v>
      </c>
      <c r="M3271" s="21" t="s">
        <v>3034</v>
      </c>
      <c r="O3271" s="21">
        <v>1992</v>
      </c>
      <c r="Q3271" s="21" t="s">
        <v>3086</v>
      </c>
      <c r="T3271" s="21">
        <v>-20</v>
      </c>
      <c r="U3271" s="21" t="s">
        <v>1147</v>
      </c>
      <c r="V3271" s="9" t="s">
        <v>1247</v>
      </c>
      <c r="W3271" s="21">
        <v>56</v>
      </c>
      <c r="X3271" s="9" t="s">
        <v>3088</v>
      </c>
      <c r="Y3271" t="s">
        <v>3218</v>
      </c>
      <c r="Z3271" s="22">
        <v>8</v>
      </c>
      <c r="AD3271" s="22" t="s">
        <v>1165</v>
      </c>
      <c r="AF3271" s="24" t="s">
        <v>153</v>
      </c>
      <c r="AG3271" t="s">
        <v>1160</v>
      </c>
      <c r="AH3271">
        <f t="shared" si="36"/>
        <v>4320</v>
      </c>
      <c r="AI3271" s="21" t="s">
        <v>153</v>
      </c>
      <c r="AJ3271" s="21" t="s">
        <v>1148</v>
      </c>
      <c r="AK3271" s="21">
        <v>44.79</v>
      </c>
      <c r="AL3271" s="21" t="s">
        <v>1321</v>
      </c>
      <c r="AM3271" s="21" t="s">
        <v>3003</v>
      </c>
      <c r="AN3271" s="21">
        <v>3</v>
      </c>
      <c r="AO3271" s="21">
        <v>50</v>
      </c>
      <c r="AP3271" s="21">
        <v>24</v>
      </c>
      <c r="AQ3271" s="22" t="s">
        <v>3016</v>
      </c>
      <c r="AR3271" s="21" t="s">
        <v>1279</v>
      </c>
      <c r="AS3271" t="s">
        <v>3085</v>
      </c>
    </row>
    <row r="3272" spans="1:45" x14ac:dyDescent="0.2">
      <c r="A3272" s="21" t="s">
        <v>1685</v>
      </c>
      <c r="B3272" s="21" t="s">
        <v>1146</v>
      </c>
      <c r="C3272" s="21" t="s">
        <v>1149</v>
      </c>
      <c r="D3272" s="21" t="s">
        <v>420</v>
      </c>
      <c r="E3272" s="21" t="s">
        <v>3093</v>
      </c>
      <c r="G3272" s="21" t="s">
        <v>153</v>
      </c>
      <c r="H3272" s="21" t="s">
        <v>1165</v>
      </c>
      <c r="I3272" s="21" t="s">
        <v>3087</v>
      </c>
      <c r="J3272" s="21">
        <v>55.266666666666602</v>
      </c>
      <c r="K3272">
        <v>-128.4</v>
      </c>
      <c r="L3272">
        <v>1100</v>
      </c>
      <c r="M3272" s="21" t="s">
        <v>3034</v>
      </c>
      <c r="O3272" s="21">
        <v>1992</v>
      </c>
      <c r="Q3272" s="21" t="s">
        <v>3086</v>
      </c>
      <c r="T3272" s="21">
        <v>-20</v>
      </c>
      <c r="U3272" s="21" t="s">
        <v>1147</v>
      </c>
      <c r="V3272" s="9" t="s">
        <v>1247</v>
      </c>
      <c r="W3272" s="21">
        <v>56</v>
      </c>
      <c r="X3272" s="9" t="s">
        <v>3088</v>
      </c>
      <c r="Y3272" t="s">
        <v>3218</v>
      </c>
      <c r="Z3272" s="22">
        <v>8</v>
      </c>
      <c r="AD3272" s="22" t="s">
        <v>1165</v>
      </c>
      <c r="AF3272" s="24" t="s">
        <v>153</v>
      </c>
      <c r="AG3272" t="s">
        <v>1160</v>
      </c>
      <c r="AH3272">
        <f t="shared" si="36"/>
        <v>4320</v>
      </c>
      <c r="AI3272" s="21" t="s">
        <v>153</v>
      </c>
      <c r="AJ3272" s="21" t="s">
        <v>1148</v>
      </c>
      <c r="AK3272" s="21">
        <v>46.826000000000001</v>
      </c>
      <c r="AL3272" s="21" t="s">
        <v>1321</v>
      </c>
      <c r="AM3272" s="21" t="s">
        <v>3003</v>
      </c>
      <c r="AN3272" s="21">
        <v>3</v>
      </c>
      <c r="AO3272" s="21">
        <v>50</v>
      </c>
      <c r="AP3272" s="21">
        <v>27</v>
      </c>
      <c r="AQ3272" s="22" t="s">
        <v>3016</v>
      </c>
      <c r="AR3272" s="21" t="s">
        <v>1279</v>
      </c>
      <c r="AS3272" t="s">
        <v>3085</v>
      </c>
    </row>
    <row r="3273" spans="1:45" x14ac:dyDescent="0.2">
      <c r="A3273" s="21" t="s">
        <v>1685</v>
      </c>
      <c r="B3273" s="21" t="s">
        <v>1146</v>
      </c>
      <c r="C3273" s="21" t="s">
        <v>1149</v>
      </c>
      <c r="D3273" s="21" t="s">
        <v>420</v>
      </c>
      <c r="E3273" s="21" t="s">
        <v>3093</v>
      </c>
      <c r="G3273" s="21" t="s">
        <v>153</v>
      </c>
      <c r="H3273" s="21" t="s">
        <v>1165</v>
      </c>
      <c r="I3273" s="21" t="s">
        <v>3087</v>
      </c>
      <c r="J3273" s="21">
        <v>55.266666666666602</v>
      </c>
      <c r="K3273">
        <v>-128.4</v>
      </c>
      <c r="L3273">
        <v>1100</v>
      </c>
      <c r="M3273" s="21" t="s">
        <v>3034</v>
      </c>
      <c r="O3273" s="21">
        <v>1992</v>
      </c>
      <c r="Q3273" s="21" t="s">
        <v>3086</v>
      </c>
      <c r="T3273" s="21">
        <v>-20</v>
      </c>
      <c r="U3273" s="21" t="s">
        <v>1147</v>
      </c>
      <c r="V3273" s="9" t="s">
        <v>1247</v>
      </c>
      <c r="W3273" s="21">
        <v>56</v>
      </c>
      <c r="X3273" s="9" t="s">
        <v>3088</v>
      </c>
      <c r="Y3273" t="s">
        <v>3218</v>
      </c>
      <c r="Z3273" s="22">
        <v>8</v>
      </c>
      <c r="AD3273" s="22" t="s">
        <v>1165</v>
      </c>
      <c r="AF3273" s="24" t="s">
        <v>153</v>
      </c>
      <c r="AG3273" t="s">
        <v>1160</v>
      </c>
      <c r="AH3273">
        <f t="shared" si="36"/>
        <v>4320</v>
      </c>
      <c r="AI3273" s="21" t="s">
        <v>153</v>
      </c>
      <c r="AJ3273" s="21" t="s">
        <v>1148</v>
      </c>
      <c r="AK3273" s="21">
        <v>49.701000000000001</v>
      </c>
      <c r="AL3273" s="21" t="s">
        <v>1321</v>
      </c>
      <c r="AM3273" s="21" t="s">
        <v>3003</v>
      </c>
      <c r="AN3273" s="21">
        <v>3</v>
      </c>
      <c r="AO3273" s="21">
        <v>50</v>
      </c>
      <c r="AP3273" s="21">
        <v>30</v>
      </c>
      <c r="AQ3273" s="22" t="s">
        <v>3016</v>
      </c>
      <c r="AR3273" s="21" t="s">
        <v>1279</v>
      </c>
      <c r="AS3273" t="s">
        <v>3085</v>
      </c>
    </row>
    <row r="3274" spans="1:45" x14ac:dyDescent="0.2">
      <c r="A3274" s="21" t="s">
        <v>1760</v>
      </c>
      <c r="B3274" s="21" t="s">
        <v>1146</v>
      </c>
      <c r="C3274" s="21" t="s">
        <v>1149</v>
      </c>
      <c r="D3274" s="21" t="s">
        <v>1758</v>
      </c>
      <c r="E3274" s="21" t="s">
        <v>1759</v>
      </c>
      <c r="F3274" s="25"/>
      <c r="G3274" s="21" t="s">
        <v>1165</v>
      </c>
      <c r="H3274" s="21" t="s">
        <v>1165</v>
      </c>
      <c r="I3274" s="21" t="s">
        <v>3110</v>
      </c>
      <c r="L3274" t="s">
        <v>3111</v>
      </c>
      <c r="M3274" s="21" t="s">
        <v>1157</v>
      </c>
      <c r="O3274" s="21">
        <v>2011</v>
      </c>
      <c r="P3274">
        <v>2011</v>
      </c>
      <c r="U3274" s="21" t="s">
        <v>1246</v>
      </c>
      <c r="W3274">
        <v>0</v>
      </c>
      <c r="X3274" s="9" t="s">
        <v>1217</v>
      </c>
      <c r="Z3274" s="9" t="s">
        <v>3112</v>
      </c>
      <c r="AD3274" s="22"/>
      <c r="AF3274" s="24" t="s">
        <v>1165</v>
      </c>
      <c r="AI3274" s="21" t="s">
        <v>1165</v>
      </c>
      <c r="AJ3274" s="21" t="s">
        <v>1148</v>
      </c>
      <c r="AK3274" s="21">
        <v>0</v>
      </c>
      <c r="AL3274" s="21" t="s">
        <v>1277</v>
      </c>
      <c r="AM3274">
        <v>0</v>
      </c>
      <c r="AN3274" s="21">
        <v>3</v>
      </c>
      <c r="AO3274" s="21">
        <v>20</v>
      </c>
      <c r="AP3274" s="21">
        <v>0</v>
      </c>
      <c r="AQ3274" s="22" t="s">
        <v>3114</v>
      </c>
      <c r="AR3274" s="21" t="s">
        <v>1155</v>
      </c>
      <c r="AS3274" t="s">
        <v>3113</v>
      </c>
    </row>
    <row r="3275" spans="1:45" x14ac:dyDescent="0.2">
      <c r="A3275" s="21" t="s">
        <v>1760</v>
      </c>
      <c r="B3275" s="21" t="s">
        <v>1146</v>
      </c>
      <c r="C3275" s="21" t="s">
        <v>1149</v>
      </c>
      <c r="D3275" s="21" t="s">
        <v>1758</v>
      </c>
      <c r="E3275" s="21" t="s">
        <v>1759</v>
      </c>
      <c r="F3275" s="25"/>
      <c r="G3275" s="21" t="s">
        <v>1165</v>
      </c>
      <c r="H3275" s="21" t="s">
        <v>1165</v>
      </c>
      <c r="I3275" s="21" t="s">
        <v>3110</v>
      </c>
      <c r="L3275" t="s">
        <v>3111</v>
      </c>
      <c r="M3275" s="21" t="s">
        <v>1157</v>
      </c>
      <c r="O3275" s="21">
        <v>2011</v>
      </c>
      <c r="P3275">
        <v>2011</v>
      </c>
      <c r="U3275" s="21" t="s">
        <v>1246</v>
      </c>
      <c r="W3275">
        <v>3.5880000000000001</v>
      </c>
      <c r="X3275" s="9" t="s">
        <v>1217</v>
      </c>
      <c r="Z3275" s="9" t="s">
        <v>3112</v>
      </c>
      <c r="AD3275" s="22"/>
      <c r="AF3275" s="24" t="s">
        <v>1165</v>
      </c>
      <c r="AI3275" s="21" t="s">
        <v>1165</v>
      </c>
      <c r="AJ3275" s="21" t="s">
        <v>1148</v>
      </c>
      <c r="AK3275" s="21">
        <v>0</v>
      </c>
      <c r="AL3275" s="21" t="s">
        <v>1277</v>
      </c>
      <c r="AM3275">
        <v>0</v>
      </c>
      <c r="AN3275" s="21">
        <v>3</v>
      </c>
      <c r="AO3275" s="21">
        <v>20</v>
      </c>
      <c r="AP3275" s="21">
        <v>3.5880000000000001</v>
      </c>
      <c r="AQ3275" s="22" t="s">
        <v>3114</v>
      </c>
      <c r="AR3275" s="21" t="s">
        <v>1155</v>
      </c>
      <c r="AS3275" t="s">
        <v>3113</v>
      </c>
    </row>
    <row r="3276" spans="1:45" x14ac:dyDescent="0.2">
      <c r="A3276" s="21" t="s">
        <v>1760</v>
      </c>
      <c r="B3276" s="21" t="s">
        <v>1146</v>
      </c>
      <c r="C3276" s="21" t="s">
        <v>1149</v>
      </c>
      <c r="D3276" s="21" t="s">
        <v>1758</v>
      </c>
      <c r="E3276" s="21" t="s">
        <v>1759</v>
      </c>
      <c r="F3276" s="25"/>
      <c r="G3276" s="21" t="s">
        <v>1165</v>
      </c>
      <c r="H3276" s="21" t="s">
        <v>1165</v>
      </c>
      <c r="I3276" s="21" t="s">
        <v>3110</v>
      </c>
      <c r="L3276" t="s">
        <v>3111</v>
      </c>
      <c r="M3276" s="21" t="s">
        <v>1157</v>
      </c>
      <c r="O3276" s="21">
        <v>2011</v>
      </c>
      <c r="P3276">
        <v>2011</v>
      </c>
      <c r="U3276" s="21" t="s">
        <v>1246</v>
      </c>
      <c r="W3276">
        <v>6.9770000000000003</v>
      </c>
      <c r="X3276" s="9" t="s">
        <v>1217</v>
      </c>
      <c r="Z3276" s="9" t="s">
        <v>3112</v>
      </c>
      <c r="AD3276" s="22"/>
      <c r="AF3276" s="24" t="s">
        <v>1165</v>
      </c>
      <c r="AI3276" s="21" t="s">
        <v>1165</v>
      </c>
      <c r="AJ3276" s="21" t="s">
        <v>1148</v>
      </c>
      <c r="AK3276" s="21">
        <v>0</v>
      </c>
      <c r="AL3276" s="21" t="s">
        <v>1277</v>
      </c>
      <c r="AM3276">
        <v>0</v>
      </c>
      <c r="AN3276" s="21">
        <v>3</v>
      </c>
      <c r="AO3276" s="21">
        <v>20</v>
      </c>
      <c r="AP3276" s="21">
        <v>6.9770000000000003</v>
      </c>
      <c r="AQ3276" s="22" t="s">
        <v>3114</v>
      </c>
      <c r="AR3276" s="21" t="s">
        <v>1155</v>
      </c>
      <c r="AS3276" t="s">
        <v>3113</v>
      </c>
    </row>
    <row r="3277" spans="1:45" x14ac:dyDescent="0.2">
      <c r="A3277" s="21" t="s">
        <v>1760</v>
      </c>
      <c r="B3277" s="21" t="s">
        <v>1146</v>
      </c>
      <c r="C3277" s="21" t="s">
        <v>1149</v>
      </c>
      <c r="D3277" s="21" t="s">
        <v>1758</v>
      </c>
      <c r="E3277" s="21" t="s">
        <v>1759</v>
      </c>
      <c r="F3277" s="25"/>
      <c r="G3277" s="21" t="s">
        <v>1165</v>
      </c>
      <c r="H3277" s="21" t="s">
        <v>1165</v>
      </c>
      <c r="I3277" s="21" t="s">
        <v>3110</v>
      </c>
      <c r="L3277" t="s">
        <v>3111</v>
      </c>
      <c r="M3277" s="21" t="s">
        <v>1157</v>
      </c>
      <c r="O3277" s="21">
        <v>2011</v>
      </c>
      <c r="P3277">
        <v>2011</v>
      </c>
      <c r="U3277" s="21" t="s">
        <v>1246</v>
      </c>
      <c r="W3277">
        <v>9.8119999999999994</v>
      </c>
      <c r="X3277" s="9" t="s">
        <v>1217</v>
      </c>
      <c r="Z3277" s="9" t="s">
        <v>3112</v>
      </c>
      <c r="AD3277" s="22"/>
      <c r="AF3277" s="24" t="s">
        <v>1165</v>
      </c>
      <c r="AI3277" s="21" t="s">
        <v>1165</v>
      </c>
      <c r="AJ3277" s="21" t="s">
        <v>1148</v>
      </c>
      <c r="AK3277" s="21">
        <v>0</v>
      </c>
      <c r="AL3277" s="21" t="s">
        <v>1277</v>
      </c>
      <c r="AM3277">
        <v>0</v>
      </c>
      <c r="AN3277" s="21">
        <v>3</v>
      </c>
      <c r="AO3277" s="21">
        <v>20</v>
      </c>
      <c r="AP3277" s="21">
        <v>9.8119999999999994</v>
      </c>
      <c r="AQ3277" s="22" t="s">
        <v>3114</v>
      </c>
      <c r="AR3277" s="21" t="s">
        <v>1155</v>
      </c>
      <c r="AS3277" t="s">
        <v>3113</v>
      </c>
    </row>
    <row r="3278" spans="1:45" x14ac:dyDescent="0.2">
      <c r="A3278" s="21" t="s">
        <v>1760</v>
      </c>
      <c r="B3278" s="21" t="s">
        <v>1146</v>
      </c>
      <c r="C3278" s="21" t="s">
        <v>1149</v>
      </c>
      <c r="D3278" s="21" t="s">
        <v>1758</v>
      </c>
      <c r="E3278" s="21" t="s">
        <v>1759</v>
      </c>
      <c r="F3278" s="25"/>
      <c r="G3278" s="21" t="s">
        <v>1165</v>
      </c>
      <c r="H3278" s="21" t="s">
        <v>1165</v>
      </c>
      <c r="I3278" s="21" t="s">
        <v>3110</v>
      </c>
      <c r="L3278" t="s">
        <v>3111</v>
      </c>
      <c r="M3278" s="21" t="s">
        <v>1157</v>
      </c>
      <c r="O3278" s="21">
        <v>2011</v>
      </c>
      <c r="P3278">
        <v>2011</v>
      </c>
      <c r="U3278" s="21" t="s">
        <v>1246</v>
      </c>
      <c r="W3278">
        <v>13.000999999999999</v>
      </c>
      <c r="X3278" s="9" t="s">
        <v>1217</v>
      </c>
      <c r="Z3278" s="9" t="s">
        <v>3112</v>
      </c>
      <c r="AD3278" s="22"/>
      <c r="AF3278" s="24" t="s">
        <v>1165</v>
      </c>
      <c r="AI3278" s="21" t="s">
        <v>1165</v>
      </c>
      <c r="AJ3278" s="21" t="s">
        <v>1148</v>
      </c>
      <c r="AK3278" s="21">
        <v>0</v>
      </c>
      <c r="AL3278" s="21" t="s">
        <v>1277</v>
      </c>
      <c r="AM3278">
        <v>0</v>
      </c>
      <c r="AN3278" s="21">
        <v>3</v>
      </c>
      <c r="AO3278" s="21">
        <v>20</v>
      </c>
      <c r="AP3278" s="21">
        <v>13.000999999999999</v>
      </c>
      <c r="AQ3278" s="22" t="s">
        <v>3114</v>
      </c>
      <c r="AR3278" s="21" t="s">
        <v>1155</v>
      </c>
      <c r="AS3278" t="s">
        <v>3113</v>
      </c>
    </row>
    <row r="3279" spans="1:45" x14ac:dyDescent="0.2">
      <c r="A3279" s="21" t="s">
        <v>1760</v>
      </c>
      <c r="B3279" s="21" t="s">
        <v>1146</v>
      </c>
      <c r="C3279" s="21" t="s">
        <v>1149</v>
      </c>
      <c r="D3279" s="21" t="s">
        <v>1758</v>
      </c>
      <c r="E3279" s="21" t="s">
        <v>1759</v>
      </c>
      <c r="F3279" s="25"/>
      <c r="G3279" s="21" t="s">
        <v>1165</v>
      </c>
      <c r="H3279" s="21" t="s">
        <v>1165</v>
      </c>
      <c r="I3279" s="21" t="s">
        <v>3110</v>
      </c>
      <c r="L3279" t="s">
        <v>3111</v>
      </c>
      <c r="M3279" s="21" t="s">
        <v>1157</v>
      </c>
      <c r="O3279" s="21">
        <v>2011</v>
      </c>
      <c r="P3279">
        <v>2011</v>
      </c>
      <c r="U3279" s="21" t="s">
        <v>1246</v>
      </c>
      <c r="W3279">
        <v>16.899000000000001</v>
      </c>
      <c r="X3279" s="9" t="s">
        <v>1217</v>
      </c>
      <c r="Z3279" s="9" t="s">
        <v>3112</v>
      </c>
      <c r="AD3279" s="22"/>
      <c r="AF3279" s="24" t="s">
        <v>1165</v>
      </c>
      <c r="AI3279" s="21" t="s">
        <v>1165</v>
      </c>
      <c r="AJ3279" s="21" t="s">
        <v>1148</v>
      </c>
      <c r="AK3279" s="21">
        <v>0</v>
      </c>
      <c r="AL3279" s="21" t="s">
        <v>1277</v>
      </c>
      <c r="AM3279">
        <v>0</v>
      </c>
      <c r="AN3279" s="21">
        <v>3</v>
      </c>
      <c r="AO3279" s="21">
        <v>20</v>
      </c>
      <c r="AP3279" s="21">
        <v>16.899000000000001</v>
      </c>
      <c r="AQ3279" s="22" t="s">
        <v>3114</v>
      </c>
      <c r="AR3279" s="21" t="s">
        <v>1155</v>
      </c>
      <c r="AS3279" t="s">
        <v>3113</v>
      </c>
    </row>
    <row r="3280" spans="1:45" x14ac:dyDescent="0.2">
      <c r="A3280" s="21" t="s">
        <v>1760</v>
      </c>
      <c r="B3280" s="21" t="s">
        <v>1146</v>
      </c>
      <c r="C3280" s="21" t="s">
        <v>1149</v>
      </c>
      <c r="D3280" s="21" t="s">
        <v>1758</v>
      </c>
      <c r="E3280" s="21" t="s">
        <v>1759</v>
      </c>
      <c r="F3280" s="25"/>
      <c r="G3280" s="21" t="s">
        <v>1165</v>
      </c>
      <c r="H3280" s="21" t="s">
        <v>1165</v>
      </c>
      <c r="I3280" s="21" t="s">
        <v>3110</v>
      </c>
      <c r="L3280" t="s">
        <v>3111</v>
      </c>
      <c r="M3280" s="21" t="s">
        <v>1157</v>
      </c>
      <c r="O3280" s="21">
        <v>2011</v>
      </c>
      <c r="P3280">
        <v>2011</v>
      </c>
      <c r="U3280" s="21" t="s">
        <v>1246</v>
      </c>
      <c r="W3280">
        <v>19.911000000000001</v>
      </c>
      <c r="X3280" s="9" t="s">
        <v>1217</v>
      </c>
      <c r="Z3280" s="9" t="s">
        <v>3112</v>
      </c>
      <c r="AD3280" s="22"/>
      <c r="AF3280" s="24" t="s">
        <v>1165</v>
      </c>
      <c r="AI3280" s="21" t="s">
        <v>1165</v>
      </c>
      <c r="AJ3280" s="21" t="s">
        <v>1148</v>
      </c>
      <c r="AK3280" s="21">
        <v>0</v>
      </c>
      <c r="AL3280" s="21" t="s">
        <v>1277</v>
      </c>
      <c r="AM3280">
        <v>0</v>
      </c>
      <c r="AN3280" s="21">
        <v>3</v>
      </c>
      <c r="AO3280" s="21">
        <v>20</v>
      </c>
      <c r="AP3280" s="21">
        <v>19.911000000000001</v>
      </c>
      <c r="AQ3280" s="22" t="s">
        <v>3114</v>
      </c>
      <c r="AR3280" s="21" t="s">
        <v>1155</v>
      </c>
      <c r="AS3280" t="s">
        <v>3113</v>
      </c>
    </row>
    <row r="3281" spans="1:45" x14ac:dyDescent="0.2">
      <c r="A3281" s="21" t="s">
        <v>1760</v>
      </c>
      <c r="B3281" s="21" t="s">
        <v>1146</v>
      </c>
      <c r="C3281" s="21" t="s">
        <v>1149</v>
      </c>
      <c r="D3281" s="21" t="s">
        <v>1758</v>
      </c>
      <c r="E3281" s="21" t="s">
        <v>1759</v>
      </c>
      <c r="F3281" s="25"/>
      <c r="G3281" s="21" t="s">
        <v>1165</v>
      </c>
      <c r="H3281" s="21" t="s">
        <v>1165</v>
      </c>
      <c r="I3281" s="21" t="s">
        <v>3110</v>
      </c>
      <c r="L3281" t="s">
        <v>3111</v>
      </c>
      <c r="M3281" s="21" t="s">
        <v>1157</v>
      </c>
      <c r="O3281" s="21">
        <v>2011</v>
      </c>
      <c r="P3281">
        <v>2011</v>
      </c>
      <c r="U3281" s="21" t="s">
        <v>1246</v>
      </c>
      <c r="W3281">
        <v>23.986999999999998</v>
      </c>
      <c r="X3281" s="9" t="s">
        <v>1217</v>
      </c>
      <c r="Z3281" s="9" t="s">
        <v>3112</v>
      </c>
      <c r="AD3281" s="22"/>
      <c r="AF3281" s="24" t="s">
        <v>1165</v>
      </c>
      <c r="AI3281" s="21" t="s">
        <v>1165</v>
      </c>
      <c r="AJ3281" s="21" t="s">
        <v>1148</v>
      </c>
      <c r="AK3281" s="21">
        <v>0</v>
      </c>
      <c r="AL3281" s="21" t="s">
        <v>1277</v>
      </c>
      <c r="AM3281">
        <v>0</v>
      </c>
      <c r="AN3281" s="21">
        <v>3</v>
      </c>
      <c r="AO3281" s="21">
        <v>20</v>
      </c>
      <c r="AP3281" s="21">
        <v>23.986999999999998</v>
      </c>
      <c r="AQ3281" s="22" t="s">
        <v>3114</v>
      </c>
      <c r="AR3281" s="21" t="s">
        <v>1155</v>
      </c>
      <c r="AS3281" t="s">
        <v>3113</v>
      </c>
    </row>
    <row r="3282" spans="1:45" x14ac:dyDescent="0.2">
      <c r="A3282" s="21" t="s">
        <v>1760</v>
      </c>
      <c r="B3282" s="21" t="s">
        <v>1146</v>
      </c>
      <c r="C3282" s="21" t="s">
        <v>1149</v>
      </c>
      <c r="D3282" s="21" t="s">
        <v>1758</v>
      </c>
      <c r="E3282" s="21" t="s">
        <v>1759</v>
      </c>
      <c r="F3282" s="25"/>
      <c r="G3282" s="21" t="s">
        <v>1165</v>
      </c>
      <c r="H3282" s="21" t="s">
        <v>1165</v>
      </c>
      <c r="I3282" s="21" t="s">
        <v>3110</v>
      </c>
      <c r="L3282" t="s">
        <v>3111</v>
      </c>
      <c r="M3282" s="21" t="s">
        <v>1157</v>
      </c>
      <c r="O3282" s="21">
        <v>2011</v>
      </c>
      <c r="P3282">
        <v>2011</v>
      </c>
      <c r="U3282" s="21" t="s">
        <v>1246</v>
      </c>
      <c r="W3282">
        <v>26.998999999999999</v>
      </c>
      <c r="X3282" s="9" t="s">
        <v>1217</v>
      </c>
      <c r="Z3282" s="9" t="s">
        <v>3112</v>
      </c>
      <c r="AD3282" s="22"/>
      <c r="AF3282" s="24" t="s">
        <v>1165</v>
      </c>
      <c r="AI3282" s="21" t="s">
        <v>1165</v>
      </c>
      <c r="AJ3282" s="21" t="s">
        <v>1148</v>
      </c>
      <c r="AK3282" s="21">
        <v>0</v>
      </c>
      <c r="AL3282" s="21" t="s">
        <v>1277</v>
      </c>
      <c r="AM3282">
        <v>0</v>
      </c>
      <c r="AN3282" s="21">
        <v>3</v>
      </c>
      <c r="AO3282" s="21">
        <v>20</v>
      </c>
      <c r="AP3282" s="21">
        <v>26.998999999999999</v>
      </c>
      <c r="AQ3282" s="22" t="s">
        <v>3114</v>
      </c>
      <c r="AR3282" s="21" t="s">
        <v>1155</v>
      </c>
      <c r="AS3282" t="s">
        <v>3113</v>
      </c>
    </row>
    <row r="3283" spans="1:45" x14ac:dyDescent="0.2">
      <c r="A3283" s="21" t="s">
        <v>1760</v>
      </c>
      <c r="B3283" s="21" t="s">
        <v>1146</v>
      </c>
      <c r="C3283" s="21" t="s">
        <v>1149</v>
      </c>
      <c r="D3283" s="21" t="s">
        <v>1758</v>
      </c>
      <c r="E3283" s="21" t="s">
        <v>1759</v>
      </c>
      <c r="F3283" s="25"/>
      <c r="G3283" s="21" t="s">
        <v>1165</v>
      </c>
      <c r="H3283" s="21" t="s">
        <v>1165</v>
      </c>
      <c r="I3283" s="21" t="s">
        <v>3110</v>
      </c>
      <c r="L3283" t="s">
        <v>3111</v>
      </c>
      <c r="M3283" s="21" t="s">
        <v>1157</v>
      </c>
      <c r="O3283" s="21">
        <v>2011</v>
      </c>
      <c r="P3283">
        <v>2011</v>
      </c>
      <c r="U3283" s="21" t="s">
        <v>1246</v>
      </c>
      <c r="W3283">
        <v>31.96</v>
      </c>
      <c r="X3283" s="9" t="s">
        <v>1217</v>
      </c>
      <c r="Z3283" s="9" t="s">
        <v>3112</v>
      </c>
      <c r="AD3283" s="22"/>
      <c r="AF3283" s="24" t="s">
        <v>1165</v>
      </c>
      <c r="AI3283" s="21" t="s">
        <v>1165</v>
      </c>
      <c r="AJ3283" s="21" t="s">
        <v>1148</v>
      </c>
      <c r="AK3283" s="21">
        <v>0</v>
      </c>
      <c r="AL3283" s="21" t="s">
        <v>1277</v>
      </c>
      <c r="AM3283">
        <v>0</v>
      </c>
      <c r="AN3283" s="21">
        <v>3</v>
      </c>
      <c r="AO3283" s="21">
        <v>20</v>
      </c>
      <c r="AP3283" s="21">
        <v>31.96</v>
      </c>
      <c r="AQ3283" s="22" t="s">
        <v>3114</v>
      </c>
      <c r="AR3283" s="21" t="s">
        <v>1155</v>
      </c>
      <c r="AS3283" t="s">
        <v>3113</v>
      </c>
    </row>
    <row r="3284" spans="1:45" x14ac:dyDescent="0.2">
      <c r="A3284" s="21" t="s">
        <v>1760</v>
      </c>
      <c r="B3284" s="21" t="s">
        <v>1146</v>
      </c>
      <c r="C3284" s="21" t="s">
        <v>1149</v>
      </c>
      <c r="D3284" s="21" t="s">
        <v>1758</v>
      </c>
      <c r="E3284" s="21" t="s">
        <v>1759</v>
      </c>
      <c r="F3284" s="25"/>
      <c r="G3284" s="21" t="s">
        <v>1165</v>
      </c>
      <c r="H3284" s="21" t="s">
        <v>1165</v>
      </c>
      <c r="I3284" s="21" t="s">
        <v>3110</v>
      </c>
      <c r="L3284" t="s">
        <v>3111</v>
      </c>
      <c r="M3284" s="21" t="s">
        <v>1157</v>
      </c>
      <c r="O3284" s="21">
        <v>2011</v>
      </c>
      <c r="P3284">
        <v>2011</v>
      </c>
      <c r="U3284" s="21" t="s">
        <v>1246</v>
      </c>
      <c r="W3284">
        <v>34.950000000000003</v>
      </c>
      <c r="X3284" s="9" t="s">
        <v>1217</v>
      </c>
      <c r="Z3284" s="9" t="s">
        <v>3112</v>
      </c>
      <c r="AD3284" s="22"/>
      <c r="AF3284" s="24" t="s">
        <v>1165</v>
      </c>
      <c r="AI3284" s="21" t="s">
        <v>1165</v>
      </c>
      <c r="AJ3284" s="21" t="s">
        <v>1148</v>
      </c>
      <c r="AK3284" s="21">
        <v>13.819000000000001</v>
      </c>
      <c r="AL3284" s="21" t="s">
        <v>1277</v>
      </c>
      <c r="AM3284">
        <f>16.857-10.612</f>
        <v>6.2449999999999992</v>
      </c>
      <c r="AN3284" s="21">
        <v>3</v>
      </c>
      <c r="AO3284" s="21">
        <v>20</v>
      </c>
      <c r="AP3284" s="21">
        <v>34.950000000000003</v>
      </c>
      <c r="AQ3284" s="22" t="s">
        <v>3114</v>
      </c>
      <c r="AR3284" s="21" t="s">
        <v>1155</v>
      </c>
      <c r="AS3284" t="s">
        <v>3113</v>
      </c>
    </row>
    <row r="3285" spans="1:45" x14ac:dyDescent="0.2">
      <c r="A3285" s="21" t="s">
        <v>1760</v>
      </c>
      <c r="B3285" s="21" t="s">
        <v>1146</v>
      </c>
      <c r="C3285" s="21" t="s">
        <v>1149</v>
      </c>
      <c r="D3285" s="21" t="s">
        <v>1758</v>
      </c>
      <c r="E3285" s="21" t="s">
        <v>1759</v>
      </c>
      <c r="F3285" s="25"/>
      <c r="G3285" s="21" t="s">
        <v>1165</v>
      </c>
      <c r="H3285" s="21" t="s">
        <v>1165</v>
      </c>
      <c r="I3285" s="21" t="s">
        <v>3110</v>
      </c>
      <c r="L3285" t="s">
        <v>3111</v>
      </c>
      <c r="M3285" s="21" t="s">
        <v>1157</v>
      </c>
      <c r="O3285" s="21">
        <v>2011</v>
      </c>
      <c r="P3285">
        <v>2011</v>
      </c>
      <c r="U3285" s="21" t="s">
        <v>1246</v>
      </c>
      <c r="W3285" s="21">
        <v>39.048000000000002</v>
      </c>
      <c r="X3285" s="9" t="s">
        <v>1217</v>
      </c>
      <c r="Z3285" s="9" t="s">
        <v>3112</v>
      </c>
      <c r="AD3285" s="22"/>
      <c r="AF3285" s="24" t="s">
        <v>1165</v>
      </c>
      <c r="AI3285" s="21" t="s">
        <v>1165</v>
      </c>
      <c r="AJ3285" s="21" t="s">
        <v>1148</v>
      </c>
      <c r="AK3285" s="21">
        <v>13.819000000000001</v>
      </c>
      <c r="AL3285" s="21" t="s">
        <v>1277</v>
      </c>
      <c r="AM3285">
        <f t="shared" ref="AM3285:AM3287" si="37">16.857-10.612</f>
        <v>6.2449999999999992</v>
      </c>
      <c r="AN3285" s="21">
        <v>3</v>
      </c>
      <c r="AO3285" s="21">
        <v>20</v>
      </c>
      <c r="AP3285" s="21">
        <v>39.048000000000002</v>
      </c>
      <c r="AQ3285" s="22" t="s">
        <v>3114</v>
      </c>
      <c r="AR3285" s="21" t="s">
        <v>1155</v>
      </c>
      <c r="AS3285" t="s">
        <v>3113</v>
      </c>
    </row>
    <row r="3286" spans="1:45" x14ac:dyDescent="0.2">
      <c r="A3286" s="21" t="s">
        <v>1760</v>
      </c>
      <c r="B3286" s="21" t="s">
        <v>1146</v>
      </c>
      <c r="C3286" s="21" t="s">
        <v>1149</v>
      </c>
      <c r="D3286" s="21" t="s">
        <v>1758</v>
      </c>
      <c r="E3286" s="21" t="s">
        <v>1759</v>
      </c>
      <c r="F3286" s="25"/>
      <c r="G3286" s="21" t="s">
        <v>1165</v>
      </c>
      <c r="H3286" s="21" t="s">
        <v>1165</v>
      </c>
      <c r="I3286" s="21" t="s">
        <v>3110</v>
      </c>
      <c r="L3286" t="s">
        <v>3111</v>
      </c>
      <c r="M3286" s="21" t="s">
        <v>1157</v>
      </c>
      <c r="O3286" s="21">
        <v>2011</v>
      </c>
      <c r="P3286">
        <v>2011</v>
      </c>
      <c r="U3286" s="21" t="s">
        <v>1246</v>
      </c>
      <c r="W3286" s="21">
        <v>41.883000000000003</v>
      </c>
      <c r="X3286" s="9" t="s">
        <v>1217</v>
      </c>
      <c r="Z3286" s="9" t="s">
        <v>3112</v>
      </c>
      <c r="AD3286" s="22"/>
      <c r="AF3286" s="24" t="s">
        <v>1165</v>
      </c>
      <c r="AI3286" s="21" t="s">
        <v>1165</v>
      </c>
      <c r="AJ3286" s="21" t="s">
        <v>1148</v>
      </c>
      <c r="AK3286" s="21">
        <v>13.819000000000001</v>
      </c>
      <c r="AL3286" s="21" t="s">
        <v>1277</v>
      </c>
      <c r="AM3286">
        <f t="shared" si="37"/>
        <v>6.2449999999999992</v>
      </c>
      <c r="AN3286" s="21">
        <v>3</v>
      </c>
      <c r="AO3286" s="21">
        <v>20</v>
      </c>
      <c r="AP3286" s="21">
        <v>41.883000000000003</v>
      </c>
      <c r="AQ3286" s="22" t="s">
        <v>3114</v>
      </c>
      <c r="AR3286" s="21" t="s">
        <v>1155</v>
      </c>
      <c r="AS3286" t="s">
        <v>3113</v>
      </c>
    </row>
    <row r="3287" spans="1:45" x14ac:dyDescent="0.2">
      <c r="A3287" s="21" t="s">
        <v>1760</v>
      </c>
      <c r="B3287" s="21" t="s">
        <v>1146</v>
      </c>
      <c r="C3287" s="21" t="s">
        <v>1149</v>
      </c>
      <c r="D3287" s="21" t="s">
        <v>1758</v>
      </c>
      <c r="E3287" s="21" t="s">
        <v>1759</v>
      </c>
      <c r="F3287" s="25"/>
      <c r="G3287" s="21" t="s">
        <v>1165</v>
      </c>
      <c r="H3287" s="21" t="s">
        <v>1165</v>
      </c>
      <c r="I3287" s="21" t="s">
        <v>3110</v>
      </c>
      <c r="L3287" t="s">
        <v>3111</v>
      </c>
      <c r="M3287" s="21" t="s">
        <v>1157</v>
      </c>
      <c r="O3287" s="21">
        <v>2011</v>
      </c>
      <c r="P3287">
        <v>2011</v>
      </c>
      <c r="U3287" s="21" t="s">
        <v>1246</v>
      </c>
      <c r="W3287" s="21">
        <v>47.021000000000001</v>
      </c>
      <c r="X3287" s="9" t="s">
        <v>1217</v>
      </c>
      <c r="Z3287" s="9" t="s">
        <v>3112</v>
      </c>
      <c r="AD3287" s="22"/>
      <c r="AF3287" s="24" t="s">
        <v>1165</v>
      </c>
      <c r="AI3287" s="21" t="s">
        <v>1165</v>
      </c>
      <c r="AJ3287" s="21" t="s">
        <v>1148</v>
      </c>
      <c r="AK3287" s="21">
        <v>13.819000000000001</v>
      </c>
      <c r="AL3287" s="21" t="s">
        <v>1277</v>
      </c>
      <c r="AM3287">
        <f t="shared" si="37"/>
        <v>6.2449999999999992</v>
      </c>
      <c r="AN3287" s="21">
        <v>3</v>
      </c>
      <c r="AO3287" s="21">
        <v>20</v>
      </c>
      <c r="AP3287" s="21">
        <v>47.021000000000001</v>
      </c>
      <c r="AQ3287" s="22" t="s">
        <v>3114</v>
      </c>
      <c r="AR3287" s="21" t="s">
        <v>1155</v>
      </c>
      <c r="AS3287" t="s">
        <v>3113</v>
      </c>
    </row>
    <row r="3288" spans="1:45" x14ac:dyDescent="0.2">
      <c r="A3288" s="21" t="s">
        <v>1760</v>
      </c>
      <c r="B3288" s="21" t="s">
        <v>1146</v>
      </c>
      <c r="C3288" s="21" t="s">
        <v>1149</v>
      </c>
      <c r="D3288" s="21" t="s">
        <v>1758</v>
      </c>
      <c r="E3288" s="21" t="s">
        <v>1759</v>
      </c>
      <c r="F3288" s="25"/>
      <c r="G3288" s="21" t="s">
        <v>1165</v>
      </c>
      <c r="H3288" s="21" t="s">
        <v>1165</v>
      </c>
      <c r="I3288" s="21" t="s">
        <v>3110</v>
      </c>
      <c r="L3288" t="s">
        <v>3111</v>
      </c>
      <c r="M3288" s="21" t="s">
        <v>1157</v>
      </c>
      <c r="O3288" s="21">
        <v>2011</v>
      </c>
      <c r="P3288">
        <v>2011</v>
      </c>
      <c r="U3288" s="21" t="s">
        <v>1246</v>
      </c>
      <c r="W3288" s="21">
        <v>53.953000000000003</v>
      </c>
      <c r="X3288" s="9" t="s">
        <v>1217</v>
      </c>
      <c r="Z3288" s="9" t="s">
        <v>3112</v>
      </c>
      <c r="AD3288" s="22"/>
      <c r="AF3288" s="24" t="s">
        <v>1165</v>
      </c>
      <c r="AI3288" s="21" t="s">
        <v>1165</v>
      </c>
      <c r="AJ3288" s="21" t="s">
        <v>1148</v>
      </c>
      <c r="AK3288" s="21">
        <v>27.088999999999999</v>
      </c>
      <c r="AL3288" s="21" t="s">
        <v>1277</v>
      </c>
      <c r="AM3288">
        <f>42.848-11.456</f>
        <v>31.391999999999999</v>
      </c>
      <c r="AN3288" s="21">
        <v>3</v>
      </c>
      <c r="AO3288" s="21">
        <v>20</v>
      </c>
      <c r="AP3288" s="21">
        <v>53.953000000000003</v>
      </c>
      <c r="AQ3288" s="22" t="s">
        <v>3114</v>
      </c>
      <c r="AR3288" s="21" t="s">
        <v>1155</v>
      </c>
      <c r="AS3288" t="s">
        <v>3113</v>
      </c>
    </row>
    <row r="3289" spans="1:45" x14ac:dyDescent="0.2">
      <c r="A3289" s="21" t="s">
        <v>1760</v>
      </c>
      <c r="B3289" s="21" t="s">
        <v>1146</v>
      </c>
      <c r="C3289" s="21" t="s">
        <v>1149</v>
      </c>
      <c r="D3289" s="21" t="s">
        <v>1758</v>
      </c>
      <c r="E3289" s="21" t="s">
        <v>1759</v>
      </c>
      <c r="F3289" s="25"/>
      <c r="G3289" s="21" t="s">
        <v>1165</v>
      </c>
      <c r="H3289" s="21" t="s">
        <v>1165</v>
      </c>
      <c r="I3289" s="21" t="s">
        <v>3110</v>
      </c>
      <c r="L3289" t="s">
        <v>3111</v>
      </c>
      <c r="M3289" s="21" t="s">
        <v>1157</v>
      </c>
      <c r="O3289" s="21">
        <v>2011</v>
      </c>
      <c r="P3289">
        <v>2011</v>
      </c>
      <c r="U3289" s="21" t="s">
        <v>1246</v>
      </c>
      <c r="W3289" s="21">
        <v>58.893000000000001</v>
      </c>
      <c r="X3289" s="9" t="s">
        <v>1217</v>
      </c>
      <c r="Z3289" s="9" t="s">
        <v>3112</v>
      </c>
      <c r="AD3289" s="22"/>
      <c r="AF3289" s="24" t="s">
        <v>1165</v>
      </c>
      <c r="AI3289" s="21" t="s">
        <v>1165</v>
      </c>
      <c r="AJ3289" s="21" t="s">
        <v>1148</v>
      </c>
      <c r="AK3289" s="21">
        <v>30.527000000000001</v>
      </c>
      <c r="AL3289" s="21" t="s">
        <v>1277</v>
      </c>
      <c r="AM3289">
        <f>47.574-13.65</f>
        <v>33.923999999999999</v>
      </c>
      <c r="AN3289" s="21">
        <v>3</v>
      </c>
      <c r="AO3289" s="21">
        <v>20</v>
      </c>
      <c r="AP3289" s="21">
        <v>58.893000000000001</v>
      </c>
      <c r="AQ3289" s="22" t="s">
        <v>3114</v>
      </c>
      <c r="AR3289" s="21" t="s">
        <v>1155</v>
      </c>
      <c r="AS3289" t="s">
        <v>3113</v>
      </c>
    </row>
    <row r="3290" spans="1:45" x14ac:dyDescent="0.2">
      <c r="A3290" s="21" t="s">
        <v>1760</v>
      </c>
      <c r="B3290" s="21" t="s">
        <v>1146</v>
      </c>
      <c r="C3290" s="21" t="s">
        <v>1149</v>
      </c>
      <c r="D3290" s="21" t="s">
        <v>1758</v>
      </c>
      <c r="E3290" s="21" t="s">
        <v>1759</v>
      </c>
      <c r="F3290" s="25"/>
      <c r="G3290" s="21" t="s">
        <v>1165</v>
      </c>
      <c r="H3290" s="21" t="s">
        <v>1165</v>
      </c>
      <c r="I3290" s="21" t="s">
        <v>3110</v>
      </c>
      <c r="L3290" t="s">
        <v>3111</v>
      </c>
      <c r="M3290" s="21" t="s">
        <v>1157</v>
      </c>
      <c r="O3290" s="21">
        <v>2011</v>
      </c>
      <c r="P3290">
        <v>2011</v>
      </c>
      <c r="U3290" s="21" t="s">
        <v>1246</v>
      </c>
      <c r="W3290" s="21">
        <v>66.156999999999996</v>
      </c>
      <c r="X3290" s="9" t="s">
        <v>1217</v>
      </c>
      <c r="Z3290" s="9" t="s">
        <v>3112</v>
      </c>
      <c r="AD3290" s="22"/>
      <c r="AF3290" s="24" t="s">
        <v>1165</v>
      </c>
      <c r="AI3290" s="21" t="s">
        <v>1165</v>
      </c>
      <c r="AJ3290" s="21" t="s">
        <v>1148</v>
      </c>
      <c r="AK3290" s="21">
        <v>33.902999999999999</v>
      </c>
      <c r="AL3290" s="21" t="s">
        <v>1277</v>
      </c>
      <c r="AM3290">
        <f>52.468-15.338</f>
        <v>37.130000000000003</v>
      </c>
      <c r="AN3290" s="21">
        <v>3</v>
      </c>
      <c r="AO3290" s="21">
        <v>20</v>
      </c>
      <c r="AP3290" s="21">
        <v>66.156999999999996</v>
      </c>
      <c r="AQ3290" s="22" t="s">
        <v>3114</v>
      </c>
      <c r="AR3290" s="21" t="s">
        <v>1155</v>
      </c>
      <c r="AS3290" t="s">
        <v>3113</v>
      </c>
    </row>
    <row r="3291" spans="1:45" x14ac:dyDescent="0.2">
      <c r="A3291" s="21" t="s">
        <v>1760</v>
      </c>
      <c r="B3291" s="21" t="s">
        <v>1146</v>
      </c>
      <c r="C3291" s="21" t="s">
        <v>1149</v>
      </c>
      <c r="D3291" s="21" t="s">
        <v>1758</v>
      </c>
      <c r="E3291" s="21" t="s">
        <v>1759</v>
      </c>
      <c r="F3291" s="25"/>
      <c r="G3291" s="21" t="s">
        <v>1165</v>
      </c>
      <c r="H3291" s="21" t="s">
        <v>1165</v>
      </c>
      <c r="I3291" s="21" t="s">
        <v>3110</v>
      </c>
      <c r="L3291" t="s">
        <v>3111</v>
      </c>
      <c r="M3291" s="21" t="s">
        <v>1157</v>
      </c>
      <c r="O3291" s="21">
        <v>2011</v>
      </c>
      <c r="P3291">
        <v>2011</v>
      </c>
      <c r="U3291" s="21" t="s">
        <v>1246</v>
      </c>
      <c r="W3291" s="21">
        <v>72.89</v>
      </c>
      <c r="X3291" s="9" t="s">
        <v>1217</v>
      </c>
      <c r="Z3291" s="9" t="s">
        <v>3112</v>
      </c>
      <c r="AD3291" s="22"/>
      <c r="AF3291" s="24" t="s">
        <v>1165</v>
      </c>
      <c r="AI3291" s="21" t="s">
        <v>1165</v>
      </c>
      <c r="AJ3291" s="21" t="s">
        <v>1148</v>
      </c>
      <c r="AK3291" s="21">
        <v>33.902999999999999</v>
      </c>
      <c r="AL3291" s="21" t="s">
        <v>1277</v>
      </c>
      <c r="AM3291">
        <f>52.637-15.169</f>
        <v>37.468000000000004</v>
      </c>
      <c r="AN3291" s="21">
        <v>3</v>
      </c>
      <c r="AO3291" s="21">
        <v>20</v>
      </c>
      <c r="AP3291" s="21">
        <v>72.89</v>
      </c>
      <c r="AQ3291" s="22" t="s">
        <v>3114</v>
      </c>
      <c r="AR3291" s="21" t="s">
        <v>1155</v>
      </c>
      <c r="AS3291" t="s">
        <v>3113</v>
      </c>
    </row>
    <row r="3292" spans="1:45" x14ac:dyDescent="0.2">
      <c r="A3292" s="21" t="s">
        <v>1760</v>
      </c>
      <c r="B3292" s="21" t="s">
        <v>1146</v>
      </c>
      <c r="C3292" s="21" t="s">
        <v>1149</v>
      </c>
      <c r="D3292" s="21" t="s">
        <v>1758</v>
      </c>
      <c r="E3292" s="21" t="s">
        <v>1759</v>
      </c>
      <c r="F3292" s="25"/>
      <c r="G3292" s="21" t="s">
        <v>1165</v>
      </c>
      <c r="H3292" s="21" t="s">
        <v>1165</v>
      </c>
      <c r="I3292" s="21" t="s">
        <v>3110</v>
      </c>
      <c r="L3292" t="s">
        <v>3111</v>
      </c>
      <c r="M3292" s="21" t="s">
        <v>1157</v>
      </c>
      <c r="O3292" s="21">
        <v>2011</v>
      </c>
      <c r="P3292">
        <v>2011</v>
      </c>
      <c r="U3292" s="21" t="s">
        <v>1246</v>
      </c>
      <c r="W3292" s="21">
        <v>80.155000000000001</v>
      </c>
      <c r="X3292" s="9" t="s">
        <v>1217</v>
      </c>
      <c r="Z3292" s="9" t="s">
        <v>3112</v>
      </c>
      <c r="AD3292" s="22"/>
      <c r="AF3292" s="24" t="s">
        <v>1165</v>
      </c>
      <c r="AI3292" s="21" t="s">
        <v>1165</v>
      </c>
      <c r="AJ3292" s="21" t="s">
        <v>1148</v>
      </c>
      <c r="AK3292" s="21">
        <v>35.591000000000001</v>
      </c>
      <c r="AL3292" s="21" t="s">
        <v>1277</v>
      </c>
      <c r="AM3292">
        <f>53.481-17.7</f>
        <v>35.781000000000006</v>
      </c>
      <c r="AN3292" s="21">
        <v>3</v>
      </c>
      <c r="AO3292" s="21">
        <v>20</v>
      </c>
      <c r="AP3292" s="21">
        <v>80.155000000000001</v>
      </c>
      <c r="AQ3292" s="22" t="s">
        <v>3114</v>
      </c>
      <c r="AR3292" s="21" t="s">
        <v>1155</v>
      </c>
      <c r="AS3292" t="s">
        <v>3113</v>
      </c>
    </row>
    <row r="3293" spans="1:45" x14ac:dyDescent="0.2">
      <c r="A3293" s="21" t="s">
        <v>1760</v>
      </c>
      <c r="B3293" s="21" t="s">
        <v>1146</v>
      </c>
      <c r="C3293" s="21" t="s">
        <v>1149</v>
      </c>
      <c r="D3293" s="21" t="s">
        <v>1758</v>
      </c>
      <c r="E3293" s="21" t="s">
        <v>1759</v>
      </c>
      <c r="F3293" s="25"/>
      <c r="G3293" s="21" t="s">
        <v>1165</v>
      </c>
      <c r="H3293" s="21" t="s">
        <v>1165</v>
      </c>
      <c r="I3293" s="21" t="s">
        <v>3110</v>
      </c>
      <c r="L3293" t="s">
        <v>3111</v>
      </c>
      <c r="M3293" s="21" t="s">
        <v>1157</v>
      </c>
      <c r="O3293" s="21">
        <v>2011</v>
      </c>
      <c r="P3293">
        <v>2011</v>
      </c>
      <c r="U3293" s="21" t="s">
        <v>1246</v>
      </c>
      <c r="W3293" s="21">
        <v>87.064999999999998</v>
      </c>
      <c r="X3293" s="9" t="s">
        <v>1217</v>
      </c>
      <c r="Z3293" s="9" t="s">
        <v>3112</v>
      </c>
      <c r="AD3293" s="22"/>
      <c r="AF3293" s="24" t="s">
        <v>1165</v>
      </c>
      <c r="AI3293" s="21" t="s">
        <v>1165</v>
      </c>
      <c r="AJ3293" s="21" t="s">
        <v>1148</v>
      </c>
      <c r="AK3293" s="21">
        <v>35.591000000000001</v>
      </c>
      <c r="AL3293" s="21" t="s">
        <v>1277</v>
      </c>
      <c r="AM3293">
        <f>53.481-17.7</f>
        <v>35.781000000000006</v>
      </c>
      <c r="AN3293" s="21">
        <v>3</v>
      </c>
      <c r="AO3293" s="21">
        <v>20</v>
      </c>
      <c r="AP3293" s="21">
        <v>87.064999999999998</v>
      </c>
      <c r="AQ3293" s="22" t="s">
        <v>3114</v>
      </c>
      <c r="AR3293" s="21" t="s">
        <v>1155</v>
      </c>
      <c r="AS3293" t="s">
        <v>3113</v>
      </c>
    </row>
    <row r="3294" spans="1:45" x14ac:dyDescent="0.2">
      <c r="A3294" s="21" t="s">
        <v>1760</v>
      </c>
      <c r="B3294" s="21" t="s">
        <v>1146</v>
      </c>
      <c r="C3294" s="21" t="s">
        <v>1149</v>
      </c>
      <c r="D3294" s="21" t="s">
        <v>1758</v>
      </c>
      <c r="E3294" s="21" t="s">
        <v>1759</v>
      </c>
      <c r="F3294" s="25"/>
      <c r="G3294" s="21" t="s">
        <v>1165</v>
      </c>
      <c r="H3294" s="21" t="s">
        <v>1165</v>
      </c>
      <c r="I3294" s="21" t="s">
        <v>3110</v>
      </c>
      <c r="L3294" t="s">
        <v>3111</v>
      </c>
      <c r="M3294" s="21" t="s">
        <v>1157</v>
      </c>
      <c r="O3294" s="21">
        <v>2011</v>
      </c>
      <c r="P3294">
        <v>2011</v>
      </c>
      <c r="U3294" s="21" t="s">
        <v>1246</v>
      </c>
      <c r="V3294" s="9" t="s">
        <v>1217</v>
      </c>
      <c r="W3294" s="21">
        <v>90</v>
      </c>
      <c r="X3294" s="9" t="s">
        <v>1290</v>
      </c>
      <c r="Z3294" s="9" t="s">
        <v>3112</v>
      </c>
      <c r="AD3294" s="22"/>
      <c r="AF3294" s="24" t="s">
        <v>1165</v>
      </c>
      <c r="AI3294" s="21" t="s">
        <v>1165</v>
      </c>
      <c r="AJ3294" s="21" t="s">
        <v>1148</v>
      </c>
      <c r="AK3294" s="21">
        <v>39.134999999999998</v>
      </c>
      <c r="AL3294" s="21" t="s">
        <v>1277</v>
      </c>
      <c r="AM3294">
        <f>59.051-19.051</f>
        <v>40</v>
      </c>
      <c r="AN3294" s="21">
        <v>3</v>
      </c>
      <c r="AO3294" s="21">
        <v>20</v>
      </c>
      <c r="AP3294" s="21">
        <f>91.141-90</f>
        <v>1.1410000000000053</v>
      </c>
      <c r="AQ3294" s="22" t="s">
        <v>3115</v>
      </c>
      <c r="AR3294" s="21" t="s">
        <v>1155</v>
      </c>
    </row>
    <row r="3295" spans="1:45" x14ac:dyDescent="0.2">
      <c r="A3295" s="21" t="s">
        <v>1760</v>
      </c>
      <c r="B3295" s="21" t="s">
        <v>1146</v>
      </c>
      <c r="C3295" s="21" t="s">
        <v>1149</v>
      </c>
      <c r="D3295" s="21" t="s">
        <v>1758</v>
      </c>
      <c r="E3295" s="21" t="s">
        <v>1759</v>
      </c>
      <c r="F3295" s="25"/>
      <c r="G3295" s="21" t="s">
        <v>1165</v>
      </c>
      <c r="H3295" s="21" t="s">
        <v>1165</v>
      </c>
      <c r="I3295" s="21" t="s">
        <v>3110</v>
      </c>
      <c r="L3295" t="s">
        <v>3111</v>
      </c>
      <c r="M3295" s="21" t="s">
        <v>1157</v>
      </c>
      <c r="O3295" s="21">
        <v>2011</v>
      </c>
      <c r="P3295">
        <v>2011</v>
      </c>
      <c r="U3295" s="21" t="s">
        <v>1246</v>
      </c>
      <c r="V3295" s="9" t="s">
        <v>1217</v>
      </c>
      <c r="W3295" s="21">
        <v>90</v>
      </c>
      <c r="X3295" s="9" t="s">
        <v>1290</v>
      </c>
      <c r="Z3295" s="9" t="s">
        <v>3112</v>
      </c>
      <c r="AD3295" s="22"/>
      <c r="AF3295" s="24" t="s">
        <v>1165</v>
      </c>
      <c r="AI3295" s="21" t="s">
        <v>1165</v>
      </c>
      <c r="AJ3295" s="21" t="s">
        <v>1148</v>
      </c>
      <c r="AK3295" s="21">
        <v>40.780999999999999</v>
      </c>
      <c r="AL3295" s="21" t="s">
        <v>1277</v>
      </c>
      <c r="AM3295">
        <f>58.502-22.89</f>
        <v>35.612000000000002</v>
      </c>
      <c r="AN3295" s="21">
        <v>3</v>
      </c>
      <c r="AO3295" s="21">
        <v>20</v>
      </c>
      <c r="AP3295" s="21">
        <f>98.051-90</f>
        <v>8.0510000000000019</v>
      </c>
      <c r="AQ3295" s="22" t="s">
        <v>3115</v>
      </c>
      <c r="AR3295" s="21" t="s">
        <v>1155</v>
      </c>
    </row>
    <row r="3296" spans="1:45" x14ac:dyDescent="0.2">
      <c r="A3296" s="21" t="s">
        <v>1760</v>
      </c>
      <c r="B3296" s="21" t="s">
        <v>1146</v>
      </c>
      <c r="C3296" s="21" t="s">
        <v>1149</v>
      </c>
      <c r="D3296" s="21" t="s">
        <v>1758</v>
      </c>
      <c r="E3296" s="21" t="s">
        <v>1759</v>
      </c>
      <c r="F3296" s="25"/>
      <c r="G3296" s="21" t="s">
        <v>1165</v>
      </c>
      <c r="H3296" s="21" t="s">
        <v>1165</v>
      </c>
      <c r="I3296" s="21" t="s">
        <v>3110</v>
      </c>
      <c r="L3296" t="s">
        <v>3111</v>
      </c>
      <c r="M3296" s="21" t="s">
        <v>1157</v>
      </c>
      <c r="O3296" s="21">
        <v>2011</v>
      </c>
      <c r="P3296">
        <v>2011</v>
      </c>
      <c r="U3296" s="21" t="s">
        <v>1246</v>
      </c>
      <c r="V3296" s="9" t="s">
        <v>1217</v>
      </c>
      <c r="W3296" s="21">
        <v>90</v>
      </c>
      <c r="X3296" s="9" t="s">
        <v>1290</v>
      </c>
      <c r="Z3296" s="9" t="s">
        <v>3112</v>
      </c>
      <c r="AD3296" s="22"/>
      <c r="AF3296" s="24" t="s">
        <v>1165</v>
      </c>
      <c r="AI3296" s="21" t="s">
        <v>1165</v>
      </c>
      <c r="AJ3296" s="21" t="s">
        <v>1148</v>
      </c>
      <c r="AK3296" s="21">
        <v>40.780999999999999</v>
      </c>
      <c r="AL3296" s="21" t="s">
        <v>1277</v>
      </c>
      <c r="AM3296">
        <f>58.502-22.89</f>
        <v>35.612000000000002</v>
      </c>
      <c r="AN3296" s="21">
        <v>3</v>
      </c>
      <c r="AO3296" s="21">
        <v>20</v>
      </c>
      <c r="AP3296" s="21">
        <f>112.226-90</f>
        <v>22.225999999999999</v>
      </c>
      <c r="AQ3296" s="22" t="s">
        <v>3115</v>
      </c>
      <c r="AR3296" s="21" t="s">
        <v>1155</v>
      </c>
    </row>
    <row r="3297" spans="1:44" x14ac:dyDescent="0.2">
      <c r="A3297" s="21" t="s">
        <v>1760</v>
      </c>
      <c r="B3297" s="21" t="s">
        <v>1146</v>
      </c>
      <c r="C3297" s="21" t="s">
        <v>1149</v>
      </c>
      <c r="D3297" s="21" t="s">
        <v>1758</v>
      </c>
      <c r="E3297" s="21" t="s">
        <v>1759</v>
      </c>
      <c r="F3297" s="25"/>
      <c r="G3297" s="21" t="s">
        <v>1165</v>
      </c>
      <c r="H3297" s="21" t="s">
        <v>1165</v>
      </c>
      <c r="I3297" s="21" t="s">
        <v>3110</v>
      </c>
      <c r="L3297" t="s">
        <v>3111</v>
      </c>
      <c r="M3297" s="21" t="s">
        <v>1157</v>
      </c>
      <c r="O3297" s="21">
        <v>2011</v>
      </c>
      <c r="P3297">
        <v>2011</v>
      </c>
      <c r="U3297" s="21" t="s">
        <v>1246</v>
      </c>
      <c r="V3297" s="9" t="s">
        <v>1217</v>
      </c>
      <c r="W3297" s="21">
        <v>90</v>
      </c>
      <c r="X3297" s="9" t="s">
        <v>1290</v>
      </c>
      <c r="Z3297" s="9" t="s">
        <v>3112</v>
      </c>
      <c r="AD3297" s="22"/>
      <c r="AF3297" s="24" t="s">
        <v>1165</v>
      </c>
      <c r="AI3297" s="21" t="s">
        <v>1165</v>
      </c>
      <c r="AJ3297" s="21" t="s">
        <v>1148</v>
      </c>
      <c r="AK3297" s="21">
        <v>40.780999999999999</v>
      </c>
      <c r="AL3297" s="21" t="s">
        <v>1277</v>
      </c>
      <c r="AM3297">
        <f>58.502-22.89</f>
        <v>35.612000000000002</v>
      </c>
      <c r="AN3297" s="21">
        <v>3</v>
      </c>
      <c r="AO3297" s="21">
        <v>20</v>
      </c>
      <c r="AP3297" s="21">
        <f>117.364-90</f>
        <v>27.364000000000004</v>
      </c>
      <c r="AQ3297" s="22" t="s">
        <v>3115</v>
      </c>
      <c r="AR3297" s="21" t="s">
        <v>1155</v>
      </c>
    </row>
    <row r="3298" spans="1:44" x14ac:dyDescent="0.2">
      <c r="A3298" s="21" t="s">
        <v>1760</v>
      </c>
      <c r="B3298" s="21" t="s">
        <v>1146</v>
      </c>
      <c r="C3298" s="21" t="s">
        <v>1149</v>
      </c>
      <c r="D3298" s="21" t="s">
        <v>1758</v>
      </c>
      <c r="E3298" s="21" t="s">
        <v>1759</v>
      </c>
      <c r="F3298" s="25"/>
      <c r="G3298" s="21" t="s">
        <v>1165</v>
      </c>
      <c r="H3298" s="21" t="s">
        <v>1165</v>
      </c>
      <c r="I3298" s="21" t="s">
        <v>3110</v>
      </c>
      <c r="L3298" t="s">
        <v>3111</v>
      </c>
      <c r="M3298" s="21" t="s">
        <v>1157</v>
      </c>
      <c r="O3298" s="21">
        <v>2011</v>
      </c>
      <c r="P3298">
        <v>2011</v>
      </c>
      <c r="U3298" s="21" t="s">
        <v>1246</v>
      </c>
      <c r="V3298" s="9" t="s">
        <v>1217</v>
      </c>
      <c r="W3298" s="21">
        <v>90</v>
      </c>
      <c r="X3298" s="9" t="s">
        <v>1290</v>
      </c>
      <c r="Z3298" s="9" t="s">
        <v>3112</v>
      </c>
      <c r="AD3298" s="22"/>
      <c r="AF3298" s="24" t="s">
        <v>1165</v>
      </c>
      <c r="AI3298" s="21" t="s">
        <v>1165</v>
      </c>
      <c r="AJ3298" s="21" t="s">
        <v>1148</v>
      </c>
      <c r="AK3298" s="21">
        <v>40.780999999999999</v>
      </c>
      <c r="AL3298" s="21" t="s">
        <v>1277</v>
      </c>
      <c r="AM3298">
        <f>58.502-22.89</f>
        <v>35.612000000000002</v>
      </c>
      <c r="AN3298" s="21">
        <v>3</v>
      </c>
      <c r="AO3298" s="21">
        <v>20</v>
      </c>
      <c r="AP3298" s="21">
        <f>131.185-90</f>
        <v>41.185000000000002</v>
      </c>
      <c r="AQ3298" s="22" t="s">
        <v>3115</v>
      </c>
      <c r="AR3298" s="21" t="s">
        <v>1155</v>
      </c>
    </row>
    <row r="3299" spans="1:44" x14ac:dyDescent="0.2">
      <c r="A3299" s="21" t="s">
        <v>1760</v>
      </c>
      <c r="B3299" s="21" t="s">
        <v>1146</v>
      </c>
      <c r="C3299" s="21" t="s">
        <v>1149</v>
      </c>
      <c r="D3299" s="21" t="s">
        <v>1758</v>
      </c>
      <c r="E3299" s="21" t="s">
        <v>1759</v>
      </c>
      <c r="F3299" s="25"/>
      <c r="G3299" s="21" t="s">
        <v>1165</v>
      </c>
      <c r="H3299" s="21" t="s">
        <v>1165</v>
      </c>
      <c r="I3299" s="21" t="s">
        <v>3110</v>
      </c>
      <c r="L3299" t="s">
        <v>3111</v>
      </c>
      <c r="M3299" s="21" t="s">
        <v>1157</v>
      </c>
      <c r="O3299" s="21">
        <v>2011</v>
      </c>
      <c r="P3299">
        <v>2011</v>
      </c>
      <c r="U3299" s="21" t="s">
        <v>1246</v>
      </c>
      <c r="V3299" s="9" t="s">
        <v>1217</v>
      </c>
      <c r="W3299" s="21">
        <v>90</v>
      </c>
      <c r="X3299" s="9" t="s">
        <v>1290</v>
      </c>
      <c r="Z3299" s="9" t="s">
        <v>3112</v>
      </c>
      <c r="AD3299" s="22"/>
      <c r="AF3299" s="24" t="s">
        <v>1165</v>
      </c>
      <c r="AI3299" s="21" t="s">
        <v>1165</v>
      </c>
      <c r="AJ3299" s="21" t="s">
        <v>1148</v>
      </c>
      <c r="AK3299" s="21">
        <v>40.780999999999999</v>
      </c>
      <c r="AL3299" s="21" t="s">
        <v>1277</v>
      </c>
      <c r="AM3299">
        <f>58.502-22.89</f>
        <v>35.612000000000002</v>
      </c>
      <c r="AN3299" s="21">
        <v>3</v>
      </c>
      <c r="AO3299" s="21">
        <v>20</v>
      </c>
      <c r="AP3299" s="21">
        <f>138.272-90</f>
        <v>48.271999999999991</v>
      </c>
      <c r="AQ3299" s="22" t="s">
        <v>3115</v>
      </c>
      <c r="AR3299" s="21" t="s">
        <v>1155</v>
      </c>
    </row>
    <row r="3300" spans="1:44" x14ac:dyDescent="0.2">
      <c r="A3300" s="21" t="s">
        <v>1765</v>
      </c>
      <c r="B3300" s="21" t="s">
        <v>1146</v>
      </c>
      <c r="C3300" s="21" t="s">
        <v>1149</v>
      </c>
      <c r="D3300" s="21" t="s">
        <v>1763</v>
      </c>
      <c r="E3300" s="21" t="s">
        <v>1764</v>
      </c>
      <c r="G3300" s="21" t="s">
        <v>1165</v>
      </c>
      <c r="H3300" s="21" t="s">
        <v>1165</v>
      </c>
      <c r="I3300" s="21" t="s">
        <v>3119</v>
      </c>
      <c r="L3300">
        <v>3875</v>
      </c>
      <c r="M3300" s="21" t="s">
        <v>1145</v>
      </c>
      <c r="O3300" s="21">
        <v>2001</v>
      </c>
      <c r="P3300">
        <v>2002</v>
      </c>
      <c r="Q3300" t="s">
        <v>3117</v>
      </c>
      <c r="R3300">
        <f>4*30</f>
        <v>120</v>
      </c>
      <c r="T3300" t="s">
        <v>3035</v>
      </c>
      <c r="U3300" s="21" t="s">
        <v>1147</v>
      </c>
      <c r="X3300" s="9" t="s">
        <v>3116</v>
      </c>
      <c r="Z3300" s="9" t="s">
        <v>2993</v>
      </c>
      <c r="AD3300" t="s">
        <v>1165</v>
      </c>
      <c r="AF3300" t="s">
        <v>1165</v>
      </c>
      <c r="AI3300" s="21" t="s">
        <v>1165</v>
      </c>
      <c r="AJ3300" s="21" t="s">
        <v>1148</v>
      </c>
      <c r="AK3300">
        <v>46.804000000000002</v>
      </c>
      <c r="AL3300" s="21" t="s">
        <v>2993</v>
      </c>
      <c r="AM3300">
        <v>0</v>
      </c>
      <c r="AN3300" s="21">
        <v>3</v>
      </c>
      <c r="AO3300" s="21">
        <v>15</v>
      </c>
      <c r="AP3300">
        <v>90</v>
      </c>
      <c r="AQ3300" s="22" t="s">
        <v>3060</v>
      </c>
      <c r="AR3300" s="21" t="s">
        <v>3118</v>
      </c>
    </row>
    <row r="3301" spans="1:44" x14ac:dyDescent="0.2">
      <c r="A3301" s="21" t="s">
        <v>1765</v>
      </c>
      <c r="B3301" s="21" t="s">
        <v>1146</v>
      </c>
      <c r="C3301" s="21" t="s">
        <v>1149</v>
      </c>
      <c r="D3301" s="21" t="s">
        <v>1763</v>
      </c>
      <c r="E3301" s="21" t="s">
        <v>1764</v>
      </c>
      <c r="G3301" s="21" t="s">
        <v>1165</v>
      </c>
      <c r="H3301" s="21" t="s">
        <v>1165</v>
      </c>
      <c r="I3301" s="21" t="s">
        <v>3119</v>
      </c>
      <c r="L3301">
        <v>3875</v>
      </c>
      <c r="M3301" s="21" t="s">
        <v>1145</v>
      </c>
      <c r="O3301" s="21">
        <v>2001</v>
      </c>
      <c r="P3301">
        <v>2002</v>
      </c>
      <c r="Q3301" t="s">
        <v>3117</v>
      </c>
      <c r="R3301">
        <f t="shared" ref="R3301:R3315" si="38">4*30</f>
        <v>120</v>
      </c>
      <c r="T3301" t="s">
        <v>3035</v>
      </c>
      <c r="U3301" s="21" t="s">
        <v>1246</v>
      </c>
      <c r="V3301" s="9" t="s">
        <v>1247</v>
      </c>
      <c r="W3301">
        <v>7</v>
      </c>
      <c r="X3301" s="9" t="s">
        <v>3116</v>
      </c>
      <c r="Z3301" s="9" t="s">
        <v>2993</v>
      </c>
      <c r="AD3301" t="s">
        <v>1165</v>
      </c>
      <c r="AF3301" t="s">
        <v>1165</v>
      </c>
      <c r="AI3301" s="21" t="s">
        <v>1165</v>
      </c>
      <c r="AJ3301" s="21" t="s">
        <v>1148</v>
      </c>
      <c r="AK3301">
        <v>79.936999999999998</v>
      </c>
      <c r="AL3301" s="21" t="s">
        <v>2993</v>
      </c>
      <c r="AM3301">
        <f>84.335-76.234</f>
        <v>8.1009999999999991</v>
      </c>
      <c r="AN3301" s="21">
        <v>3</v>
      </c>
      <c r="AO3301" s="21">
        <v>15</v>
      </c>
      <c r="AP3301">
        <v>90</v>
      </c>
      <c r="AQ3301" s="22" t="s">
        <v>3060</v>
      </c>
      <c r="AR3301" s="21" t="s">
        <v>3118</v>
      </c>
    </row>
    <row r="3302" spans="1:44" x14ac:dyDescent="0.2">
      <c r="A3302" s="21" t="s">
        <v>1765</v>
      </c>
      <c r="B3302" s="21" t="s">
        <v>1146</v>
      </c>
      <c r="C3302" s="21" t="s">
        <v>1149</v>
      </c>
      <c r="D3302" s="21" t="s">
        <v>1763</v>
      </c>
      <c r="E3302" s="21" t="s">
        <v>1764</v>
      </c>
      <c r="G3302" s="21" t="s">
        <v>1165</v>
      </c>
      <c r="H3302" s="21" t="s">
        <v>1165</v>
      </c>
      <c r="I3302" s="21" t="s">
        <v>3119</v>
      </c>
      <c r="L3302">
        <v>3875</v>
      </c>
      <c r="M3302" s="21" t="s">
        <v>1145</v>
      </c>
      <c r="O3302" s="21">
        <v>2001</v>
      </c>
      <c r="P3302">
        <v>2002</v>
      </c>
      <c r="Q3302" t="s">
        <v>3117</v>
      </c>
      <c r="R3302">
        <f t="shared" si="38"/>
        <v>120</v>
      </c>
      <c r="T3302" t="s">
        <v>3035</v>
      </c>
      <c r="U3302" s="21" t="s">
        <v>1246</v>
      </c>
      <c r="V3302" s="9" t="s">
        <v>1247</v>
      </c>
      <c r="W3302">
        <v>14</v>
      </c>
      <c r="X3302" s="9" t="s">
        <v>3116</v>
      </c>
      <c r="Z3302" s="9" t="s">
        <v>2993</v>
      </c>
      <c r="AD3302" t="s">
        <v>1165</v>
      </c>
      <c r="AF3302" t="s">
        <v>1165</v>
      </c>
      <c r="AI3302" s="21" t="s">
        <v>1165</v>
      </c>
      <c r="AJ3302" s="21" t="s">
        <v>1148</v>
      </c>
      <c r="AK3302">
        <v>87.152000000000001</v>
      </c>
      <c r="AL3302" s="21" t="s">
        <v>2993</v>
      </c>
      <c r="AM3302">
        <f>93.703-80.032</f>
        <v>13.671000000000006</v>
      </c>
      <c r="AN3302" s="21">
        <v>3</v>
      </c>
      <c r="AO3302" s="21">
        <v>15</v>
      </c>
      <c r="AP3302">
        <v>90</v>
      </c>
      <c r="AQ3302" s="22" t="s">
        <v>3060</v>
      </c>
      <c r="AR3302" s="21" t="s">
        <v>3118</v>
      </c>
    </row>
    <row r="3303" spans="1:44" x14ac:dyDescent="0.2">
      <c r="A3303" s="21" t="s">
        <v>1765</v>
      </c>
      <c r="B3303" s="21" t="s">
        <v>1146</v>
      </c>
      <c r="C3303" s="21" t="s">
        <v>1149</v>
      </c>
      <c r="D3303" s="21" t="s">
        <v>1763</v>
      </c>
      <c r="E3303" s="21" t="s">
        <v>1764</v>
      </c>
      <c r="G3303" s="21" t="s">
        <v>1165</v>
      </c>
      <c r="H3303" s="21" t="s">
        <v>1165</v>
      </c>
      <c r="I3303" s="21" t="s">
        <v>3119</v>
      </c>
      <c r="L3303">
        <v>3875</v>
      </c>
      <c r="M3303" s="21" t="s">
        <v>1145</v>
      </c>
      <c r="O3303" s="21">
        <v>2001</v>
      </c>
      <c r="P3303">
        <v>2002</v>
      </c>
      <c r="Q3303" t="s">
        <v>3117</v>
      </c>
      <c r="R3303">
        <f t="shared" si="38"/>
        <v>120</v>
      </c>
      <c r="T3303" t="s">
        <v>3035</v>
      </c>
      <c r="U3303" s="21" t="s">
        <v>1246</v>
      </c>
      <c r="V3303" s="9" t="s">
        <v>1247</v>
      </c>
      <c r="W3303">
        <v>21</v>
      </c>
      <c r="X3303" s="9" t="s">
        <v>3116</v>
      </c>
      <c r="Z3303" s="9" t="s">
        <v>2993</v>
      </c>
      <c r="AD3303" t="s">
        <v>1165</v>
      </c>
      <c r="AF3303" t="s">
        <v>1165</v>
      </c>
      <c r="AI3303" s="21" t="s">
        <v>1165</v>
      </c>
      <c r="AJ3303" s="21" t="s">
        <v>1148</v>
      </c>
      <c r="AK3303">
        <v>70.822999999999993</v>
      </c>
      <c r="AL3303" s="21" t="s">
        <v>2993</v>
      </c>
      <c r="AM3303">
        <f>73.196-68.892</f>
        <v>4.304000000000002</v>
      </c>
      <c r="AN3303" s="21">
        <v>3</v>
      </c>
      <c r="AO3303" s="21">
        <v>15</v>
      </c>
      <c r="AP3303">
        <v>90</v>
      </c>
      <c r="AQ3303" s="22" t="s">
        <v>3060</v>
      </c>
      <c r="AR3303" s="21" t="s">
        <v>3118</v>
      </c>
    </row>
    <row r="3304" spans="1:44" x14ac:dyDescent="0.2">
      <c r="A3304" s="21" t="s">
        <v>1765</v>
      </c>
      <c r="B3304" s="21" t="s">
        <v>1146</v>
      </c>
      <c r="C3304" s="21" t="s">
        <v>1149</v>
      </c>
      <c r="D3304" s="21" t="s">
        <v>1763</v>
      </c>
      <c r="E3304" s="21" t="s">
        <v>1764</v>
      </c>
      <c r="G3304" s="21" t="s">
        <v>1165</v>
      </c>
      <c r="H3304" s="21" t="s">
        <v>1165</v>
      </c>
      <c r="I3304" s="21" t="s">
        <v>3119</v>
      </c>
      <c r="L3304">
        <v>3875</v>
      </c>
      <c r="M3304" s="21" t="s">
        <v>1145</v>
      </c>
      <c r="O3304" s="21">
        <v>2001</v>
      </c>
      <c r="P3304">
        <v>2002</v>
      </c>
      <c r="Q3304" t="s">
        <v>3117</v>
      </c>
      <c r="R3304">
        <f>4*30</f>
        <v>120</v>
      </c>
      <c r="T3304" t="s">
        <v>3035</v>
      </c>
      <c r="U3304" s="21" t="s">
        <v>1147</v>
      </c>
      <c r="X3304" s="9" t="s">
        <v>3116</v>
      </c>
      <c r="Z3304" s="9" t="s">
        <v>2993</v>
      </c>
      <c r="AD3304" t="s">
        <v>1165</v>
      </c>
      <c r="AF3304" t="s">
        <v>1165</v>
      </c>
      <c r="AI3304" s="21" t="s">
        <v>1165</v>
      </c>
      <c r="AJ3304" s="21" t="s">
        <v>3120</v>
      </c>
      <c r="AK3304">
        <v>20.53</v>
      </c>
      <c r="AL3304" s="21" t="s">
        <v>2993</v>
      </c>
      <c r="AM3304">
        <f>21.553-19.634</f>
        <v>1.9190000000000005</v>
      </c>
      <c r="AN3304" s="21">
        <v>3</v>
      </c>
      <c r="AO3304" s="21">
        <v>15</v>
      </c>
      <c r="AP3304">
        <v>90</v>
      </c>
      <c r="AQ3304" s="22" t="s">
        <v>3060</v>
      </c>
      <c r="AR3304" s="21" t="s">
        <v>3118</v>
      </c>
    </row>
    <row r="3305" spans="1:44" x14ac:dyDescent="0.2">
      <c r="A3305" s="21" t="s">
        <v>1765</v>
      </c>
      <c r="B3305" s="21" t="s">
        <v>1146</v>
      </c>
      <c r="C3305" s="21" t="s">
        <v>1149</v>
      </c>
      <c r="D3305" s="21" t="s">
        <v>1763</v>
      </c>
      <c r="E3305" s="21" t="s">
        <v>1764</v>
      </c>
      <c r="G3305" s="21" t="s">
        <v>1165</v>
      </c>
      <c r="H3305" s="21" t="s">
        <v>1165</v>
      </c>
      <c r="I3305" s="21" t="s">
        <v>3119</v>
      </c>
      <c r="L3305">
        <v>3875</v>
      </c>
      <c r="M3305" s="21" t="s">
        <v>1145</v>
      </c>
      <c r="O3305" s="21">
        <v>2001</v>
      </c>
      <c r="P3305">
        <v>2002</v>
      </c>
      <c r="Q3305" t="s">
        <v>3117</v>
      </c>
      <c r="R3305">
        <f t="shared" si="38"/>
        <v>120</v>
      </c>
      <c r="T3305" t="s">
        <v>3035</v>
      </c>
      <c r="U3305" s="21" t="s">
        <v>1246</v>
      </c>
      <c r="V3305" s="9" t="s">
        <v>1247</v>
      </c>
      <c r="W3305">
        <v>7</v>
      </c>
      <c r="X3305" s="9" t="s">
        <v>3116</v>
      </c>
      <c r="Z3305" s="9" t="s">
        <v>2993</v>
      </c>
      <c r="AD3305" t="s">
        <v>1165</v>
      </c>
      <c r="AF3305" t="s">
        <v>1165</v>
      </c>
      <c r="AI3305" s="21" t="s">
        <v>1165</v>
      </c>
      <c r="AJ3305" s="21" t="s">
        <v>3120</v>
      </c>
      <c r="AK3305">
        <v>24.582999999999998</v>
      </c>
      <c r="AL3305" s="21" t="s">
        <v>2993</v>
      </c>
      <c r="AM3305">
        <f>25.29-24.078</f>
        <v>1.2119999999999997</v>
      </c>
      <c r="AN3305" s="21">
        <v>3</v>
      </c>
      <c r="AO3305" s="21">
        <v>15</v>
      </c>
      <c r="AP3305">
        <v>90</v>
      </c>
      <c r="AQ3305" s="22" t="s">
        <v>3060</v>
      </c>
      <c r="AR3305" s="21" t="s">
        <v>3118</v>
      </c>
    </row>
    <row r="3306" spans="1:44" x14ac:dyDescent="0.2">
      <c r="A3306" s="21" t="s">
        <v>1765</v>
      </c>
      <c r="B3306" s="21" t="s">
        <v>1146</v>
      </c>
      <c r="C3306" s="21" t="s">
        <v>1149</v>
      </c>
      <c r="D3306" s="21" t="s">
        <v>1763</v>
      </c>
      <c r="E3306" s="21" t="s">
        <v>1764</v>
      </c>
      <c r="G3306" s="21" t="s">
        <v>1165</v>
      </c>
      <c r="H3306" s="21" t="s">
        <v>1165</v>
      </c>
      <c r="I3306" s="21" t="s">
        <v>3119</v>
      </c>
      <c r="L3306">
        <v>3875</v>
      </c>
      <c r="M3306" s="21" t="s">
        <v>1145</v>
      </c>
      <c r="O3306" s="21">
        <v>2001</v>
      </c>
      <c r="P3306">
        <v>2002</v>
      </c>
      <c r="Q3306" t="s">
        <v>3117</v>
      </c>
      <c r="R3306">
        <f t="shared" si="38"/>
        <v>120</v>
      </c>
      <c r="T3306" t="s">
        <v>3035</v>
      </c>
      <c r="U3306" s="21" t="s">
        <v>1246</v>
      </c>
      <c r="V3306" s="9" t="s">
        <v>1247</v>
      </c>
      <c r="W3306">
        <v>14</v>
      </c>
      <c r="X3306" s="9" t="s">
        <v>3116</v>
      </c>
      <c r="Z3306" s="9" t="s">
        <v>2993</v>
      </c>
      <c r="AD3306" t="s">
        <v>1165</v>
      </c>
      <c r="AF3306" t="s">
        <v>1165</v>
      </c>
      <c r="AI3306" s="21" t="s">
        <v>1165</v>
      </c>
      <c r="AJ3306" s="21" t="s">
        <v>3120</v>
      </c>
      <c r="AK3306">
        <v>34.28</v>
      </c>
      <c r="AL3306" s="21" t="s">
        <v>2993</v>
      </c>
      <c r="AM3306">
        <f>37.412-31.957</f>
        <v>5.4549999999999983</v>
      </c>
      <c r="AN3306" s="21">
        <v>3</v>
      </c>
      <c r="AO3306" s="21">
        <v>15</v>
      </c>
      <c r="AP3306">
        <v>90</v>
      </c>
      <c r="AQ3306" s="22" t="s">
        <v>3060</v>
      </c>
      <c r="AR3306" s="21" t="s">
        <v>3118</v>
      </c>
    </row>
    <row r="3307" spans="1:44" x14ac:dyDescent="0.2">
      <c r="A3307" s="21" t="s">
        <v>1765</v>
      </c>
      <c r="B3307" s="21" t="s">
        <v>1146</v>
      </c>
      <c r="C3307" s="21" t="s">
        <v>1149</v>
      </c>
      <c r="D3307" s="21" t="s">
        <v>1763</v>
      </c>
      <c r="E3307" s="21" t="s">
        <v>1764</v>
      </c>
      <c r="G3307" s="21" t="s">
        <v>1165</v>
      </c>
      <c r="H3307" s="21" t="s">
        <v>1165</v>
      </c>
      <c r="I3307" s="21" t="s">
        <v>3119</v>
      </c>
      <c r="L3307">
        <v>3875</v>
      </c>
      <c r="M3307" s="21" t="s">
        <v>1145</v>
      </c>
      <c r="O3307" s="21">
        <v>2001</v>
      </c>
      <c r="P3307">
        <v>2002</v>
      </c>
      <c r="Q3307" t="s">
        <v>3117</v>
      </c>
      <c r="R3307">
        <f t="shared" si="38"/>
        <v>120</v>
      </c>
      <c r="T3307" t="s">
        <v>3035</v>
      </c>
      <c r="U3307" s="21" t="s">
        <v>1246</v>
      </c>
      <c r="V3307" s="9" t="s">
        <v>1247</v>
      </c>
      <c r="W3307">
        <v>21</v>
      </c>
      <c r="X3307" s="9" t="s">
        <v>3116</v>
      </c>
      <c r="Z3307" s="9" t="s">
        <v>2993</v>
      </c>
      <c r="AD3307" t="s">
        <v>1165</v>
      </c>
      <c r="AF3307" t="s">
        <v>1165</v>
      </c>
      <c r="AI3307" s="21" t="s">
        <v>1165</v>
      </c>
      <c r="AJ3307" s="21" t="s">
        <v>3120</v>
      </c>
      <c r="AK3307">
        <v>33.332999999999998</v>
      </c>
      <c r="AL3307" s="21" t="s">
        <v>2993</v>
      </c>
      <c r="AM3307">
        <f>34.381-32.462</f>
        <v>1.9189999999999969</v>
      </c>
      <c r="AN3307" s="21">
        <v>3</v>
      </c>
      <c r="AO3307" s="21">
        <v>15</v>
      </c>
      <c r="AP3307">
        <v>90</v>
      </c>
      <c r="AQ3307" s="22" t="s">
        <v>3060</v>
      </c>
      <c r="AR3307" s="21" t="s">
        <v>3118</v>
      </c>
    </row>
    <row r="3308" spans="1:44" x14ac:dyDescent="0.2">
      <c r="A3308" s="21" t="s">
        <v>1765</v>
      </c>
      <c r="B3308" s="21" t="s">
        <v>1146</v>
      </c>
      <c r="C3308" s="21" t="s">
        <v>1149</v>
      </c>
      <c r="D3308" s="21" t="s">
        <v>1763</v>
      </c>
      <c r="E3308" s="21" t="s">
        <v>1764</v>
      </c>
      <c r="G3308" s="21" t="s">
        <v>1165</v>
      </c>
      <c r="H3308" s="21" t="s">
        <v>1165</v>
      </c>
      <c r="I3308" s="21" t="s">
        <v>3121</v>
      </c>
      <c r="L3308">
        <v>3400</v>
      </c>
      <c r="M3308" s="21" t="s">
        <v>1145</v>
      </c>
      <c r="O3308" s="21">
        <v>2001</v>
      </c>
      <c r="P3308">
        <v>2002</v>
      </c>
      <c r="Q3308" t="s">
        <v>3117</v>
      </c>
      <c r="R3308">
        <f>4*30</f>
        <v>120</v>
      </c>
      <c r="T3308" t="s">
        <v>3035</v>
      </c>
      <c r="U3308" s="21" t="s">
        <v>1147</v>
      </c>
      <c r="X3308" s="9" t="s">
        <v>3116</v>
      </c>
      <c r="Z3308" s="9" t="s">
        <v>2993</v>
      </c>
      <c r="AD3308" t="s">
        <v>1165</v>
      </c>
      <c r="AF3308" t="s">
        <v>1165</v>
      </c>
      <c r="AI3308" s="21" t="s">
        <v>1165</v>
      </c>
      <c r="AJ3308" s="21" t="s">
        <v>1148</v>
      </c>
      <c r="AK3308">
        <v>24.527999999999999</v>
      </c>
      <c r="AL3308" s="21" t="s">
        <v>2993</v>
      </c>
      <c r="AM3308">
        <f>26.824-22.044</f>
        <v>4.7800000000000011</v>
      </c>
      <c r="AN3308" s="21">
        <v>3</v>
      </c>
      <c r="AO3308" s="21">
        <v>15</v>
      </c>
      <c r="AP3308">
        <v>90</v>
      </c>
      <c r="AQ3308" s="22" t="s">
        <v>3060</v>
      </c>
      <c r="AR3308" s="21" t="s">
        <v>3118</v>
      </c>
    </row>
    <row r="3309" spans="1:44" x14ac:dyDescent="0.2">
      <c r="A3309" s="21" t="s">
        <v>1765</v>
      </c>
      <c r="B3309" s="21" t="s">
        <v>1146</v>
      </c>
      <c r="C3309" s="21" t="s">
        <v>1149</v>
      </c>
      <c r="D3309" s="21" t="s">
        <v>1763</v>
      </c>
      <c r="E3309" s="21" t="s">
        <v>1764</v>
      </c>
      <c r="G3309" s="21" t="s">
        <v>1165</v>
      </c>
      <c r="H3309" s="21" t="s">
        <v>1165</v>
      </c>
      <c r="I3309" s="21" t="s">
        <v>3121</v>
      </c>
      <c r="L3309">
        <v>3400</v>
      </c>
      <c r="M3309" s="21" t="s">
        <v>1145</v>
      </c>
      <c r="O3309" s="21">
        <v>2001</v>
      </c>
      <c r="P3309">
        <v>2002</v>
      </c>
      <c r="Q3309" t="s">
        <v>3117</v>
      </c>
      <c r="R3309">
        <f t="shared" si="38"/>
        <v>120</v>
      </c>
      <c r="T3309" t="s">
        <v>3035</v>
      </c>
      <c r="U3309" s="21" t="s">
        <v>1246</v>
      </c>
      <c r="V3309" s="9" t="s">
        <v>1247</v>
      </c>
      <c r="W3309">
        <v>7</v>
      </c>
      <c r="X3309" s="9" t="s">
        <v>3116</v>
      </c>
      <c r="Z3309" s="9" t="s">
        <v>2993</v>
      </c>
      <c r="AD3309" t="s">
        <v>1165</v>
      </c>
      <c r="AF3309" t="s">
        <v>1165</v>
      </c>
      <c r="AI3309" s="21" t="s">
        <v>1165</v>
      </c>
      <c r="AJ3309" s="21" t="s">
        <v>1148</v>
      </c>
      <c r="AK3309">
        <v>44.716999999999999</v>
      </c>
      <c r="AL3309" s="21" t="s">
        <v>2993</v>
      </c>
      <c r="AM3309">
        <f>49.969-38.648</f>
        <v>11.320999999999998</v>
      </c>
      <c r="AN3309" s="21">
        <v>3</v>
      </c>
      <c r="AO3309" s="21">
        <v>15</v>
      </c>
      <c r="AP3309">
        <v>90</v>
      </c>
      <c r="AQ3309" s="22" t="s">
        <v>3060</v>
      </c>
      <c r="AR3309" s="21" t="s">
        <v>3118</v>
      </c>
    </row>
    <row r="3310" spans="1:44" x14ac:dyDescent="0.2">
      <c r="A3310" s="21" t="s">
        <v>1765</v>
      </c>
      <c r="B3310" s="21" t="s">
        <v>1146</v>
      </c>
      <c r="C3310" s="21" t="s">
        <v>1149</v>
      </c>
      <c r="D3310" s="21" t="s">
        <v>1763</v>
      </c>
      <c r="E3310" s="21" t="s">
        <v>1764</v>
      </c>
      <c r="G3310" s="21" t="s">
        <v>1165</v>
      </c>
      <c r="H3310" s="21" t="s">
        <v>1165</v>
      </c>
      <c r="I3310" s="21" t="s">
        <v>3121</v>
      </c>
      <c r="L3310">
        <v>3400</v>
      </c>
      <c r="M3310" s="21" t="s">
        <v>1145</v>
      </c>
      <c r="O3310" s="21">
        <v>2001</v>
      </c>
      <c r="P3310">
        <v>2002</v>
      </c>
      <c r="Q3310" t="s">
        <v>3117</v>
      </c>
      <c r="R3310">
        <f t="shared" si="38"/>
        <v>120</v>
      </c>
      <c r="T3310" t="s">
        <v>3035</v>
      </c>
      <c r="U3310" s="21" t="s">
        <v>1246</v>
      </c>
      <c r="V3310" s="9" t="s">
        <v>1247</v>
      </c>
      <c r="W3310">
        <v>14</v>
      </c>
      <c r="X3310" s="9" t="s">
        <v>3116</v>
      </c>
      <c r="Z3310" s="9" t="s">
        <v>2993</v>
      </c>
      <c r="AD3310" t="s">
        <v>1165</v>
      </c>
      <c r="AF3310" t="s">
        <v>1165</v>
      </c>
      <c r="AI3310" s="21" t="s">
        <v>1165</v>
      </c>
      <c r="AJ3310" s="21" t="s">
        <v>1148</v>
      </c>
      <c r="AK3310">
        <v>55.472000000000001</v>
      </c>
      <c r="AL3310" s="21" t="s">
        <v>2993</v>
      </c>
      <c r="AM3310">
        <f>57.516-52.987</f>
        <v>4.5289999999999964</v>
      </c>
      <c r="AN3310" s="21">
        <v>3</v>
      </c>
      <c r="AO3310" s="21">
        <v>15</v>
      </c>
      <c r="AP3310">
        <v>90</v>
      </c>
      <c r="AQ3310" s="22" t="s">
        <v>3060</v>
      </c>
      <c r="AR3310" s="21" t="s">
        <v>3118</v>
      </c>
    </row>
    <row r="3311" spans="1:44" x14ac:dyDescent="0.2">
      <c r="A3311" s="21" t="s">
        <v>1765</v>
      </c>
      <c r="B3311" s="21" t="s">
        <v>1146</v>
      </c>
      <c r="C3311" s="21" t="s">
        <v>1149</v>
      </c>
      <c r="D3311" s="21" t="s">
        <v>1763</v>
      </c>
      <c r="E3311" s="21" t="s">
        <v>1764</v>
      </c>
      <c r="G3311" s="21" t="s">
        <v>1165</v>
      </c>
      <c r="H3311" s="21" t="s">
        <v>1165</v>
      </c>
      <c r="I3311" s="21" t="s">
        <v>3121</v>
      </c>
      <c r="L3311">
        <v>3400</v>
      </c>
      <c r="M3311" s="21" t="s">
        <v>1145</v>
      </c>
      <c r="O3311" s="21">
        <v>2001</v>
      </c>
      <c r="P3311">
        <v>2002</v>
      </c>
      <c r="Q3311" t="s">
        <v>3117</v>
      </c>
      <c r="R3311">
        <f t="shared" si="38"/>
        <v>120</v>
      </c>
      <c r="T3311" t="s">
        <v>3035</v>
      </c>
      <c r="U3311" s="21" t="s">
        <v>1246</v>
      </c>
      <c r="V3311" s="9" t="s">
        <v>1247</v>
      </c>
      <c r="W3311">
        <v>21</v>
      </c>
      <c r="X3311" s="9" t="s">
        <v>3116</v>
      </c>
      <c r="Z3311" s="9" t="s">
        <v>2993</v>
      </c>
      <c r="AD3311" t="s">
        <v>1165</v>
      </c>
      <c r="AF3311" t="s">
        <v>1165</v>
      </c>
      <c r="AI3311" s="21" t="s">
        <v>1165</v>
      </c>
      <c r="AJ3311" s="21" t="s">
        <v>1148</v>
      </c>
      <c r="AK3311">
        <v>48.868000000000002</v>
      </c>
      <c r="AL3311" s="21" t="s">
        <v>2993</v>
      </c>
      <c r="AM3311">
        <f>51.226-46.195</f>
        <v>5.0309999999999988</v>
      </c>
      <c r="AN3311" s="21">
        <v>3</v>
      </c>
      <c r="AO3311" s="21">
        <v>15</v>
      </c>
      <c r="AP3311">
        <v>90</v>
      </c>
      <c r="AQ3311" s="22" t="s">
        <v>3060</v>
      </c>
      <c r="AR3311" s="21" t="s">
        <v>3118</v>
      </c>
    </row>
    <row r="3312" spans="1:44" x14ac:dyDescent="0.2">
      <c r="A3312" s="21" t="s">
        <v>1765</v>
      </c>
      <c r="B3312" s="21" t="s">
        <v>1146</v>
      </c>
      <c r="C3312" s="21" t="s">
        <v>1149</v>
      </c>
      <c r="D3312" s="21" t="s">
        <v>1763</v>
      </c>
      <c r="E3312" s="21" t="s">
        <v>1764</v>
      </c>
      <c r="G3312" s="21" t="s">
        <v>1165</v>
      </c>
      <c r="H3312" s="21" t="s">
        <v>1165</v>
      </c>
      <c r="I3312" s="21" t="s">
        <v>3121</v>
      </c>
      <c r="L3312">
        <v>3400</v>
      </c>
      <c r="M3312" s="21" t="s">
        <v>1145</v>
      </c>
      <c r="O3312" s="21">
        <v>2001</v>
      </c>
      <c r="P3312">
        <v>2002</v>
      </c>
      <c r="Q3312" t="s">
        <v>3117</v>
      </c>
      <c r="R3312">
        <f>4*30</f>
        <v>120</v>
      </c>
      <c r="T3312" t="s">
        <v>3035</v>
      </c>
      <c r="U3312" s="21" t="s">
        <v>1147</v>
      </c>
      <c r="X3312" s="9" t="s">
        <v>3116</v>
      </c>
      <c r="Z3312" s="9" t="s">
        <v>2993</v>
      </c>
      <c r="AD3312" t="s">
        <v>1165</v>
      </c>
      <c r="AF3312" t="s">
        <v>1165</v>
      </c>
      <c r="AI3312" s="21" t="s">
        <v>1165</v>
      </c>
      <c r="AJ3312" s="21" t="s">
        <v>3120</v>
      </c>
      <c r="AK3312">
        <v>26.527000000000001</v>
      </c>
      <c r="AL3312" s="21" t="s">
        <v>2993</v>
      </c>
      <c r="AM3312">
        <f>32.003-21.052</f>
        <v>10.951000000000001</v>
      </c>
      <c r="AN3312" s="21">
        <v>3</v>
      </c>
      <c r="AO3312" s="21">
        <v>15</v>
      </c>
      <c r="AP3312">
        <v>90</v>
      </c>
      <c r="AQ3312" s="22" t="s">
        <v>3060</v>
      </c>
      <c r="AR3312" s="21" t="s">
        <v>3118</v>
      </c>
    </row>
    <row r="3313" spans="1:44" x14ac:dyDescent="0.2">
      <c r="A3313" s="21" t="s">
        <v>1765</v>
      </c>
      <c r="B3313" s="21" t="s">
        <v>1146</v>
      </c>
      <c r="C3313" s="21" t="s">
        <v>1149</v>
      </c>
      <c r="D3313" s="21" t="s">
        <v>1763</v>
      </c>
      <c r="E3313" s="21" t="s">
        <v>1764</v>
      </c>
      <c r="G3313" s="21" t="s">
        <v>1165</v>
      </c>
      <c r="H3313" s="21" t="s">
        <v>1165</v>
      </c>
      <c r="I3313" s="21" t="s">
        <v>3121</v>
      </c>
      <c r="L3313">
        <v>3400</v>
      </c>
      <c r="M3313" s="21" t="s">
        <v>1145</v>
      </c>
      <c r="O3313" s="21">
        <v>2001</v>
      </c>
      <c r="P3313">
        <v>2002</v>
      </c>
      <c r="Q3313" t="s">
        <v>3117</v>
      </c>
      <c r="R3313">
        <f t="shared" si="38"/>
        <v>120</v>
      </c>
      <c r="T3313" t="s">
        <v>3035</v>
      </c>
      <c r="U3313" s="21" t="s">
        <v>1246</v>
      </c>
      <c r="V3313" s="9" t="s">
        <v>1247</v>
      </c>
      <c r="W3313">
        <v>7</v>
      </c>
      <c r="X3313" s="9" t="s">
        <v>3116</v>
      </c>
      <c r="Z3313" s="9" t="s">
        <v>2993</v>
      </c>
      <c r="AD3313" t="s">
        <v>1165</v>
      </c>
      <c r="AF3313" t="s">
        <v>1165</v>
      </c>
      <c r="AI3313" s="21" t="s">
        <v>1165</v>
      </c>
      <c r="AJ3313" s="21" t="s">
        <v>3120</v>
      </c>
      <c r="AK3313">
        <v>28.047999999999998</v>
      </c>
      <c r="AL3313" s="21" t="s">
        <v>2993</v>
      </c>
      <c r="AM3313">
        <f>29.569-26.831</f>
        <v>2.7379999999999995</v>
      </c>
      <c r="AN3313" s="21">
        <v>3</v>
      </c>
      <c r="AO3313" s="21">
        <v>15</v>
      </c>
      <c r="AP3313">
        <v>90</v>
      </c>
      <c r="AQ3313" s="22" t="s">
        <v>3060</v>
      </c>
      <c r="AR3313" s="21" t="s">
        <v>3118</v>
      </c>
    </row>
    <row r="3314" spans="1:44" x14ac:dyDescent="0.2">
      <c r="A3314" s="21" t="s">
        <v>1765</v>
      </c>
      <c r="B3314" s="21" t="s">
        <v>1146</v>
      </c>
      <c r="C3314" s="21" t="s">
        <v>1149</v>
      </c>
      <c r="D3314" s="21" t="s">
        <v>1763</v>
      </c>
      <c r="E3314" s="21" t="s">
        <v>1764</v>
      </c>
      <c r="G3314" s="21" t="s">
        <v>1165</v>
      </c>
      <c r="H3314" s="21" t="s">
        <v>1165</v>
      </c>
      <c r="I3314" s="21" t="s">
        <v>3121</v>
      </c>
      <c r="L3314">
        <v>3400</v>
      </c>
      <c r="M3314" s="21" t="s">
        <v>1145</v>
      </c>
      <c r="O3314" s="21">
        <v>2001</v>
      </c>
      <c r="P3314">
        <v>2002</v>
      </c>
      <c r="Q3314" t="s">
        <v>3117</v>
      </c>
      <c r="R3314">
        <f t="shared" si="38"/>
        <v>120</v>
      </c>
      <c r="T3314" t="s">
        <v>3035</v>
      </c>
      <c r="U3314" s="21" t="s">
        <v>1246</v>
      </c>
      <c r="V3314" s="9" t="s">
        <v>1247</v>
      </c>
      <c r="W3314">
        <v>14</v>
      </c>
      <c r="X3314" s="9" t="s">
        <v>3116</v>
      </c>
      <c r="Z3314" s="9" t="s">
        <v>2993</v>
      </c>
      <c r="AD3314" t="s">
        <v>1165</v>
      </c>
      <c r="AF3314" t="s">
        <v>1165</v>
      </c>
      <c r="AI3314" s="21" t="s">
        <v>1165</v>
      </c>
      <c r="AJ3314" s="21" t="s">
        <v>3120</v>
      </c>
      <c r="AK3314">
        <v>26.73</v>
      </c>
      <c r="AL3314" s="21" t="s">
        <v>2993</v>
      </c>
      <c r="AM3314">
        <f>28.251-25.513</f>
        <v>2.7379999999999995</v>
      </c>
      <c r="AN3314" s="21">
        <v>3</v>
      </c>
      <c r="AO3314" s="21">
        <v>15</v>
      </c>
      <c r="AP3314">
        <v>90</v>
      </c>
      <c r="AQ3314" s="22" t="s">
        <v>3060</v>
      </c>
      <c r="AR3314" s="21" t="s">
        <v>3118</v>
      </c>
    </row>
    <row r="3315" spans="1:44" x14ac:dyDescent="0.2">
      <c r="A3315" s="21" t="s">
        <v>1765</v>
      </c>
      <c r="B3315" s="21" t="s">
        <v>1146</v>
      </c>
      <c r="C3315" s="21" t="s">
        <v>1149</v>
      </c>
      <c r="D3315" s="21" t="s">
        <v>1763</v>
      </c>
      <c r="E3315" s="21" t="s">
        <v>1764</v>
      </c>
      <c r="G3315" s="21" t="s">
        <v>1165</v>
      </c>
      <c r="H3315" s="21" t="s">
        <v>1165</v>
      </c>
      <c r="I3315" s="21" t="s">
        <v>3121</v>
      </c>
      <c r="L3315">
        <v>3400</v>
      </c>
      <c r="M3315" s="21" t="s">
        <v>1145</v>
      </c>
      <c r="O3315" s="21">
        <v>2001</v>
      </c>
      <c r="P3315">
        <v>2002</v>
      </c>
      <c r="Q3315" t="s">
        <v>3117</v>
      </c>
      <c r="R3315">
        <f t="shared" si="38"/>
        <v>120</v>
      </c>
      <c r="T3315" t="s">
        <v>3035</v>
      </c>
      <c r="U3315" s="21" t="s">
        <v>1246</v>
      </c>
      <c r="V3315" s="9" t="s">
        <v>1247</v>
      </c>
      <c r="W3315">
        <v>21</v>
      </c>
      <c r="X3315" s="9" t="s">
        <v>3116</v>
      </c>
      <c r="Z3315" s="9" t="s">
        <v>2993</v>
      </c>
      <c r="AD3315" t="s">
        <v>1165</v>
      </c>
      <c r="AF3315" t="s">
        <v>1165</v>
      </c>
      <c r="AI3315" s="21" t="s">
        <v>1165</v>
      </c>
      <c r="AJ3315" s="21" t="s">
        <v>3120</v>
      </c>
      <c r="AK3315">
        <v>15.981999999999999</v>
      </c>
      <c r="AL3315" s="21" t="s">
        <v>2993</v>
      </c>
      <c r="AM3315">
        <f>16.793-15.272</f>
        <v>1.520999999999999</v>
      </c>
      <c r="AN3315" s="21">
        <v>3</v>
      </c>
      <c r="AO3315" s="21">
        <v>15</v>
      </c>
      <c r="AP3315">
        <v>90</v>
      </c>
      <c r="AQ3315" s="22" t="s">
        <v>3060</v>
      </c>
      <c r="AR3315" s="21" t="s">
        <v>3118</v>
      </c>
    </row>
    <row r="3316" spans="1:44" x14ac:dyDescent="0.2">
      <c r="A3316" s="21" t="s">
        <v>1765</v>
      </c>
      <c r="B3316" s="21" t="s">
        <v>1146</v>
      </c>
      <c r="C3316" s="21" t="s">
        <v>1149</v>
      </c>
      <c r="D3316" s="21" t="s">
        <v>1763</v>
      </c>
      <c r="E3316" s="21" t="s">
        <v>1764</v>
      </c>
      <c r="G3316" s="21" t="s">
        <v>1165</v>
      </c>
      <c r="H3316" s="21" t="s">
        <v>1165</v>
      </c>
      <c r="I3316" s="21" t="s">
        <v>3119</v>
      </c>
      <c r="L3316">
        <v>3875</v>
      </c>
      <c r="M3316" s="21" t="s">
        <v>1145</v>
      </c>
      <c r="O3316" s="21">
        <v>2001</v>
      </c>
      <c r="P3316">
        <v>2002</v>
      </c>
      <c r="Q3316" t="s">
        <v>3117</v>
      </c>
      <c r="R3316">
        <f>4*30</f>
        <v>120</v>
      </c>
      <c r="T3316" t="s">
        <v>3035</v>
      </c>
      <c r="U3316" s="21" t="s">
        <v>1147</v>
      </c>
      <c r="X3316" s="9" t="s">
        <v>3116</v>
      </c>
      <c r="Z3316" s="9" t="s">
        <v>2993</v>
      </c>
      <c r="AD3316" t="s">
        <v>1165</v>
      </c>
      <c r="AI3316" s="21" t="s">
        <v>1165</v>
      </c>
      <c r="AJ3316" s="21" t="s">
        <v>1148</v>
      </c>
      <c r="AK3316">
        <v>46.781999999999996</v>
      </c>
      <c r="AL3316" s="21" t="s">
        <v>2993</v>
      </c>
      <c r="AM3316">
        <v>0</v>
      </c>
      <c r="AN3316" s="21">
        <v>3</v>
      </c>
      <c r="AO3316" s="21">
        <v>15</v>
      </c>
      <c r="AP3316">
        <v>90</v>
      </c>
      <c r="AQ3316" s="22" t="s">
        <v>3060</v>
      </c>
      <c r="AR3316" s="21" t="s">
        <v>3122</v>
      </c>
    </row>
    <row r="3317" spans="1:44" x14ac:dyDescent="0.2">
      <c r="A3317" s="21" t="s">
        <v>1765</v>
      </c>
      <c r="B3317" s="21" t="s">
        <v>1146</v>
      </c>
      <c r="C3317" s="21" t="s">
        <v>1149</v>
      </c>
      <c r="D3317" s="21" t="s">
        <v>1763</v>
      </c>
      <c r="E3317" s="21" t="s">
        <v>1764</v>
      </c>
      <c r="G3317" s="21" t="s">
        <v>1165</v>
      </c>
      <c r="H3317" s="21" t="s">
        <v>1165</v>
      </c>
      <c r="I3317" s="21" t="s">
        <v>3119</v>
      </c>
      <c r="L3317">
        <v>3875</v>
      </c>
      <c r="M3317" s="21" t="s">
        <v>1145</v>
      </c>
      <c r="O3317" s="21">
        <v>2001</v>
      </c>
      <c r="P3317">
        <v>2002</v>
      </c>
      <c r="Q3317" t="s">
        <v>3117</v>
      </c>
      <c r="R3317">
        <f t="shared" ref="R3317:R3331" si="39">4*30</f>
        <v>120</v>
      </c>
      <c r="T3317" t="s">
        <v>3035</v>
      </c>
      <c r="U3317" s="21" t="s">
        <v>95</v>
      </c>
      <c r="X3317" s="9" t="s">
        <v>3116</v>
      </c>
      <c r="Z3317" s="9" t="s">
        <v>2993</v>
      </c>
      <c r="AA3317" t="s">
        <v>3123</v>
      </c>
      <c r="AB3317">
        <v>100</v>
      </c>
      <c r="AC3317">
        <v>1</v>
      </c>
      <c r="AD3317" t="s">
        <v>1165</v>
      </c>
      <c r="AF3317" t="s">
        <v>153</v>
      </c>
      <c r="AI3317" s="21" t="s">
        <v>1165</v>
      </c>
      <c r="AJ3317" s="21" t="s">
        <v>1148</v>
      </c>
      <c r="AK3317">
        <v>78.36</v>
      </c>
      <c r="AL3317" s="21" t="s">
        <v>2993</v>
      </c>
      <c r="AM3317">
        <f>80.347-75.804</f>
        <v>4.5429999999999922</v>
      </c>
      <c r="AN3317" s="21">
        <v>3</v>
      </c>
      <c r="AO3317" s="21">
        <v>15</v>
      </c>
      <c r="AP3317">
        <v>90</v>
      </c>
      <c r="AQ3317" s="22" t="s">
        <v>3060</v>
      </c>
      <c r="AR3317" s="21" t="s">
        <v>3122</v>
      </c>
    </row>
    <row r="3318" spans="1:44" x14ac:dyDescent="0.2">
      <c r="A3318" s="21" t="s">
        <v>1765</v>
      </c>
      <c r="B3318" s="21" t="s">
        <v>1146</v>
      </c>
      <c r="C3318" s="21" t="s">
        <v>1149</v>
      </c>
      <c r="D3318" s="21" t="s">
        <v>1763</v>
      </c>
      <c r="E3318" s="21" t="s">
        <v>1764</v>
      </c>
      <c r="G3318" s="21" t="s">
        <v>1165</v>
      </c>
      <c r="H3318" s="21" t="s">
        <v>1165</v>
      </c>
      <c r="I3318" s="21" t="s">
        <v>3119</v>
      </c>
      <c r="L3318">
        <v>3875</v>
      </c>
      <c r="M3318" s="21" t="s">
        <v>1145</v>
      </c>
      <c r="O3318" s="21">
        <v>2001</v>
      </c>
      <c r="P3318">
        <v>2002</v>
      </c>
      <c r="Q3318" t="s">
        <v>3117</v>
      </c>
      <c r="R3318">
        <f t="shared" si="39"/>
        <v>120</v>
      </c>
      <c r="T3318" t="s">
        <v>3035</v>
      </c>
      <c r="U3318" s="21" t="s">
        <v>95</v>
      </c>
      <c r="X3318" s="9" t="s">
        <v>3116</v>
      </c>
      <c r="Z3318" s="9" t="s">
        <v>2993</v>
      </c>
      <c r="AA3318" t="s">
        <v>3123</v>
      </c>
      <c r="AB3318">
        <v>500</v>
      </c>
      <c r="AC3318">
        <v>1</v>
      </c>
      <c r="AD3318" t="s">
        <v>1165</v>
      </c>
      <c r="AF3318" t="s">
        <v>153</v>
      </c>
      <c r="AI3318" s="21" t="s">
        <v>1165</v>
      </c>
      <c r="AJ3318" s="21" t="s">
        <v>1148</v>
      </c>
      <c r="AK3318">
        <v>62.65</v>
      </c>
      <c r="AL3318" s="21" t="s">
        <v>2993</v>
      </c>
      <c r="AM3318">
        <f>66.972-57.634</f>
        <v>9.3379999999999939</v>
      </c>
      <c r="AN3318" s="21">
        <v>3</v>
      </c>
      <c r="AO3318" s="21">
        <v>15</v>
      </c>
      <c r="AP3318">
        <v>90</v>
      </c>
      <c r="AQ3318" s="22" t="s">
        <v>3060</v>
      </c>
      <c r="AR3318" s="21" t="s">
        <v>3122</v>
      </c>
    </row>
    <row r="3319" spans="1:44" x14ac:dyDescent="0.2">
      <c r="A3319" s="21" t="s">
        <v>1765</v>
      </c>
      <c r="B3319" s="21" t="s">
        <v>1146</v>
      </c>
      <c r="C3319" s="21" t="s">
        <v>1149</v>
      </c>
      <c r="D3319" s="21" t="s">
        <v>1763</v>
      </c>
      <c r="E3319" s="21" t="s">
        <v>1764</v>
      </c>
      <c r="G3319" s="21" t="s">
        <v>1165</v>
      </c>
      <c r="H3319" s="21" t="s">
        <v>1165</v>
      </c>
      <c r="I3319" s="21" t="s">
        <v>3119</v>
      </c>
      <c r="L3319">
        <v>3875</v>
      </c>
      <c r="M3319" s="21" t="s">
        <v>1145</v>
      </c>
      <c r="O3319" s="21">
        <v>2001</v>
      </c>
      <c r="P3319">
        <v>2002</v>
      </c>
      <c r="Q3319" t="s">
        <v>3117</v>
      </c>
      <c r="R3319">
        <f t="shared" si="39"/>
        <v>120</v>
      </c>
      <c r="T3319" t="s">
        <v>3035</v>
      </c>
      <c r="U3319" s="21" t="s">
        <v>95</v>
      </c>
      <c r="X3319" s="9" t="s">
        <v>3116</v>
      </c>
      <c r="Z3319" s="9" t="s">
        <v>2993</v>
      </c>
      <c r="AA3319" t="s">
        <v>3123</v>
      </c>
      <c r="AB3319">
        <v>1000</v>
      </c>
      <c r="AC3319">
        <v>1</v>
      </c>
      <c r="AD3319" t="s">
        <v>1165</v>
      </c>
      <c r="AF3319" t="s">
        <v>153</v>
      </c>
      <c r="AI3319" s="21" t="s">
        <v>1165</v>
      </c>
      <c r="AJ3319" s="21" t="s">
        <v>1148</v>
      </c>
      <c r="AK3319">
        <v>53.595999999999997</v>
      </c>
      <c r="AL3319" s="21" t="s">
        <v>2993</v>
      </c>
      <c r="AM3319">
        <f>57.382-49.306</f>
        <v>8.0760000000000005</v>
      </c>
      <c r="AN3319" s="21">
        <v>3</v>
      </c>
      <c r="AO3319" s="21">
        <v>15</v>
      </c>
      <c r="AP3319">
        <v>90</v>
      </c>
      <c r="AQ3319" s="22" t="s">
        <v>3060</v>
      </c>
      <c r="AR3319" s="21" t="s">
        <v>3122</v>
      </c>
    </row>
    <row r="3320" spans="1:44" x14ac:dyDescent="0.2">
      <c r="A3320" s="21" t="s">
        <v>1765</v>
      </c>
      <c r="B3320" s="21" t="s">
        <v>1146</v>
      </c>
      <c r="C3320" s="21" t="s">
        <v>1149</v>
      </c>
      <c r="D3320" s="21" t="s">
        <v>1763</v>
      </c>
      <c r="E3320" s="21" t="s">
        <v>1764</v>
      </c>
      <c r="G3320" s="21" t="s">
        <v>1165</v>
      </c>
      <c r="H3320" s="21" t="s">
        <v>1165</v>
      </c>
      <c r="I3320" s="21" t="s">
        <v>3119</v>
      </c>
      <c r="L3320">
        <v>3875</v>
      </c>
      <c r="M3320" s="21" t="s">
        <v>1145</v>
      </c>
      <c r="O3320" s="21">
        <v>2001</v>
      </c>
      <c r="P3320">
        <v>2002</v>
      </c>
      <c r="Q3320" t="s">
        <v>3117</v>
      </c>
      <c r="R3320">
        <f>4*30</f>
        <v>120</v>
      </c>
      <c r="T3320" t="s">
        <v>3035</v>
      </c>
      <c r="U3320" s="21" t="s">
        <v>1147</v>
      </c>
      <c r="X3320" s="9" t="s">
        <v>3116</v>
      </c>
      <c r="Z3320" s="9" t="s">
        <v>2993</v>
      </c>
      <c r="AD3320" t="s">
        <v>1165</v>
      </c>
      <c r="AF3320" t="s">
        <v>1165</v>
      </c>
      <c r="AI3320" s="21" t="s">
        <v>1165</v>
      </c>
      <c r="AJ3320" s="21" t="s">
        <v>3120</v>
      </c>
      <c r="AK3320">
        <v>20.53</v>
      </c>
      <c r="AL3320" s="21" t="s">
        <v>2993</v>
      </c>
      <c r="AM3320">
        <f>21.528-19.609</f>
        <v>1.9189999999999969</v>
      </c>
      <c r="AN3320" s="21">
        <v>3</v>
      </c>
      <c r="AO3320" s="21">
        <v>15</v>
      </c>
      <c r="AP3320">
        <v>90</v>
      </c>
      <c r="AQ3320" s="22" t="s">
        <v>3060</v>
      </c>
      <c r="AR3320" s="21" t="s">
        <v>3122</v>
      </c>
    </row>
    <row r="3321" spans="1:44" x14ac:dyDescent="0.2">
      <c r="A3321" s="21" t="s">
        <v>1765</v>
      </c>
      <c r="B3321" s="21" t="s">
        <v>1146</v>
      </c>
      <c r="C3321" s="21" t="s">
        <v>1149</v>
      </c>
      <c r="D3321" s="21" t="s">
        <v>1763</v>
      </c>
      <c r="E3321" s="21" t="s">
        <v>1764</v>
      </c>
      <c r="G3321" s="21" t="s">
        <v>1165</v>
      </c>
      <c r="H3321" s="21" t="s">
        <v>1165</v>
      </c>
      <c r="I3321" s="21" t="s">
        <v>3119</v>
      </c>
      <c r="L3321">
        <v>3875</v>
      </c>
      <c r="M3321" s="21" t="s">
        <v>1145</v>
      </c>
      <c r="O3321" s="21">
        <v>2001</v>
      </c>
      <c r="P3321">
        <v>2002</v>
      </c>
      <c r="Q3321" t="s">
        <v>3117</v>
      </c>
      <c r="R3321">
        <f t="shared" si="39"/>
        <v>120</v>
      </c>
      <c r="T3321" t="s">
        <v>3035</v>
      </c>
      <c r="U3321" s="21" t="s">
        <v>95</v>
      </c>
      <c r="X3321" s="9" t="s">
        <v>3116</v>
      </c>
      <c r="Z3321" s="9" t="s">
        <v>2993</v>
      </c>
      <c r="AA3321" t="s">
        <v>3123</v>
      </c>
      <c r="AB3321">
        <v>100</v>
      </c>
      <c r="AC3321">
        <v>1</v>
      </c>
      <c r="AD3321" t="s">
        <v>1165</v>
      </c>
      <c r="AF3321" t="s">
        <v>153</v>
      </c>
      <c r="AI3321" s="21" t="s">
        <v>1165</v>
      </c>
      <c r="AJ3321" s="21" t="s">
        <v>3120</v>
      </c>
      <c r="AK3321">
        <v>14.962</v>
      </c>
      <c r="AL3321" s="21" t="s">
        <v>2993</v>
      </c>
      <c r="AM3321" s="21" t="s">
        <v>3003</v>
      </c>
      <c r="AN3321" s="21">
        <v>3</v>
      </c>
      <c r="AO3321" s="21">
        <v>15</v>
      </c>
      <c r="AP3321">
        <v>90</v>
      </c>
      <c r="AQ3321" s="22" t="s">
        <v>3060</v>
      </c>
      <c r="AR3321" s="21" t="s">
        <v>3122</v>
      </c>
    </row>
    <row r="3322" spans="1:44" x14ac:dyDescent="0.2">
      <c r="A3322" s="21" t="s">
        <v>1765</v>
      </c>
      <c r="B3322" s="21" t="s">
        <v>1146</v>
      </c>
      <c r="C3322" s="21" t="s">
        <v>1149</v>
      </c>
      <c r="D3322" s="21" t="s">
        <v>1763</v>
      </c>
      <c r="E3322" s="21" t="s">
        <v>1764</v>
      </c>
      <c r="G3322" s="21" t="s">
        <v>1165</v>
      </c>
      <c r="H3322" s="21" t="s">
        <v>1165</v>
      </c>
      <c r="I3322" s="21" t="s">
        <v>3119</v>
      </c>
      <c r="L3322">
        <v>3875</v>
      </c>
      <c r="M3322" s="21" t="s">
        <v>1145</v>
      </c>
      <c r="O3322" s="21">
        <v>2001</v>
      </c>
      <c r="P3322">
        <v>2002</v>
      </c>
      <c r="Q3322" t="s">
        <v>3117</v>
      </c>
      <c r="R3322">
        <f t="shared" si="39"/>
        <v>120</v>
      </c>
      <c r="T3322" t="s">
        <v>3035</v>
      </c>
      <c r="U3322" s="21" t="s">
        <v>95</v>
      </c>
      <c r="X3322" s="9" t="s">
        <v>3116</v>
      </c>
      <c r="Z3322" s="9" t="s">
        <v>2993</v>
      </c>
      <c r="AA3322" t="s">
        <v>3123</v>
      </c>
      <c r="AB3322">
        <v>500</v>
      </c>
      <c r="AC3322">
        <v>1</v>
      </c>
      <c r="AD3322" t="s">
        <v>1165</v>
      </c>
      <c r="AF3322" t="s">
        <v>153</v>
      </c>
      <c r="AI3322" s="21" t="s">
        <v>1165</v>
      </c>
      <c r="AJ3322" s="21" t="s">
        <v>3120</v>
      </c>
      <c r="AK3322">
        <v>18.295000000000002</v>
      </c>
      <c r="AL3322" s="21" t="s">
        <v>2993</v>
      </c>
      <c r="AM3322" s="21">
        <f>19.205-17.79</f>
        <v>1.4149999999999991</v>
      </c>
      <c r="AN3322" s="21">
        <v>3</v>
      </c>
      <c r="AO3322" s="21">
        <v>15</v>
      </c>
      <c r="AP3322">
        <v>90</v>
      </c>
      <c r="AQ3322" s="22" t="s">
        <v>3060</v>
      </c>
      <c r="AR3322" s="21" t="s">
        <v>3122</v>
      </c>
    </row>
    <row r="3323" spans="1:44" x14ac:dyDescent="0.2">
      <c r="A3323" s="21" t="s">
        <v>1765</v>
      </c>
      <c r="B3323" s="21" t="s">
        <v>1146</v>
      </c>
      <c r="C3323" s="21" t="s">
        <v>1149</v>
      </c>
      <c r="D3323" s="21" t="s">
        <v>1763</v>
      </c>
      <c r="E3323" s="21" t="s">
        <v>1764</v>
      </c>
      <c r="G3323" s="21" t="s">
        <v>1165</v>
      </c>
      <c r="H3323" s="21" t="s">
        <v>1165</v>
      </c>
      <c r="I3323" s="21" t="s">
        <v>3119</v>
      </c>
      <c r="L3323">
        <v>3875</v>
      </c>
      <c r="M3323" s="21" t="s">
        <v>1145</v>
      </c>
      <c r="O3323" s="21">
        <v>2001</v>
      </c>
      <c r="P3323">
        <v>2002</v>
      </c>
      <c r="Q3323" t="s">
        <v>3117</v>
      </c>
      <c r="R3323">
        <f t="shared" si="39"/>
        <v>120</v>
      </c>
      <c r="T3323" t="s">
        <v>3035</v>
      </c>
      <c r="U3323" s="21" t="s">
        <v>95</v>
      </c>
      <c r="X3323" s="9" t="s">
        <v>3116</v>
      </c>
      <c r="Z3323" s="9" t="s">
        <v>2993</v>
      </c>
      <c r="AA3323" t="s">
        <v>3123</v>
      </c>
      <c r="AB3323">
        <v>1000</v>
      </c>
      <c r="AC3323">
        <v>1</v>
      </c>
      <c r="AD3323" t="s">
        <v>1165</v>
      </c>
      <c r="AF3323" t="s">
        <v>153</v>
      </c>
      <c r="AI3323" s="21" t="s">
        <v>1165</v>
      </c>
      <c r="AJ3323" s="21" t="s">
        <v>3120</v>
      </c>
      <c r="AK3323">
        <v>16.577999999999999</v>
      </c>
      <c r="AL3323" s="21" t="s">
        <v>2993</v>
      </c>
      <c r="AM3323">
        <f>17.689-15.265</f>
        <v>2.4239999999999995</v>
      </c>
      <c r="AN3323" s="21">
        <v>3</v>
      </c>
      <c r="AO3323" s="21">
        <v>15</v>
      </c>
      <c r="AP3323">
        <v>90</v>
      </c>
      <c r="AQ3323" s="22" t="s">
        <v>3060</v>
      </c>
      <c r="AR3323" s="21" t="s">
        <v>3122</v>
      </c>
    </row>
    <row r="3324" spans="1:44" x14ac:dyDescent="0.2">
      <c r="A3324" s="21" t="s">
        <v>1765</v>
      </c>
      <c r="B3324" s="21" t="s">
        <v>1146</v>
      </c>
      <c r="C3324" s="21" t="s">
        <v>1149</v>
      </c>
      <c r="D3324" s="21" t="s">
        <v>1763</v>
      </c>
      <c r="E3324" s="21" t="s">
        <v>1764</v>
      </c>
      <c r="G3324" s="21" t="s">
        <v>1165</v>
      </c>
      <c r="H3324" s="21" t="s">
        <v>1165</v>
      </c>
      <c r="I3324" s="21" t="s">
        <v>3121</v>
      </c>
      <c r="L3324">
        <v>3400</v>
      </c>
      <c r="M3324" s="21" t="s">
        <v>1145</v>
      </c>
      <c r="O3324" s="21">
        <v>2001</v>
      </c>
      <c r="P3324">
        <v>2002</v>
      </c>
      <c r="Q3324" t="s">
        <v>3117</v>
      </c>
      <c r="R3324">
        <f>4*30</f>
        <v>120</v>
      </c>
      <c r="T3324" t="s">
        <v>3035</v>
      </c>
      <c r="U3324" s="21" t="s">
        <v>1147</v>
      </c>
      <c r="X3324" s="9" t="s">
        <v>3116</v>
      </c>
      <c r="Z3324" s="9" t="s">
        <v>2993</v>
      </c>
      <c r="AD3324" t="s">
        <v>1165</v>
      </c>
      <c r="AF3324" t="s">
        <v>1165</v>
      </c>
      <c r="AI3324" s="21" t="s">
        <v>1165</v>
      </c>
      <c r="AJ3324" s="21" t="s">
        <v>1148</v>
      </c>
      <c r="AK3324">
        <v>24.738</v>
      </c>
      <c r="AL3324" s="21" t="s">
        <v>2993</v>
      </c>
      <c r="AM3324">
        <f>26.923-22.492</f>
        <v>4.4309999999999974</v>
      </c>
      <c r="AN3324" s="21">
        <v>3</v>
      </c>
      <c r="AO3324" s="21">
        <v>15</v>
      </c>
      <c r="AP3324">
        <v>90</v>
      </c>
      <c r="AQ3324" s="22" t="s">
        <v>3060</v>
      </c>
      <c r="AR3324" s="21" t="s">
        <v>3122</v>
      </c>
    </row>
    <row r="3325" spans="1:44" x14ac:dyDescent="0.2">
      <c r="A3325" s="21" t="s">
        <v>1765</v>
      </c>
      <c r="B3325" s="21" t="s">
        <v>1146</v>
      </c>
      <c r="C3325" s="21" t="s">
        <v>1149</v>
      </c>
      <c r="D3325" s="21" t="s">
        <v>1763</v>
      </c>
      <c r="E3325" s="21" t="s">
        <v>1764</v>
      </c>
      <c r="G3325" s="21" t="s">
        <v>1165</v>
      </c>
      <c r="H3325" s="21" t="s">
        <v>1165</v>
      </c>
      <c r="I3325" s="21" t="s">
        <v>3121</v>
      </c>
      <c r="L3325">
        <v>3400</v>
      </c>
      <c r="M3325" s="21" t="s">
        <v>1145</v>
      </c>
      <c r="O3325" s="21">
        <v>2001</v>
      </c>
      <c r="P3325">
        <v>2002</v>
      </c>
      <c r="Q3325" t="s">
        <v>3117</v>
      </c>
      <c r="R3325">
        <f t="shared" si="39"/>
        <v>120</v>
      </c>
      <c r="T3325" t="s">
        <v>3035</v>
      </c>
      <c r="U3325" s="21" t="s">
        <v>95</v>
      </c>
      <c r="X3325" s="9" t="s">
        <v>3116</v>
      </c>
      <c r="Z3325" s="9" t="s">
        <v>2993</v>
      </c>
      <c r="AA3325" t="s">
        <v>3123</v>
      </c>
      <c r="AB3325">
        <v>100</v>
      </c>
      <c r="AC3325">
        <v>1</v>
      </c>
      <c r="AD3325" t="s">
        <v>1165</v>
      </c>
      <c r="AF3325" t="s">
        <v>153</v>
      </c>
      <c r="AI3325" s="21" t="s">
        <v>1165</v>
      </c>
      <c r="AJ3325" s="21" t="s">
        <v>1148</v>
      </c>
      <c r="AK3325">
        <v>27.169</v>
      </c>
      <c r="AL3325" s="21" t="s">
        <v>2993</v>
      </c>
      <c r="AM3325">
        <v>0</v>
      </c>
      <c r="AN3325" s="21">
        <v>3</v>
      </c>
      <c r="AO3325" s="21">
        <v>15</v>
      </c>
      <c r="AP3325">
        <v>90</v>
      </c>
      <c r="AQ3325" s="22" t="s">
        <v>3060</v>
      </c>
      <c r="AR3325" s="21" t="s">
        <v>3122</v>
      </c>
    </row>
    <row r="3326" spans="1:44" x14ac:dyDescent="0.2">
      <c r="A3326" s="21" t="s">
        <v>1765</v>
      </c>
      <c r="B3326" s="21" t="s">
        <v>1146</v>
      </c>
      <c r="C3326" s="21" t="s">
        <v>1149</v>
      </c>
      <c r="D3326" s="21" t="s">
        <v>1763</v>
      </c>
      <c r="E3326" s="21" t="s">
        <v>1764</v>
      </c>
      <c r="G3326" s="21" t="s">
        <v>1165</v>
      </c>
      <c r="H3326" s="21" t="s">
        <v>1165</v>
      </c>
      <c r="I3326" s="21" t="s">
        <v>3121</v>
      </c>
      <c r="L3326">
        <v>3400</v>
      </c>
      <c r="M3326" s="21" t="s">
        <v>1145</v>
      </c>
      <c r="O3326" s="21">
        <v>2001</v>
      </c>
      <c r="P3326">
        <v>2002</v>
      </c>
      <c r="Q3326" t="s">
        <v>3117</v>
      </c>
      <c r="R3326">
        <f t="shared" si="39"/>
        <v>120</v>
      </c>
      <c r="T3326" t="s">
        <v>3035</v>
      </c>
      <c r="U3326" s="21" t="s">
        <v>95</v>
      </c>
      <c r="X3326" s="9" t="s">
        <v>3116</v>
      </c>
      <c r="Z3326" s="9" t="s">
        <v>2993</v>
      </c>
      <c r="AA3326" t="s">
        <v>3123</v>
      </c>
      <c r="AB3326">
        <v>500</v>
      </c>
      <c r="AC3326">
        <v>1</v>
      </c>
      <c r="AD3326" t="s">
        <v>1165</v>
      </c>
      <c r="AF3326" t="s">
        <v>153</v>
      </c>
      <c r="AI3326" s="21" t="s">
        <v>1165</v>
      </c>
      <c r="AJ3326" s="21" t="s">
        <v>1148</v>
      </c>
      <c r="AK3326">
        <v>44.862000000000002</v>
      </c>
      <c r="AL3326" s="21" t="s">
        <v>2993</v>
      </c>
      <c r="AM3326">
        <f>47.354-42.431</f>
        <v>4.9230000000000018</v>
      </c>
      <c r="AN3326" s="21">
        <v>3</v>
      </c>
      <c r="AO3326" s="21">
        <v>15</v>
      </c>
      <c r="AP3326">
        <v>90</v>
      </c>
      <c r="AQ3326" s="22" t="s">
        <v>3060</v>
      </c>
      <c r="AR3326" s="21" t="s">
        <v>3122</v>
      </c>
    </row>
    <row r="3327" spans="1:44" x14ac:dyDescent="0.2">
      <c r="A3327" s="21" t="s">
        <v>1765</v>
      </c>
      <c r="B3327" s="21" t="s">
        <v>1146</v>
      </c>
      <c r="C3327" s="21" t="s">
        <v>1149</v>
      </c>
      <c r="D3327" s="21" t="s">
        <v>1763</v>
      </c>
      <c r="E3327" s="21" t="s">
        <v>1764</v>
      </c>
      <c r="G3327" s="21" t="s">
        <v>1165</v>
      </c>
      <c r="H3327" s="21" t="s">
        <v>1165</v>
      </c>
      <c r="I3327" s="21" t="s">
        <v>3121</v>
      </c>
      <c r="L3327">
        <v>3400</v>
      </c>
      <c r="M3327" s="21" t="s">
        <v>1145</v>
      </c>
      <c r="O3327" s="21">
        <v>2001</v>
      </c>
      <c r="P3327">
        <v>2002</v>
      </c>
      <c r="Q3327" t="s">
        <v>3117</v>
      </c>
      <c r="R3327">
        <f t="shared" si="39"/>
        <v>120</v>
      </c>
      <c r="T3327" t="s">
        <v>3035</v>
      </c>
      <c r="U3327" s="21" t="s">
        <v>95</v>
      </c>
      <c r="X3327" s="9" t="s">
        <v>3116</v>
      </c>
      <c r="Z3327" s="9" t="s">
        <v>2993</v>
      </c>
      <c r="AA3327" t="s">
        <v>3123</v>
      </c>
      <c r="AB3327">
        <v>1000</v>
      </c>
      <c r="AC3327">
        <v>1</v>
      </c>
      <c r="AD3327" t="s">
        <v>1165</v>
      </c>
      <c r="AF3327" t="s">
        <v>153</v>
      </c>
      <c r="AI3327" s="21" t="s">
        <v>1165</v>
      </c>
      <c r="AJ3327" s="21" t="s">
        <v>1148</v>
      </c>
      <c r="AK3327">
        <v>38.215000000000003</v>
      </c>
      <c r="AL3327" s="21" t="s">
        <v>2993</v>
      </c>
      <c r="AM3327">
        <f>42.431-33.569</f>
        <v>8.8619999999999948</v>
      </c>
      <c r="AN3327" s="21">
        <v>3</v>
      </c>
      <c r="AO3327" s="21">
        <v>15</v>
      </c>
      <c r="AP3327">
        <v>90</v>
      </c>
      <c r="AQ3327" s="22" t="s">
        <v>3060</v>
      </c>
      <c r="AR3327" s="21" t="s">
        <v>3122</v>
      </c>
    </row>
    <row r="3328" spans="1:44" x14ac:dyDescent="0.2">
      <c r="A3328" s="21" t="s">
        <v>1765</v>
      </c>
      <c r="B3328" s="21" t="s">
        <v>1146</v>
      </c>
      <c r="C3328" s="21" t="s">
        <v>1149</v>
      </c>
      <c r="D3328" s="21" t="s">
        <v>1763</v>
      </c>
      <c r="E3328" s="21" t="s">
        <v>1764</v>
      </c>
      <c r="G3328" s="21" t="s">
        <v>1165</v>
      </c>
      <c r="H3328" s="21" t="s">
        <v>1165</v>
      </c>
      <c r="I3328" s="21" t="s">
        <v>3121</v>
      </c>
      <c r="L3328">
        <v>3400</v>
      </c>
      <c r="M3328" s="21" t="s">
        <v>1145</v>
      </c>
      <c r="O3328" s="21">
        <v>2001</v>
      </c>
      <c r="P3328">
        <v>2002</v>
      </c>
      <c r="Q3328" t="s">
        <v>3117</v>
      </c>
      <c r="R3328">
        <f>4*30</f>
        <v>120</v>
      </c>
      <c r="T3328" t="s">
        <v>3035</v>
      </c>
      <c r="U3328" s="21" t="s">
        <v>1147</v>
      </c>
      <c r="X3328" s="9" t="s">
        <v>3116</v>
      </c>
      <c r="Z3328" s="9" t="s">
        <v>2993</v>
      </c>
      <c r="AD3328" t="s">
        <v>1165</v>
      </c>
      <c r="AF3328" t="s">
        <v>1165</v>
      </c>
      <c r="AI3328" s="21" t="s">
        <v>1165</v>
      </c>
      <c r="AJ3328" s="21" t="s">
        <v>3120</v>
      </c>
      <c r="AK3328">
        <v>26.431999999999999</v>
      </c>
      <c r="AL3328" s="21" t="s">
        <v>2993</v>
      </c>
      <c r="AM3328">
        <f>32.062-21</f>
        <v>11.061999999999998</v>
      </c>
      <c r="AN3328" s="21">
        <v>3</v>
      </c>
      <c r="AO3328" s="21">
        <v>15</v>
      </c>
      <c r="AP3328">
        <v>90</v>
      </c>
      <c r="AQ3328" s="22" t="s">
        <v>3060</v>
      </c>
      <c r="AR3328" s="21" t="s">
        <v>3122</v>
      </c>
    </row>
    <row r="3329" spans="1:44" x14ac:dyDescent="0.2">
      <c r="A3329" s="21" t="s">
        <v>1765</v>
      </c>
      <c r="B3329" s="21" t="s">
        <v>1146</v>
      </c>
      <c r="C3329" s="21" t="s">
        <v>1149</v>
      </c>
      <c r="D3329" s="21" t="s">
        <v>1763</v>
      </c>
      <c r="E3329" s="21" t="s">
        <v>1764</v>
      </c>
      <c r="G3329" s="21" t="s">
        <v>1165</v>
      </c>
      <c r="H3329" s="21" t="s">
        <v>1165</v>
      </c>
      <c r="I3329" s="21" t="s">
        <v>3121</v>
      </c>
      <c r="L3329">
        <v>3400</v>
      </c>
      <c r="M3329" s="21" t="s">
        <v>1145</v>
      </c>
      <c r="O3329" s="21">
        <v>2001</v>
      </c>
      <c r="P3329">
        <v>2002</v>
      </c>
      <c r="Q3329" t="s">
        <v>3117</v>
      </c>
      <c r="R3329">
        <f t="shared" si="39"/>
        <v>120</v>
      </c>
      <c r="T3329" t="s">
        <v>3035</v>
      </c>
      <c r="U3329" s="21" t="s">
        <v>95</v>
      </c>
      <c r="X3329" s="9" t="s">
        <v>3116</v>
      </c>
      <c r="Z3329" s="9" t="s">
        <v>2993</v>
      </c>
      <c r="AA3329" t="s">
        <v>3123</v>
      </c>
      <c r="AB3329">
        <v>100</v>
      </c>
      <c r="AC3329">
        <v>1</v>
      </c>
      <c r="AD3329" t="s">
        <v>1165</v>
      </c>
      <c r="AF3329" t="s">
        <v>153</v>
      </c>
      <c r="AI3329" s="21" t="s">
        <v>1165</v>
      </c>
      <c r="AJ3329" s="21" t="s">
        <v>3120</v>
      </c>
      <c r="AK3329">
        <v>18.63</v>
      </c>
      <c r="AL3329" s="21" t="s">
        <v>2993</v>
      </c>
      <c r="AM3329">
        <f>19.519-17.642</f>
        <v>1.8769999999999989</v>
      </c>
      <c r="AN3329" s="21">
        <v>3</v>
      </c>
      <c r="AO3329" s="21">
        <v>15</v>
      </c>
      <c r="AP3329">
        <v>90</v>
      </c>
      <c r="AQ3329" s="22" t="s">
        <v>3060</v>
      </c>
      <c r="AR3329" s="21" t="s">
        <v>3122</v>
      </c>
    </row>
    <row r="3330" spans="1:44" x14ac:dyDescent="0.2">
      <c r="A3330" s="21" t="s">
        <v>1765</v>
      </c>
      <c r="B3330" s="21" t="s">
        <v>1146</v>
      </c>
      <c r="C3330" s="21" t="s">
        <v>1149</v>
      </c>
      <c r="D3330" s="21" t="s">
        <v>1763</v>
      </c>
      <c r="E3330" s="21" t="s">
        <v>1764</v>
      </c>
      <c r="G3330" s="21" t="s">
        <v>1165</v>
      </c>
      <c r="H3330" s="21" t="s">
        <v>1165</v>
      </c>
      <c r="I3330" s="21" t="s">
        <v>3121</v>
      </c>
      <c r="L3330">
        <v>3400</v>
      </c>
      <c r="M3330" s="21" t="s">
        <v>1145</v>
      </c>
      <c r="O3330" s="21">
        <v>2001</v>
      </c>
      <c r="P3330">
        <v>2002</v>
      </c>
      <c r="Q3330" t="s">
        <v>3117</v>
      </c>
      <c r="R3330">
        <f t="shared" si="39"/>
        <v>120</v>
      </c>
      <c r="T3330" t="s">
        <v>3035</v>
      </c>
      <c r="U3330" s="21" t="s">
        <v>95</v>
      </c>
      <c r="X3330" s="9" t="s">
        <v>3116</v>
      </c>
      <c r="Z3330" s="9" t="s">
        <v>2993</v>
      </c>
      <c r="AA3330" t="s">
        <v>3123</v>
      </c>
      <c r="AB3330">
        <v>500</v>
      </c>
      <c r="AC3330">
        <v>1</v>
      </c>
      <c r="AD3330" t="s">
        <v>1165</v>
      </c>
      <c r="AF3330" t="s">
        <v>153</v>
      </c>
      <c r="AI3330" s="21" t="s">
        <v>1165</v>
      </c>
      <c r="AJ3330" s="21" t="s">
        <v>3120</v>
      </c>
      <c r="AK3330">
        <v>22.481000000000002</v>
      </c>
      <c r="AL3330" s="21" t="s">
        <v>2993</v>
      </c>
      <c r="AM3330" s="21" t="s">
        <v>3003</v>
      </c>
      <c r="AN3330" s="21">
        <v>3</v>
      </c>
      <c r="AO3330" s="21">
        <v>15</v>
      </c>
      <c r="AP3330">
        <v>90</v>
      </c>
      <c r="AQ3330" s="22" t="s">
        <v>3060</v>
      </c>
      <c r="AR3330" s="21" t="s">
        <v>3122</v>
      </c>
    </row>
    <row r="3331" spans="1:44" x14ac:dyDescent="0.2">
      <c r="A3331" s="21" t="s">
        <v>1765</v>
      </c>
      <c r="B3331" s="21" t="s">
        <v>1146</v>
      </c>
      <c r="C3331" s="21" t="s">
        <v>1149</v>
      </c>
      <c r="D3331" s="21" t="s">
        <v>1763</v>
      </c>
      <c r="E3331" s="21" t="s">
        <v>1764</v>
      </c>
      <c r="G3331" s="21" t="s">
        <v>1165</v>
      </c>
      <c r="H3331" s="21" t="s">
        <v>1165</v>
      </c>
      <c r="I3331" s="21" t="s">
        <v>3121</v>
      </c>
      <c r="L3331">
        <v>3400</v>
      </c>
      <c r="M3331" s="21" t="s">
        <v>1145</v>
      </c>
      <c r="O3331" s="21">
        <v>2001</v>
      </c>
      <c r="P3331">
        <v>2002</v>
      </c>
      <c r="Q3331" t="s">
        <v>3117</v>
      </c>
      <c r="R3331">
        <f t="shared" si="39"/>
        <v>120</v>
      </c>
      <c r="T3331" t="s">
        <v>3035</v>
      </c>
      <c r="U3331" s="21" t="s">
        <v>95</v>
      </c>
      <c r="X3331" s="9" t="s">
        <v>3116</v>
      </c>
      <c r="Z3331" s="9" t="s">
        <v>2993</v>
      </c>
      <c r="AA3331" t="s">
        <v>3123</v>
      </c>
      <c r="AB3331">
        <v>1000</v>
      </c>
      <c r="AC3331">
        <v>1</v>
      </c>
      <c r="AD3331" t="s">
        <v>1165</v>
      </c>
      <c r="AF3331" t="s">
        <v>153</v>
      </c>
      <c r="AI3331" s="21" t="s">
        <v>1165</v>
      </c>
      <c r="AJ3331" s="21" t="s">
        <v>3120</v>
      </c>
      <c r="AK3331">
        <v>30.295999999999999</v>
      </c>
      <c r="AL3331" s="21" t="s">
        <v>2993</v>
      </c>
      <c r="AM3331">
        <f>32.358-28.704</f>
        <v>3.6539999999999964</v>
      </c>
      <c r="AN3331" s="21">
        <v>3</v>
      </c>
      <c r="AO3331" s="21">
        <v>15</v>
      </c>
      <c r="AP3331">
        <v>90</v>
      </c>
      <c r="AQ3331" s="22" t="s">
        <v>3060</v>
      </c>
      <c r="AR3331" s="21" t="s">
        <v>3122</v>
      </c>
    </row>
    <row r="3332" spans="1:44" x14ac:dyDescent="0.2">
      <c r="A3332" s="21" t="s">
        <v>1765</v>
      </c>
      <c r="B3332" s="21" t="s">
        <v>1146</v>
      </c>
      <c r="C3332" s="21" t="s">
        <v>1149</v>
      </c>
      <c r="D3332" s="21" t="s">
        <v>1763</v>
      </c>
      <c r="E3332" s="21" t="s">
        <v>1764</v>
      </c>
      <c r="G3332" s="21" t="s">
        <v>1165</v>
      </c>
      <c r="H3332" s="21" t="s">
        <v>1165</v>
      </c>
      <c r="I3332" s="21" t="s">
        <v>3119</v>
      </c>
      <c r="L3332">
        <v>3875</v>
      </c>
      <c r="M3332" s="21" t="s">
        <v>1145</v>
      </c>
      <c r="O3332" s="21">
        <v>2001</v>
      </c>
      <c r="P3332">
        <v>2002</v>
      </c>
      <c r="Q3332" t="s">
        <v>3117</v>
      </c>
      <c r="R3332">
        <f>4*30</f>
        <v>120</v>
      </c>
      <c r="T3332" t="s">
        <v>3035</v>
      </c>
      <c r="U3332" s="21" t="s">
        <v>1147</v>
      </c>
      <c r="X3332" s="9" t="s">
        <v>3116</v>
      </c>
      <c r="Z3332" s="9" t="s">
        <v>2993</v>
      </c>
      <c r="AD3332" t="s">
        <v>1165</v>
      </c>
      <c r="AF3332" t="s">
        <v>1165</v>
      </c>
      <c r="AI3332" s="21" t="s">
        <v>1165</v>
      </c>
      <c r="AJ3332" s="21" t="s">
        <v>1148</v>
      </c>
      <c r="AK3332">
        <v>46.698</v>
      </c>
      <c r="AL3332" s="21" t="s">
        <v>2993</v>
      </c>
      <c r="AM3332">
        <v>0</v>
      </c>
      <c r="AN3332" s="21">
        <v>3</v>
      </c>
      <c r="AO3332" s="21">
        <v>15</v>
      </c>
      <c r="AP3332">
        <v>90</v>
      </c>
      <c r="AQ3332" s="22" t="s">
        <v>3060</v>
      </c>
      <c r="AR3332" s="21" t="s">
        <v>3124</v>
      </c>
    </row>
    <row r="3333" spans="1:44" x14ac:dyDescent="0.2">
      <c r="A3333" s="21" t="s">
        <v>1765</v>
      </c>
      <c r="B3333" s="21" t="s">
        <v>1146</v>
      </c>
      <c r="C3333" s="21" t="s">
        <v>1149</v>
      </c>
      <c r="D3333" s="21" t="s">
        <v>1763</v>
      </c>
      <c r="E3333" s="21" t="s">
        <v>1764</v>
      </c>
      <c r="G3333" s="21" t="s">
        <v>1165</v>
      </c>
      <c r="H3333" s="21" t="s">
        <v>1165</v>
      </c>
      <c r="I3333" s="21" t="s">
        <v>3119</v>
      </c>
      <c r="L3333">
        <v>3875</v>
      </c>
      <c r="M3333" s="21" t="s">
        <v>1145</v>
      </c>
      <c r="O3333" s="21">
        <v>2001</v>
      </c>
      <c r="P3333">
        <v>2002</v>
      </c>
      <c r="Q3333" t="s">
        <v>3117</v>
      </c>
      <c r="R3333">
        <f t="shared" ref="R3333:R3347" si="40">4*30</f>
        <v>120</v>
      </c>
      <c r="T3333" t="s">
        <v>3035</v>
      </c>
      <c r="U3333" s="21" t="s">
        <v>95</v>
      </c>
      <c r="X3333" s="9" t="s">
        <v>3116</v>
      </c>
      <c r="Z3333" s="9" t="s">
        <v>2993</v>
      </c>
      <c r="AA3333" t="s">
        <v>1159</v>
      </c>
      <c r="AB3333">
        <v>100</v>
      </c>
      <c r="AC3333">
        <v>1</v>
      </c>
      <c r="AD3333" t="s">
        <v>1165</v>
      </c>
      <c r="AF3333" t="s">
        <v>153</v>
      </c>
      <c r="AI3333" s="21" t="s">
        <v>1165</v>
      </c>
      <c r="AJ3333" s="21" t="s">
        <v>1148</v>
      </c>
      <c r="AK3333">
        <v>70.754999999999995</v>
      </c>
      <c r="AL3333" s="21" t="s">
        <v>2993</v>
      </c>
      <c r="AM3333">
        <f>73.365-69.088</f>
        <v>4.277000000000001</v>
      </c>
      <c r="AN3333" s="21">
        <v>3</v>
      </c>
      <c r="AO3333" s="21">
        <v>15</v>
      </c>
      <c r="AP3333">
        <v>90</v>
      </c>
      <c r="AQ3333" s="22" t="s">
        <v>3060</v>
      </c>
      <c r="AR3333" s="21" t="s">
        <v>3124</v>
      </c>
    </row>
    <row r="3334" spans="1:44" x14ac:dyDescent="0.2">
      <c r="A3334" s="21" t="s">
        <v>1765</v>
      </c>
      <c r="B3334" s="21" t="s">
        <v>1146</v>
      </c>
      <c r="C3334" s="21" t="s">
        <v>1149</v>
      </c>
      <c r="D3334" s="21" t="s">
        <v>1763</v>
      </c>
      <c r="E3334" s="21" t="s">
        <v>1764</v>
      </c>
      <c r="G3334" s="21" t="s">
        <v>1165</v>
      </c>
      <c r="H3334" s="21" t="s">
        <v>1165</v>
      </c>
      <c r="I3334" s="21" t="s">
        <v>3119</v>
      </c>
      <c r="L3334">
        <v>3875</v>
      </c>
      <c r="M3334" s="21" t="s">
        <v>1145</v>
      </c>
      <c r="O3334" s="21">
        <v>2001</v>
      </c>
      <c r="P3334">
        <v>2002</v>
      </c>
      <c r="Q3334" t="s">
        <v>3117</v>
      </c>
      <c r="R3334">
        <f t="shared" si="40"/>
        <v>120</v>
      </c>
      <c r="T3334" t="s">
        <v>3035</v>
      </c>
      <c r="U3334" s="21" t="s">
        <v>95</v>
      </c>
      <c r="X3334" s="9" t="s">
        <v>3116</v>
      </c>
      <c r="Z3334" s="9" t="s">
        <v>2993</v>
      </c>
      <c r="AA3334" t="s">
        <v>1159</v>
      </c>
      <c r="AB3334">
        <v>500</v>
      </c>
      <c r="AC3334">
        <v>1</v>
      </c>
      <c r="AD3334" t="s">
        <v>1165</v>
      </c>
      <c r="AF3334" t="s">
        <v>153</v>
      </c>
      <c r="AI3334" s="21" t="s">
        <v>1165</v>
      </c>
      <c r="AJ3334" s="21" t="s">
        <v>1148</v>
      </c>
      <c r="AK3334">
        <v>60.189</v>
      </c>
      <c r="AL3334" s="21" t="s">
        <v>2993</v>
      </c>
      <c r="AM3334">
        <f>62.547-57.516</f>
        <v>5.0309999999999988</v>
      </c>
      <c r="AN3334" s="21">
        <v>3</v>
      </c>
      <c r="AO3334" s="21">
        <v>15</v>
      </c>
      <c r="AP3334">
        <v>90</v>
      </c>
      <c r="AQ3334" s="22" t="s">
        <v>3060</v>
      </c>
      <c r="AR3334" s="21" t="s">
        <v>3124</v>
      </c>
    </row>
    <row r="3335" spans="1:44" x14ac:dyDescent="0.2">
      <c r="A3335" s="21" t="s">
        <v>1765</v>
      </c>
      <c r="B3335" s="21" t="s">
        <v>1146</v>
      </c>
      <c r="C3335" s="21" t="s">
        <v>1149</v>
      </c>
      <c r="D3335" s="21" t="s">
        <v>1763</v>
      </c>
      <c r="E3335" s="21" t="s">
        <v>1764</v>
      </c>
      <c r="G3335" s="21" t="s">
        <v>1165</v>
      </c>
      <c r="H3335" s="21" t="s">
        <v>1165</v>
      </c>
      <c r="I3335" s="21" t="s">
        <v>3119</v>
      </c>
      <c r="L3335">
        <v>3875</v>
      </c>
      <c r="M3335" s="21" t="s">
        <v>1145</v>
      </c>
      <c r="O3335" s="21">
        <v>2001</v>
      </c>
      <c r="P3335">
        <v>2002</v>
      </c>
      <c r="Q3335" t="s">
        <v>3117</v>
      </c>
      <c r="R3335">
        <f t="shared" si="40"/>
        <v>120</v>
      </c>
      <c r="T3335" t="s">
        <v>3035</v>
      </c>
      <c r="U3335" s="21" t="s">
        <v>95</v>
      </c>
      <c r="X3335" s="9" t="s">
        <v>3116</v>
      </c>
      <c r="Z3335" s="9" t="s">
        <v>2993</v>
      </c>
      <c r="AA3335" t="s">
        <v>1159</v>
      </c>
      <c r="AB3335">
        <v>1000</v>
      </c>
      <c r="AC3335">
        <v>1</v>
      </c>
      <c r="AD3335" t="s">
        <v>1165</v>
      </c>
      <c r="AF3335" t="s">
        <v>153</v>
      </c>
      <c r="AI3335" s="21" t="s">
        <v>1165</v>
      </c>
      <c r="AJ3335" s="21" t="s">
        <v>1148</v>
      </c>
      <c r="AK3335">
        <v>55.472000000000001</v>
      </c>
      <c r="AL3335" s="21" t="s">
        <v>2993</v>
      </c>
      <c r="AM3335">
        <f>60.283-51.226</f>
        <v>9.0570000000000022</v>
      </c>
      <c r="AN3335" s="21">
        <v>3</v>
      </c>
      <c r="AO3335" s="21">
        <v>15</v>
      </c>
      <c r="AP3335">
        <v>90</v>
      </c>
      <c r="AQ3335" s="22" t="s">
        <v>3060</v>
      </c>
      <c r="AR3335" s="21" t="s">
        <v>3124</v>
      </c>
    </row>
    <row r="3336" spans="1:44" x14ac:dyDescent="0.2">
      <c r="A3336" s="21" t="s">
        <v>1765</v>
      </c>
      <c r="B3336" s="21" t="s">
        <v>1146</v>
      </c>
      <c r="C3336" s="21" t="s">
        <v>1149</v>
      </c>
      <c r="D3336" s="21" t="s">
        <v>1763</v>
      </c>
      <c r="E3336" s="21" t="s">
        <v>1764</v>
      </c>
      <c r="G3336" s="21" t="s">
        <v>1165</v>
      </c>
      <c r="H3336" s="21" t="s">
        <v>1165</v>
      </c>
      <c r="I3336" s="21" t="s">
        <v>3119</v>
      </c>
      <c r="L3336">
        <v>3875</v>
      </c>
      <c r="M3336" s="21" t="s">
        <v>1145</v>
      </c>
      <c r="O3336" s="21">
        <v>2001</v>
      </c>
      <c r="P3336">
        <v>2002</v>
      </c>
      <c r="Q3336" t="s">
        <v>3117</v>
      </c>
      <c r="R3336">
        <f>4*30</f>
        <v>120</v>
      </c>
      <c r="T3336" t="s">
        <v>3035</v>
      </c>
      <c r="U3336" s="21" t="s">
        <v>1147</v>
      </c>
      <c r="X3336" s="9" t="s">
        <v>3116</v>
      </c>
      <c r="Z3336" s="9" t="s">
        <v>2993</v>
      </c>
      <c r="AD3336" t="s">
        <v>1165</v>
      </c>
      <c r="AF3336" t="s">
        <v>1165</v>
      </c>
      <c r="AI3336" s="21" t="s">
        <v>1165</v>
      </c>
      <c r="AJ3336" s="21" t="s">
        <v>3120</v>
      </c>
      <c r="AK3336">
        <v>20.57</v>
      </c>
      <c r="AL3336" s="21" t="s">
        <v>2993</v>
      </c>
      <c r="AM3336">
        <f>21.559-19.582</f>
        <v>1.9770000000000003</v>
      </c>
      <c r="AN3336" s="21">
        <v>3</v>
      </c>
      <c r="AO3336" s="21">
        <v>15</v>
      </c>
      <c r="AP3336">
        <v>90</v>
      </c>
      <c r="AQ3336" s="22" t="s">
        <v>3060</v>
      </c>
      <c r="AR3336" s="21" t="s">
        <v>3124</v>
      </c>
    </row>
    <row r="3337" spans="1:44" x14ac:dyDescent="0.2">
      <c r="A3337" s="21" t="s">
        <v>1765</v>
      </c>
      <c r="B3337" s="21" t="s">
        <v>1146</v>
      </c>
      <c r="C3337" s="21" t="s">
        <v>1149</v>
      </c>
      <c r="D3337" s="21" t="s">
        <v>1763</v>
      </c>
      <c r="E3337" s="21" t="s">
        <v>1764</v>
      </c>
      <c r="G3337" s="21" t="s">
        <v>1165</v>
      </c>
      <c r="H3337" s="21" t="s">
        <v>1165</v>
      </c>
      <c r="I3337" s="21" t="s">
        <v>3119</v>
      </c>
      <c r="L3337">
        <v>3875</v>
      </c>
      <c r="M3337" s="21" t="s">
        <v>1145</v>
      </c>
      <c r="O3337" s="21">
        <v>2001</v>
      </c>
      <c r="P3337">
        <v>2002</v>
      </c>
      <c r="Q3337" t="s">
        <v>3117</v>
      </c>
      <c r="R3337">
        <f t="shared" si="40"/>
        <v>120</v>
      </c>
      <c r="T3337" t="s">
        <v>3035</v>
      </c>
      <c r="U3337" s="21" t="s">
        <v>95</v>
      </c>
      <c r="X3337" s="9" t="s">
        <v>3116</v>
      </c>
      <c r="Z3337" s="9" t="s">
        <v>2993</v>
      </c>
      <c r="AA3337" t="s">
        <v>1159</v>
      </c>
      <c r="AB3337">
        <v>100</v>
      </c>
      <c r="AC3337">
        <v>1</v>
      </c>
      <c r="AD3337" t="s">
        <v>1165</v>
      </c>
      <c r="AF3337" t="s">
        <v>153</v>
      </c>
      <c r="AI3337" s="21" t="s">
        <v>1165</v>
      </c>
      <c r="AJ3337" s="21" t="s">
        <v>3120</v>
      </c>
      <c r="AK3337">
        <v>16.806000000000001</v>
      </c>
      <c r="AL3337" s="21" t="s">
        <v>2993</v>
      </c>
      <c r="AM3337" s="21">
        <f>19.582-13.878</f>
        <v>5.7040000000000006</v>
      </c>
      <c r="AN3337" s="21">
        <v>3</v>
      </c>
      <c r="AO3337" s="21">
        <v>15</v>
      </c>
      <c r="AP3337">
        <v>90</v>
      </c>
      <c r="AQ3337" s="22" t="s">
        <v>3060</v>
      </c>
      <c r="AR3337" s="21" t="s">
        <v>3124</v>
      </c>
    </row>
    <row r="3338" spans="1:44" x14ac:dyDescent="0.2">
      <c r="A3338" s="21" t="s">
        <v>1765</v>
      </c>
      <c r="B3338" s="21" t="s">
        <v>1146</v>
      </c>
      <c r="C3338" s="21" t="s">
        <v>1149</v>
      </c>
      <c r="D3338" s="21" t="s">
        <v>1763</v>
      </c>
      <c r="E3338" s="21" t="s">
        <v>1764</v>
      </c>
      <c r="G3338" s="21" t="s">
        <v>1165</v>
      </c>
      <c r="H3338" s="21" t="s">
        <v>1165</v>
      </c>
      <c r="I3338" s="21" t="s">
        <v>3119</v>
      </c>
      <c r="L3338">
        <v>3875</v>
      </c>
      <c r="M3338" s="21" t="s">
        <v>1145</v>
      </c>
      <c r="O3338" s="21">
        <v>2001</v>
      </c>
      <c r="P3338">
        <v>2002</v>
      </c>
      <c r="Q3338" t="s">
        <v>3117</v>
      </c>
      <c r="R3338">
        <f t="shared" si="40"/>
        <v>120</v>
      </c>
      <c r="T3338" t="s">
        <v>3035</v>
      </c>
      <c r="U3338" s="21" t="s">
        <v>95</v>
      </c>
      <c r="X3338" s="9" t="s">
        <v>3116</v>
      </c>
      <c r="Z3338" s="9" t="s">
        <v>2993</v>
      </c>
      <c r="AA3338" t="s">
        <v>1159</v>
      </c>
      <c r="AB3338">
        <v>500</v>
      </c>
      <c r="AC3338">
        <v>1</v>
      </c>
      <c r="AD3338" t="s">
        <v>1165</v>
      </c>
      <c r="AF3338" t="s">
        <v>153</v>
      </c>
      <c r="AI3338" s="21" t="s">
        <v>1165</v>
      </c>
      <c r="AJ3338" s="21" t="s">
        <v>3120</v>
      </c>
      <c r="AK3338">
        <v>20.951000000000001</v>
      </c>
      <c r="AL3338" s="21" t="s">
        <v>2993</v>
      </c>
      <c r="AM3338" s="21">
        <f>22.395-19.582</f>
        <v>2.8129999999999988</v>
      </c>
      <c r="AN3338" s="21">
        <v>3</v>
      </c>
      <c r="AO3338" s="21">
        <v>15</v>
      </c>
      <c r="AP3338">
        <v>90</v>
      </c>
      <c r="AQ3338" s="22" t="s">
        <v>3060</v>
      </c>
      <c r="AR3338" s="21" t="s">
        <v>3124</v>
      </c>
    </row>
    <row r="3339" spans="1:44" x14ac:dyDescent="0.2">
      <c r="A3339" s="21" t="s">
        <v>1765</v>
      </c>
      <c r="B3339" s="21" t="s">
        <v>1146</v>
      </c>
      <c r="C3339" s="21" t="s">
        <v>1149</v>
      </c>
      <c r="D3339" s="21" t="s">
        <v>1763</v>
      </c>
      <c r="E3339" s="21" t="s">
        <v>1764</v>
      </c>
      <c r="G3339" s="21" t="s">
        <v>1165</v>
      </c>
      <c r="H3339" s="21" t="s">
        <v>1165</v>
      </c>
      <c r="I3339" s="21" t="s">
        <v>3119</v>
      </c>
      <c r="L3339">
        <v>3875</v>
      </c>
      <c r="M3339" s="21" t="s">
        <v>1145</v>
      </c>
      <c r="O3339" s="21">
        <v>2001</v>
      </c>
      <c r="P3339">
        <v>2002</v>
      </c>
      <c r="Q3339" t="s">
        <v>3117</v>
      </c>
      <c r="R3339">
        <f t="shared" si="40"/>
        <v>120</v>
      </c>
      <c r="T3339" t="s">
        <v>3035</v>
      </c>
      <c r="U3339" s="21" t="s">
        <v>95</v>
      </c>
      <c r="X3339" s="9" t="s">
        <v>3116</v>
      </c>
      <c r="Z3339" s="9" t="s">
        <v>2993</v>
      </c>
      <c r="AA3339" t="s">
        <v>1159</v>
      </c>
      <c r="AB3339">
        <v>1000</v>
      </c>
      <c r="AC3339">
        <v>1</v>
      </c>
      <c r="AD3339" t="s">
        <v>1165</v>
      </c>
      <c r="AF3339" t="s">
        <v>153</v>
      </c>
      <c r="AI3339" s="21" t="s">
        <v>1165</v>
      </c>
      <c r="AJ3339" s="21" t="s">
        <v>3120</v>
      </c>
      <c r="AK3339">
        <v>18.669</v>
      </c>
      <c r="AL3339" s="21" t="s">
        <v>2993</v>
      </c>
      <c r="AM3339">
        <f>21.255-16.008</f>
        <v>5.2469999999999999</v>
      </c>
      <c r="AN3339" s="21">
        <v>3</v>
      </c>
      <c r="AO3339" s="21">
        <v>15</v>
      </c>
      <c r="AP3339">
        <v>90</v>
      </c>
      <c r="AQ3339" s="22" t="s">
        <v>3060</v>
      </c>
      <c r="AR3339" s="21" t="s">
        <v>3124</v>
      </c>
    </row>
    <row r="3340" spans="1:44" x14ac:dyDescent="0.2">
      <c r="A3340" s="21" t="s">
        <v>1765</v>
      </c>
      <c r="B3340" s="21" t="s">
        <v>1146</v>
      </c>
      <c r="C3340" s="21" t="s">
        <v>1149</v>
      </c>
      <c r="D3340" s="21" t="s">
        <v>1763</v>
      </c>
      <c r="E3340" s="21" t="s">
        <v>1764</v>
      </c>
      <c r="G3340" s="21" t="s">
        <v>1165</v>
      </c>
      <c r="H3340" s="21" t="s">
        <v>1165</v>
      </c>
      <c r="I3340" s="21" t="s">
        <v>3121</v>
      </c>
      <c r="L3340">
        <v>3400</v>
      </c>
      <c r="M3340" s="21" t="s">
        <v>1145</v>
      </c>
      <c r="O3340" s="21">
        <v>2001</v>
      </c>
      <c r="P3340">
        <v>2002</v>
      </c>
      <c r="Q3340" t="s">
        <v>3117</v>
      </c>
      <c r="R3340">
        <f>4*30</f>
        <v>120</v>
      </c>
      <c r="T3340" t="s">
        <v>3035</v>
      </c>
      <c r="U3340" s="21" t="s">
        <v>1147</v>
      </c>
      <c r="X3340" s="9" t="s">
        <v>3116</v>
      </c>
      <c r="Z3340" s="9" t="s">
        <v>2993</v>
      </c>
      <c r="AD3340" t="s">
        <v>1165</v>
      </c>
      <c r="AF3340" t="s">
        <v>1165</v>
      </c>
      <c r="AI3340" s="21" t="s">
        <v>1165</v>
      </c>
      <c r="AJ3340" s="21" t="s">
        <v>1148</v>
      </c>
      <c r="AK3340">
        <v>26.013000000000002</v>
      </c>
      <c r="AL3340" s="21" t="s">
        <v>2993</v>
      </c>
      <c r="AM3340">
        <f>28.386-24.209</f>
        <v>4.1769999999999996</v>
      </c>
      <c r="AN3340" s="21">
        <v>3</v>
      </c>
      <c r="AO3340" s="21">
        <v>15</v>
      </c>
      <c r="AP3340">
        <v>90</v>
      </c>
      <c r="AQ3340" s="22" t="s">
        <v>3060</v>
      </c>
      <c r="AR3340" s="21" t="s">
        <v>3124</v>
      </c>
    </row>
    <row r="3341" spans="1:44" x14ac:dyDescent="0.2">
      <c r="A3341" s="21" t="s">
        <v>1765</v>
      </c>
      <c r="B3341" s="21" t="s">
        <v>1146</v>
      </c>
      <c r="C3341" s="21" t="s">
        <v>1149</v>
      </c>
      <c r="D3341" s="21" t="s">
        <v>1763</v>
      </c>
      <c r="E3341" s="21" t="s">
        <v>1764</v>
      </c>
      <c r="G3341" s="21" t="s">
        <v>1165</v>
      </c>
      <c r="H3341" s="21" t="s">
        <v>1165</v>
      </c>
      <c r="I3341" s="21" t="s">
        <v>3121</v>
      </c>
      <c r="L3341">
        <v>3400</v>
      </c>
      <c r="M3341" s="21" t="s">
        <v>1145</v>
      </c>
      <c r="O3341" s="21">
        <v>2001</v>
      </c>
      <c r="P3341">
        <v>2002</v>
      </c>
      <c r="Q3341" t="s">
        <v>3117</v>
      </c>
      <c r="R3341">
        <f t="shared" si="40"/>
        <v>120</v>
      </c>
      <c r="T3341" t="s">
        <v>3035</v>
      </c>
      <c r="U3341" s="21" t="s">
        <v>95</v>
      </c>
      <c r="X3341" s="9" t="s">
        <v>3116</v>
      </c>
      <c r="Z3341" s="9" t="s">
        <v>2993</v>
      </c>
      <c r="AA3341" t="s">
        <v>1159</v>
      </c>
      <c r="AB3341">
        <v>100</v>
      </c>
      <c r="AC3341">
        <v>1</v>
      </c>
      <c r="AD3341" t="s">
        <v>1165</v>
      </c>
      <c r="AF3341" t="s">
        <v>153</v>
      </c>
      <c r="AI3341" s="21" t="s">
        <v>1165</v>
      </c>
      <c r="AJ3341" s="21" t="s">
        <v>1148</v>
      </c>
      <c r="AK3341">
        <v>42.436999999999998</v>
      </c>
      <c r="AL3341" s="21" t="s">
        <v>2993</v>
      </c>
      <c r="AM3341" s="21" t="s">
        <v>3003</v>
      </c>
      <c r="AN3341" s="21">
        <v>3</v>
      </c>
      <c r="AO3341" s="21">
        <v>15</v>
      </c>
      <c r="AP3341">
        <v>90</v>
      </c>
      <c r="AQ3341" s="22" t="s">
        <v>3060</v>
      </c>
      <c r="AR3341" s="21" t="s">
        <v>3124</v>
      </c>
    </row>
    <row r="3342" spans="1:44" x14ac:dyDescent="0.2">
      <c r="A3342" s="21" t="s">
        <v>1765</v>
      </c>
      <c r="B3342" s="21" t="s">
        <v>1146</v>
      </c>
      <c r="C3342" s="21" t="s">
        <v>1149</v>
      </c>
      <c r="D3342" s="21" t="s">
        <v>1763</v>
      </c>
      <c r="E3342" s="21" t="s">
        <v>1764</v>
      </c>
      <c r="G3342" s="21" t="s">
        <v>1165</v>
      </c>
      <c r="H3342" s="21" t="s">
        <v>1165</v>
      </c>
      <c r="I3342" s="21" t="s">
        <v>3121</v>
      </c>
      <c r="L3342">
        <v>3400</v>
      </c>
      <c r="M3342" s="21" t="s">
        <v>1145</v>
      </c>
      <c r="O3342" s="21">
        <v>2001</v>
      </c>
      <c r="P3342">
        <v>2002</v>
      </c>
      <c r="Q3342" t="s">
        <v>3117</v>
      </c>
      <c r="R3342">
        <f t="shared" si="40"/>
        <v>120</v>
      </c>
      <c r="T3342" t="s">
        <v>3035</v>
      </c>
      <c r="U3342" s="21" t="s">
        <v>95</v>
      </c>
      <c r="X3342" s="9" t="s">
        <v>3116</v>
      </c>
      <c r="Z3342" s="9" t="s">
        <v>2993</v>
      </c>
      <c r="AA3342" t="s">
        <v>1159</v>
      </c>
      <c r="AB3342">
        <v>500</v>
      </c>
      <c r="AC3342">
        <v>1</v>
      </c>
      <c r="AD3342" t="s">
        <v>1165</v>
      </c>
      <c r="AF3342" t="s">
        <v>153</v>
      </c>
      <c r="AI3342" s="21" t="s">
        <v>1165</v>
      </c>
      <c r="AJ3342" s="21" t="s">
        <v>1148</v>
      </c>
      <c r="AK3342">
        <v>39.777999999999999</v>
      </c>
      <c r="AL3342" s="21" t="s">
        <v>2993</v>
      </c>
      <c r="AM3342">
        <f>46.614-33.323</f>
        <v>13.290999999999997</v>
      </c>
      <c r="AN3342" s="21">
        <v>3</v>
      </c>
      <c r="AO3342" s="21">
        <v>15</v>
      </c>
      <c r="AP3342">
        <v>90</v>
      </c>
      <c r="AQ3342" s="22" t="s">
        <v>3060</v>
      </c>
      <c r="AR3342" s="21" t="s">
        <v>3124</v>
      </c>
    </row>
    <row r="3343" spans="1:44" x14ac:dyDescent="0.2">
      <c r="A3343" s="21" t="s">
        <v>1765</v>
      </c>
      <c r="B3343" s="21" t="s">
        <v>1146</v>
      </c>
      <c r="C3343" s="21" t="s">
        <v>1149</v>
      </c>
      <c r="D3343" s="21" t="s">
        <v>1763</v>
      </c>
      <c r="E3343" s="21" t="s">
        <v>1764</v>
      </c>
      <c r="G3343" s="21" t="s">
        <v>1165</v>
      </c>
      <c r="H3343" s="21" t="s">
        <v>1165</v>
      </c>
      <c r="I3343" s="21" t="s">
        <v>3121</v>
      </c>
      <c r="L3343">
        <v>3400</v>
      </c>
      <c r="M3343" s="21" t="s">
        <v>1145</v>
      </c>
      <c r="O3343" s="21">
        <v>2001</v>
      </c>
      <c r="P3343">
        <v>2002</v>
      </c>
      <c r="Q3343" t="s">
        <v>3117</v>
      </c>
      <c r="R3343">
        <f t="shared" si="40"/>
        <v>120</v>
      </c>
      <c r="T3343" t="s">
        <v>3035</v>
      </c>
      <c r="U3343" s="21" t="s">
        <v>95</v>
      </c>
      <c r="X3343" s="9" t="s">
        <v>3116</v>
      </c>
      <c r="Z3343" s="9" t="s">
        <v>2993</v>
      </c>
      <c r="AA3343" t="s">
        <v>1159</v>
      </c>
      <c r="AB3343">
        <v>1000</v>
      </c>
      <c r="AC3343">
        <v>1</v>
      </c>
      <c r="AD3343" t="s">
        <v>1165</v>
      </c>
      <c r="AF3343" t="s">
        <v>153</v>
      </c>
      <c r="AI3343" s="21" t="s">
        <v>1165</v>
      </c>
      <c r="AJ3343" s="21" t="s">
        <v>1148</v>
      </c>
      <c r="AK3343">
        <v>26.582000000000001</v>
      </c>
      <c r="AL3343" s="21" t="s">
        <v>2993</v>
      </c>
      <c r="AM3343">
        <f>29.146-24.209</f>
        <v>4.9370000000000012</v>
      </c>
      <c r="AN3343" s="21">
        <v>3</v>
      </c>
      <c r="AO3343" s="21">
        <v>15</v>
      </c>
      <c r="AP3343">
        <v>90</v>
      </c>
      <c r="AQ3343" s="22" t="s">
        <v>3060</v>
      </c>
      <c r="AR3343" s="21" t="s">
        <v>3124</v>
      </c>
    </row>
    <row r="3344" spans="1:44" x14ac:dyDescent="0.2">
      <c r="A3344" s="21" t="s">
        <v>1765</v>
      </c>
      <c r="B3344" s="21" t="s">
        <v>1146</v>
      </c>
      <c r="C3344" s="21" t="s">
        <v>1149</v>
      </c>
      <c r="D3344" s="21" t="s">
        <v>1763</v>
      </c>
      <c r="E3344" s="21" t="s">
        <v>1764</v>
      </c>
      <c r="G3344" s="21" t="s">
        <v>1165</v>
      </c>
      <c r="H3344" s="21" t="s">
        <v>1165</v>
      </c>
      <c r="I3344" s="21" t="s">
        <v>3121</v>
      </c>
      <c r="L3344">
        <v>3400</v>
      </c>
      <c r="M3344" s="21" t="s">
        <v>1145</v>
      </c>
      <c r="O3344" s="21">
        <v>2001</v>
      </c>
      <c r="P3344">
        <v>2002</v>
      </c>
      <c r="Q3344" t="s">
        <v>3117</v>
      </c>
      <c r="R3344">
        <f>4*30</f>
        <v>120</v>
      </c>
      <c r="T3344" t="s">
        <v>3035</v>
      </c>
      <c r="U3344" s="21" t="s">
        <v>1147</v>
      </c>
      <c r="X3344" s="9" t="s">
        <v>3116</v>
      </c>
      <c r="Z3344" s="9" t="s">
        <v>2993</v>
      </c>
      <c r="AD3344" t="s">
        <v>1165</v>
      </c>
      <c r="AF3344" t="s">
        <v>1165</v>
      </c>
      <c r="AI3344" s="21" t="s">
        <v>1165</v>
      </c>
      <c r="AJ3344" s="21" t="s">
        <v>3120</v>
      </c>
      <c r="AK3344">
        <v>26.463999999999999</v>
      </c>
      <c r="AL3344" s="21" t="s">
        <v>2993</v>
      </c>
      <c r="AM3344">
        <f>32.053-20.951</f>
        <v>11.101999999999997</v>
      </c>
      <c r="AN3344" s="21">
        <v>3</v>
      </c>
      <c r="AO3344" s="21">
        <v>15</v>
      </c>
      <c r="AP3344">
        <v>90</v>
      </c>
      <c r="AQ3344" s="22" t="s">
        <v>3060</v>
      </c>
      <c r="AR3344" s="21" t="s">
        <v>3124</v>
      </c>
    </row>
    <row r="3345" spans="1:44" x14ac:dyDescent="0.2">
      <c r="A3345" s="21" t="s">
        <v>1765</v>
      </c>
      <c r="B3345" s="21" t="s">
        <v>1146</v>
      </c>
      <c r="C3345" s="21" t="s">
        <v>1149</v>
      </c>
      <c r="D3345" s="21" t="s">
        <v>1763</v>
      </c>
      <c r="E3345" s="21" t="s">
        <v>1764</v>
      </c>
      <c r="G3345" s="21" t="s">
        <v>1165</v>
      </c>
      <c r="H3345" s="21" t="s">
        <v>1165</v>
      </c>
      <c r="I3345" s="21" t="s">
        <v>3121</v>
      </c>
      <c r="L3345">
        <v>3400</v>
      </c>
      <c r="M3345" s="21" t="s">
        <v>1145</v>
      </c>
      <c r="O3345" s="21">
        <v>2001</v>
      </c>
      <c r="P3345">
        <v>2002</v>
      </c>
      <c r="Q3345" t="s">
        <v>3117</v>
      </c>
      <c r="R3345">
        <f t="shared" si="40"/>
        <v>120</v>
      </c>
      <c r="T3345" t="s">
        <v>3035</v>
      </c>
      <c r="U3345" s="21" t="s">
        <v>95</v>
      </c>
      <c r="X3345" s="9" t="s">
        <v>3116</v>
      </c>
      <c r="Z3345" s="9" t="s">
        <v>2993</v>
      </c>
      <c r="AA3345" t="s">
        <v>1159</v>
      </c>
      <c r="AB3345">
        <v>100</v>
      </c>
      <c r="AC3345">
        <v>1</v>
      </c>
      <c r="AD3345" t="s">
        <v>1165</v>
      </c>
      <c r="AF3345" t="s">
        <v>153</v>
      </c>
      <c r="AI3345" s="21" t="s">
        <v>1165</v>
      </c>
      <c r="AJ3345" s="21" t="s">
        <v>3120</v>
      </c>
      <c r="AK3345">
        <v>16.007999999999999</v>
      </c>
      <c r="AL3345" s="21" t="s">
        <v>2993</v>
      </c>
      <c r="AM3345" s="21" t="s">
        <v>3003</v>
      </c>
      <c r="AN3345" s="21">
        <v>3</v>
      </c>
      <c r="AO3345" s="21">
        <v>15</v>
      </c>
      <c r="AP3345">
        <v>90</v>
      </c>
      <c r="AQ3345" s="22" t="s">
        <v>3060</v>
      </c>
      <c r="AR3345" s="21" t="s">
        <v>3124</v>
      </c>
    </row>
    <row r="3346" spans="1:44" x14ac:dyDescent="0.2">
      <c r="A3346" s="21" t="s">
        <v>1765</v>
      </c>
      <c r="B3346" s="21" t="s">
        <v>1146</v>
      </c>
      <c r="C3346" s="21" t="s">
        <v>1149</v>
      </c>
      <c r="D3346" s="21" t="s">
        <v>1763</v>
      </c>
      <c r="E3346" s="21" t="s">
        <v>1764</v>
      </c>
      <c r="G3346" s="21" t="s">
        <v>1165</v>
      </c>
      <c r="H3346" s="21" t="s">
        <v>1165</v>
      </c>
      <c r="I3346" s="21" t="s">
        <v>3121</v>
      </c>
      <c r="L3346">
        <v>3400</v>
      </c>
      <c r="M3346" s="21" t="s">
        <v>1145</v>
      </c>
      <c r="O3346" s="21">
        <v>2001</v>
      </c>
      <c r="P3346">
        <v>2002</v>
      </c>
      <c r="Q3346" t="s">
        <v>3117</v>
      </c>
      <c r="R3346">
        <f t="shared" si="40"/>
        <v>120</v>
      </c>
      <c r="T3346" t="s">
        <v>3035</v>
      </c>
      <c r="U3346" s="21" t="s">
        <v>95</v>
      </c>
      <c r="X3346" s="9" t="s">
        <v>3116</v>
      </c>
      <c r="Z3346" s="9" t="s">
        <v>2993</v>
      </c>
      <c r="AA3346" t="s">
        <v>1159</v>
      </c>
      <c r="AB3346">
        <v>500</v>
      </c>
      <c r="AC3346">
        <v>1</v>
      </c>
      <c r="AD3346" t="s">
        <v>1165</v>
      </c>
      <c r="AF3346" t="s">
        <v>153</v>
      </c>
      <c r="AI3346" s="21" t="s">
        <v>1165</v>
      </c>
      <c r="AJ3346" s="21" t="s">
        <v>3120</v>
      </c>
      <c r="AK3346">
        <v>25.323</v>
      </c>
      <c r="AL3346" s="21" t="s">
        <v>2993</v>
      </c>
      <c r="AM3346" s="21">
        <f>27.49-23.156</f>
        <v>4.3339999999999996</v>
      </c>
      <c r="AN3346" s="21">
        <v>3</v>
      </c>
      <c r="AO3346" s="21">
        <v>15</v>
      </c>
      <c r="AP3346">
        <v>90</v>
      </c>
      <c r="AQ3346" s="22" t="s">
        <v>3060</v>
      </c>
      <c r="AR3346" s="21" t="s">
        <v>3124</v>
      </c>
    </row>
    <row r="3347" spans="1:44" x14ac:dyDescent="0.2">
      <c r="A3347" s="21" t="s">
        <v>1765</v>
      </c>
      <c r="B3347" s="21" t="s">
        <v>1146</v>
      </c>
      <c r="C3347" s="21" t="s">
        <v>1149</v>
      </c>
      <c r="D3347" s="21" t="s">
        <v>1763</v>
      </c>
      <c r="E3347" s="21" t="s">
        <v>1764</v>
      </c>
      <c r="G3347" s="21" t="s">
        <v>1165</v>
      </c>
      <c r="H3347" s="21" t="s">
        <v>1165</v>
      </c>
      <c r="I3347" s="21" t="s">
        <v>3121</v>
      </c>
      <c r="L3347">
        <v>3400</v>
      </c>
      <c r="M3347" s="21" t="s">
        <v>1145</v>
      </c>
      <c r="O3347" s="21">
        <v>2001</v>
      </c>
      <c r="P3347">
        <v>2002</v>
      </c>
      <c r="Q3347" t="s">
        <v>3117</v>
      </c>
      <c r="R3347">
        <f t="shared" si="40"/>
        <v>120</v>
      </c>
      <c r="T3347" t="s">
        <v>3035</v>
      </c>
      <c r="U3347" s="21" t="s">
        <v>95</v>
      </c>
      <c r="X3347" s="9" t="s">
        <v>3116</v>
      </c>
      <c r="Z3347" s="9" t="s">
        <v>2993</v>
      </c>
      <c r="AA3347" t="s">
        <v>1159</v>
      </c>
      <c r="AB3347">
        <v>1000</v>
      </c>
      <c r="AC3347">
        <v>1</v>
      </c>
      <c r="AD3347" t="s">
        <v>1165</v>
      </c>
      <c r="AF3347" t="s">
        <v>153</v>
      </c>
      <c r="AI3347" s="21" t="s">
        <v>1165</v>
      </c>
      <c r="AJ3347" s="21" t="s">
        <v>3120</v>
      </c>
      <c r="AK3347">
        <v>27.795000000000002</v>
      </c>
      <c r="AL3347" s="21" t="s">
        <v>2993</v>
      </c>
      <c r="AM3347" s="21" t="s">
        <v>3003</v>
      </c>
      <c r="AN3347" s="21">
        <v>3</v>
      </c>
      <c r="AO3347" s="21">
        <v>15</v>
      </c>
      <c r="AP3347">
        <v>90</v>
      </c>
      <c r="AQ3347" s="22" t="s">
        <v>3060</v>
      </c>
      <c r="AR3347" s="21" t="s">
        <v>3124</v>
      </c>
    </row>
    <row r="3348" spans="1:44" x14ac:dyDescent="0.2">
      <c r="A3348" s="21" t="s">
        <v>1775</v>
      </c>
      <c r="B3348" s="21" t="s">
        <v>1146</v>
      </c>
      <c r="C3348" s="21" t="s">
        <v>1149</v>
      </c>
      <c r="D3348" s="21" t="s">
        <v>1774</v>
      </c>
      <c r="E3348" s="21" t="s">
        <v>3126</v>
      </c>
      <c r="G3348" s="21" t="s">
        <v>1165</v>
      </c>
      <c r="H3348" s="21" t="s">
        <v>1165</v>
      </c>
      <c r="I3348" s="21" t="s">
        <v>3131</v>
      </c>
      <c r="L3348">
        <v>1850</v>
      </c>
      <c r="M3348" s="21" t="s">
        <v>3034</v>
      </c>
      <c r="O3348">
        <v>1988</v>
      </c>
      <c r="S3348" s="9" t="s">
        <v>3128</v>
      </c>
      <c r="T3348" t="s">
        <v>3127</v>
      </c>
      <c r="U3348" s="21" t="s">
        <v>1147</v>
      </c>
      <c r="X3348" s="9" t="s">
        <v>3129</v>
      </c>
      <c r="Z3348">
        <v>12</v>
      </c>
      <c r="AD3348" t="s">
        <v>1165</v>
      </c>
      <c r="AF3348" t="s">
        <v>1165</v>
      </c>
      <c r="AI3348" s="21" t="s">
        <v>1165</v>
      </c>
      <c r="AJ3348" s="21" t="s">
        <v>1148</v>
      </c>
      <c r="AK3348">
        <v>64</v>
      </c>
      <c r="AN3348" s="21">
        <v>4</v>
      </c>
      <c r="AO3348" s="21">
        <v>25</v>
      </c>
      <c r="AP3348">
        <v>28</v>
      </c>
      <c r="AQ3348" s="22" t="s">
        <v>1283</v>
      </c>
      <c r="AR3348" s="21" t="s">
        <v>3130</v>
      </c>
    </row>
    <row r="3349" spans="1:44" x14ac:dyDescent="0.2">
      <c r="A3349" s="21" t="s">
        <v>1775</v>
      </c>
      <c r="B3349" s="21" t="s">
        <v>1146</v>
      </c>
      <c r="C3349" s="21" t="s">
        <v>1149</v>
      </c>
      <c r="D3349" s="21" t="s">
        <v>1774</v>
      </c>
      <c r="E3349" s="21" t="s">
        <v>3126</v>
      </c>
      <c r="G3349" s="21" t="s">
        <v>1165</v>
      </c>
      <c r="H3349" s="21" t="s">
        <v>1165</v>
      </c>
      <c r="I3349" s="21" t="s">
        <v>3131</v>
      </c>
      <c r="L3349">
        <v>1850</v>
      </c>
      <c r="M3349" s="21" t="s">
        <v>3034</v>
      </c>
      <c r="O3349">
        <v>1988</v>
      </c>
      <c r="S3349" s="9" t="s">
        <v>3128</v>
      </c>
      <c r="T3349" t="s">
        <v>3127</v>
      </c>
      <c r="U3349" s="21" t="s">
        <v>1218</v>
      </c>
      <c r="V3349" s="9" t="s">
        <v>3132</v>
      </c>
      <c r="W3349">
        <f>4*7</f>
        <v>28</v>
      </c>
      <c r="X3349" s="9" t="s">
        <v>3129</v>
      </c>
      <c r="Z3349">
        <v>12</v>
      </c>
      <c r="AD3349" t="s">
        <v>1165</v>
      </c>
      <c r="AF3349" t="s">
        <v>1165</v>
      </c>
      <c r="AI3349" s="21" t="s">
        <v>1165</v>
      </c>
      <c r="AJ3349" s="21" t="s">
        <v>1148</v>
      </c>
      <c r="AK3349">
        <v>66</v>
      </c>
      <c r="AN3349" s="21">
        <v>4</v>
      </c>
      <c r="AO3349" s="21">
        <v>25</v>
      </c>
      <c r="AP3349">
        <v>28</v>
      </c>
      <c r="AQ3349" s="22" t="s">
        <v>1283</v>
      </c>
      <c r="AR3349" s="21" t="s">
        <v>3130</v>
      </c>
    </row>
    <row r="3350" spans="1:44" x14ac:dyDescent="0.2">
      <c r="A3350" s="21" t="s">
        <v>1775</v>
      </c>
      <c r="B3350" s="21" t="s">
        <v>1146</v>
      </c>
      <c r="C3350" s="21" t="s">
        <v>1149</v>
      </c>
      <c r="D3350" s="21" t="s">
        <v>1774</v>
      </c>
      <c r="E3350" s="21" t="s">
        <v>3126</v>
      </c>
      <c r="G3350" s="21" t="s">
        <v>1165</v>
      </c>
      <c r="H3350" s="21" t="s">
        <v>1165</v>
      </c>
      <c r="I3350" s="21" t="s">
        <v>3131</v>
      </c>
      <c r="L3350">
        <v>1850</v>
      </c>
      <c r="M3350" s="21" t="s">
        <v>3034</v>
      </c>
      <c r="O3350">
        <v>1988</v>
      </c>
      <c r="S3350" s="9" t="s">
        <v>3128</v>
      </c>
      <c r="T3350" t="s">
        <v>3127</v>
      </c>
      <c r="U3350" s="21" t="s">
        <v>1218</v>
      </c>
      <c r="V3350" s="9" t="s">
        <v>3132</v>
      </c>
      <c r="W3350">
        <v>56</v>
      </c>
      <c r="X3350" s="9" t="s">
        <v>3129</v>
      </c>
      <c r="Z3350">
        <v>12</v>
      </c>
      <c r="AD3350" t="s">
        <v>1165</v>
      </c>
      <c r="AF3350" t="s">
        <v>1165</v>
      </c>
      <c r="AI3350" s="21" t="s">
        <v>1165</v>
      </c>
      <c r="AJ3350" s="21" t="s">
        <v>1148</v>
      </c>
      <c r="AK3350">
        <v>47</v>
      </c>
      <c r="AN3350" s="21">
        <v>4</v>
      </c>
      <c r="AO3350" s="21">
        <v>25</v>
      </c>
      <c r="AP3350">
        <v>28</v>
      </c>
      <c r="AQ3350" s="22" t="s">
        <v>1283</v>
      </c>
      <c r="AR3350" s="21" t="s">
        <v>3130</v>
      </c>
    </row>
    <row r="3351" spans="1:44" x14ac:dyDescent="0.2">
      <c r="A3351" s="21" t="s">
        <v>1775</v>
      </c>
      <c r="B3351" s="21" t="s">
        <v>1146</v>
      </c>
      <c r="C3351" s="21" t="s">
        <v>1149</v>
      </c>
      <c r="D3351" s="21" t="s">
        <v>1774</v>
      </c>
      <c r="E3351" s="21" t="s">
        <v>3126</v>
      </c>
      <c r="G3351" s="21" t="s">
        <v>1165</v>
      </c>
      <c r="H3351" s="21" t="s">
        <v>1165</v>
      </c>
      <c r="I3351" s="21" t="s">
        <v>3131</v>
      </c>
      <c r="L3351">
        <v>1850</v>
      </c>
      <c r="M3351" s="21" t="s">
        <v>3034</v>
      </c>
      <c r="O3351">
        <v>1988</v>
      </c>
      <c r="S3351" s="9" t="s">
        <v>3128</v>
      </c>
      <c r="T3351" t="s">
        <v>3127</v>
      </c>
      <c r="U3351" s="21" t="s">
        <v>1218</v>
      </c>
      <c r="V3351" s="9" t="s">
        <v>3132</v>
      </c>
      <c r="W3351">
        <f>7*12</f>
        <v>84</v>
      </c>
      <c r="X3351" s="9" t="s">
        <v>3129</v>
      </c>
      <c r="Z3351">
        <v>12</v>
      </c>
      <c r="AD3351" t="s">
        <v>1165</v>
      </c>
      <c r="AF3351" t="s">
        <v>1165</v>
      </c>
      <c r="AI3351" s="21" t="s">
        <v>1165</v>
      </c>
      <c r="AJ3351" s="21" t="s">
        <v>1148</v>
      </c>
      <c r="AK3351">
        <v>62</v>
      </c>
      <c r="AN3351" s="21">
        <v>4</v>
      </c>
      <c r="AO3351" s="21">
        <v>25</v>
      </c>
      <c r="AP3351">
        <v>28</v>
      </c>
      <c r="AQ3351" s="22" t="s">
        <v>1283</v>
      </c>
      <c r="AR3351" s="21" t="s">
        <v>3130</v>
      </c>
    </row>
    <row r="3352" spans="1:44" x14ac:dyDescent="0.2">
      <c r="A3352" s="21" t="s">
        <v>1775</v>
      </c>
      <c r="B3352" s="21" t="s">
        <v>1146</v>
      </c>
      <c r="C3352" s="21" t="s">
        <v>1149</v>
      </c>
      <c r="D3352" s="21" t="s">
        <v>1774</v>
      </c>
      <c r="E3352" s="21" t="s">
        <v>3126</v>
      </c>
      <c r="G3352" s="21" t="s">
        <v>1165</v>
      </c>
      <c r="H3352" s="21" t="s">
        <v>1165</v>
      </c>
      <c r="I3352" s="21" t="s">
        <v>3131</v>
      </c>
      <c r="L3352">
        <v>1850</v>
      </c>
      <c r="M3352" s="21" t="s">
        <v>3034</v>
      </c>
      <c r="O3352">
        <v>1988</v>
      </c>
      <c r="S3352" s="9" t="s">
        <v>3128</v>
      </c>
      <c r="T3352" t="s">
        <v>3127</v>
      </c>
      <c r="U3352" s="21" t="s">
        <v>1218</v>
      </c>
      <c r="V3352" s="9" t="s">
        <v>3132</v>
      </c>
      <c r="W3352">
        <f>7*16</f>
        <v>112</v>
      </c>
      <c r="X3352" s="9" t="s">
        <v>3129</v>
      </c>
      <c r="Z3352">
        <v>12</v>
      </c>
      <c r="AD3352" t="s">
        <v>1165</v>
      </c>
      <c r="AF3352" t="s">
        <v>1165</v>
      </c>
      <c r="AI3352" s="21" t="s">
        <v>1165</v>
      </c>
      <c r="AJ3352" s="21" t="s">
        <v>1148</v>
      </c>
      <c r="AK3352">
        <v>64</v>
      </c>
      <c r="AN3352" s="21">
        <v>4</v>
      </c>
      <c r="AO3352" s="21">
        <v>25</v>
      </c>
      <c r="AP3352">
        <v>28</v>
      </c>
      <c r="AQ3352" s="22" t="s">
        <v>1283</v>
      </c>
      <c r="AR3352" s="21" t="s">
        <v>3130</v>
      </c>
    </row>
    <row r="3353" spans="1:44" x14ac:dyDescent="0.2">
      <c r="A3353" s="21" t="s">
        <v>1775</v>
      </c>
      <c r="B3353" s="21" t="s">
        <v>1146</v>
      </c>
      <c r="C3353" s="21" t="s">
        <v>1149</v>
      </c>
      <c r="D3353" s="21" t="s">
        <v>1774</v>
      </c>
      <c r="E3353" s="21" t="s">
        <v>3126</v>
      </c>
      <c r="G3353" s="21" t="s">
        <v>1165</v>
      </c>
      <c r="H3353" s="21" t="s">
        <v>1165</v>
      </c>
      <c r="I3353" s="21" t="s">
        <v>3131</v>
      </c>
      <c r="L3353">
        <v>1850</v>
      </c>
      <c r="M3353" s="21" t="s">
        <v>3034</v>
      </c>
      <c r="O3353">
        <v>1988</v>
      </c>
      <c r="S3353" s="9" t="s">
        <v>3128</v>
      </c>
      <c r="T3353" t="s">
        <v>3127</v>
      </c>
      <c r="U3353" s="21" t="s">
        <v>1218</v>
      </c>
      <c r="V3353" s="9" t="s">
        <v>3132</v>
      </c>
      <c r="W3353">
        <f>7*24</f>
        <v>168</v>
      </c>
      <c r="X3353" s="9" t="s">
        <v>3129</v>
      </c>
      <c r="Z3353">
        <v>12</v>
      </c>
      <c r="AD3353" t="s">
        <v>1165</v>
      </c>
      <c r="AF3353" t="s">
        <v>1165</v>
      </c>
      <c r="AI3353" s="21" t="s">
        <v>1165</v>
      </c>
      <c r="AJ3353" s="21" t="s">
        <v>1148</v>
      </c>
      <c r="AK3353">
        <v>64</v>
      </c>
      <c r="AN3353" s="21">
        <v>4</v>
      </c>
      <c r="AO3353" s="21">
        <v>25</v>
      </c>
      <c r="AP3353">
        <v>28</v>
      </c>
      <c r="AQ3353" s="22" t="s">
        <v>1283</v>
      </c>
      <c r="AR3353" s="21" t="s">
        <v>3130</v>
      </c>
    </row>
    <row r="3354" spans="1:44" x14ac:dyDescent="0.2">
      <c r="A3354" s="21" t="s">
        <v>1775</v>
      </c>
      <c r="B3354" s="21" t="s">
        <v>1146</v>
      </c>
      <c r="C3354" s="21" t="s">
        <v>1149</v>
      </c>
      <c r="D3354" s="21" t="s">
        <v>1774</v>
      </c>
      <c r="E3354" s="21" t="s">
        <v>3126</v>
      </c>
      <c r="G3354" s="21" t="s">
        <v>1165</v>
      </c>
      <c r="H3354" s="21" t="s">
        <v>1165</v>
      </c>
      <c r="I3354" s="21" t="s">
        <v>3131</v>
      </c>
      <c r="L3354">
        <v>1850</v>
      </c>
      <c r="M3354" s="21" t="s">
        <v>3034</v>
      </c>
      <c r="O3354">
        <v>1988</v>
      </c>
      <c r="S3354" s="9" t="s">
        <v>3128</v>
      </c>
      <c r="T3354" t="s">
        <v>3127</v>
      </c>
      <c r="U3354" s="21" t="s">
        <v>1218</v>
      </c>
      <c r="V3354" s="9" t="s">
        <v>3132</v>
      </c>
      <c r="W3354">
        <f>7*12</f>
        <v>84</v>
      </c>
      <c r="X3354" s="9" t="s">
        <v>3129</v>
      </c>
      <c r="Y3354" t="s">
        <v>3133</v>
      </c>
      <c r="Z3354">
        <v>12</v>
      </c>
      <c r="AD3354" t="s">
        <v>1165</v>
      </c>
      <c r="AF3354" t="s">
        <v>1165</v>
      </c>
      <c r="AI3354" s="21" t="s">
        <v>1165</v>
      </c>
      <c r="AJ3354" s="21" t="s">
        <v>1148</v>
      </c>
      <c r="AK3354">
        <v>95</v>
      </c>
      <c r="AN3354" s="21">
        <v>4</v>
      </c>
      <c r="AO3354" s="21">
        <v>25</v>
      </c>
      <c r="AP3354">
        <v>28</v>
      </c>
      <c r="AQ3354" s="22" t="s">
        <v>1283</v>
      </c>
      <c r="AR3354" s="21" t="s">
        <v>3130</v>
      </c>
    </row>
    <row r="3355" spans="1:44" x14ac:dyDescent="0.2">
      <c r="A3355" s="21" t="s">
        <v>1775</v>
      </c>
      <c r="B3355" s="21" t="s">
        <v>1146</v>
      </c>
      <c r="C3355" s="21" t="s">
        <v>1149</v>
      </c>
      <c r="D3355" s="21" t="s">
        <v>1774</v>
      </c>
      <c r="E3355" s="21" t="s">
        <v>3126</v>
      </c>
      <c r="G3355" s="21" t="s">
        <v>1165</v>
      </c>
      <c r="H3355" s="21" t="s">
        <v>1165</v>
      </c>
      <c r="I3355" s="21" t="s">
        <v>3131</v>
      </c>
      <c r="L3355">
        <v>1850</v>
      </c>
      <c r="M3355" s="21" t="s">
        <v>3034</v>
      </c>
      <c r="O3355">
        <v>1988</v>
      </c>
      <c r="S3355" s="9" t="s">
        <v>3128</v>
      </c>
      <c r="T3355" t="s">
        <v>3127</v>
      </c>
      <c r="U3355" s="21" t="s">
        <v>1218</v>
      </c>
      <c r="V3355" s="9" t="s">
        <v>3132</v>
      </c>
      <c r="W3355">
        <f>7*12</f>
        <v>84</v>
      </c>
      <c r="X3355" s="9" t="s">
        <v>3129</v>
      </c>
      <c r="Y3355" t="s">
        <v>3134</v>
      </c>
      <c r="Z3355">
        <v>12</v>
      </c>
      <c r="AD3355" t="s">
        <v>1165</v>
      </c>
      <c r="AF3355" t="s">
        <v>1165</v>
      </c>
      <c r="AI3355" s="21" t="s">
        <v>1165</v>
      </c>
      <c r="AJ3355" s="21" t="s">
        <v>1148</v>
      </c>
      <c r="AK3355">
        <v>93</v>
      </c>
      <c r="AN3355" s="21">
        <v>4</v>
      </c>
      <c r="AO3355" s="21">
        <v>25</v>
      </c>
      <c r="AP3355">
        <v>28</v>
      </c>
      <c r="AQ3355" s="22" t="s">
        <v>1283</v>
      </c>
      <c r="AR3355" s="21" t="s">
        <v>3130</v>
      </c>
    </row>
    <row r="3356" spans="1:44" x14ac:dyDescent="0.2">
      <c r="A3356" s="21" t="s">
        <v>1775</v>
      </c>
      <c r="B3356" s="21" t="s">
        <v>1146</v>
      </c>
      <c r="C3356" s="21" t="s">
        <v>1149</v>
      </c>
      <c r="D3356" s="21" t="s">
        <v>1774</v>
      </c>
      <c r="E3356" s="21" t="s">
        <v>3126</v>
      </c>
      <c r="G3356" s="21" t="s">
        <v>1165</v>
      </c>
      <c r="H3356" s="21" t="s">
        <v>1165</v>
      </c>
      <c r="I3356" s="21" t="s">
        <v>3131</v>
      </c>
      <c r="L3356">
        <v>1850</v>
      </c>
      <c r="M3356" s="21" t="s">
        <v>3034</v>
      </c>
      <c r="O3356">
        <v>1988</v>
      </c>
      <c r="S3356" s="9" t="s">
        <v>3128</v>
      </c>
      <c r="T3356" t="s">
        <v>3127</v>
      </c>
      <c r="U3356" s="21" t="s">
        <v>1218</v>
      </c>
      <c r="V3356" s="9" t="s">
        <v>3132</v>
      </c>
      <c r="W3356">
        <f>7*12</f>
        <v>84</v>
      </c>
      <c r="X3356" s="9" t="s">
        <v>3129</v>
      </c>
      <c r="Y3356" t="s">
        <v>3135</v>
      </c>
      <c r="Z3356">
        <v>12</v>
      </c>
      <c r="AD3356" t="s">
        <v>1165</v>
      </c>
      <c r="AF3356" t="s">
        <v>1165</v>
      </c>
      <c r="AI3356" s="21" t="s">
        <v>1165</v>
      </c>
      <c r="AJ3356" s="21" t="s">
        <v>1148</v>
      </c>
      <c r="AK3356">
        <v>83</v>
      </c>
      <c r="AN3356" s="21">
        <v>4</v>
      </c>
      <c r="AO3356" s="21">
        <v>25</v>
      </c>
      <c r="AP3356">
        <v>28</v>
      </c>
      <c r="AQ3356" s="22" t="s">
        <v>1283</v>
      </c>
      <c r="AR3356" s="21" t="s">
        <v>3130</v>
      </c>
    </row>
    <row r="3357" spans="1:44" x14ac:dyDescent="0.2">
      <c r="A3357" s="21" t="s">
        <v>1775</v>
      </c>
      <c r="B3357" s="21" t="s">
        <v>1146</v>
      </c>
      <c r="C3357" s="21" t="s">
        <v>1149</v>
      </c>
      <c r="D3357" s="21" t="s">
        <v>1774</v>
      </c>
      <c r="E3357" s="21" t="s">
        <v>3126</v>
      </c>
      <c r="G3357" s="21" t="s">
        <v>1165</v>
      </c>
      <c r="H3357" s="21" t="s">
        <v>1165</v>
      </c>
      <c r="I3357" s="21" t="s">
        <v>3136</v>
      </c>
      <c r="L3357">
        <v>1750</v>
      </c>
      <c r="M3357" s="21" t="s">
        <v>3034</v>
      </c>
      <c r="O3357">
        <v>1988</v>
      </c>
      <c r="S3357" s="9" t="s">
        <v>3128</v>
      </c>
      <c r="T3357" t="s">
        <v>3127</v>
      </c>
      <c r="U3357" s="21" t="s">
        <v>1147</v>
      </c>
      <c r="X3357" s="9" t="s">
        <v>3129</v>
      </c>
      <c r="Z3357">
        <v>12</v>
      </c>
      <c r="AD3357" t="s">
        <v>1165</v>
      </c>
      <c r="AF3357" t="s">
        <v>1165</v>
      </c>
      <c r="AI3357" s="21" t="s">
        <v>1165</v>
      </c>
      <c r="AJ3357" s="21" t="s">
        <v>1148</v>
      </c>
      <c r="AK3357">
        <v>93</v>
      </c>
      <c r="AN3357" s="21">
        <v>4</v>
      </c>
      <c r="AO3357" s="21">
        <v>25</v>
      </c>
      <c r="AP3357">
        <v>28</v>
      </c>
      <c r="AQ3357" s="22" t="s">
        <v>1283</v>
      </c>
      <c r="AR3357" s="21" t="s">
        <v>3130</v>
      </c>
    </row>
    <row r="3358" spans="1:44" x14ac:dyDescent="0.2">
      <c r="A3358" s="21" t="s">
        <v>1775</v>
      </c>
      <c r="B3358" s="21" t="s">
        <v>1146</v>
      </c>
      <c r="C3358" s="21" t="s">
        <v>1149</v>
      </c>
      <c r="D3358" s="21" t="s">
        <v>1774</v>
      </c>
      <c r="E3358" s="21" t="s">
        <v>3126</v>
      </c>
      <c r="G3358" s="21" t="s">
        <v>1165</v>
      </c>
      <c r="H3358" s="21" t="s">
        <v>1165</v>
      </c>
      <c r="I3358" s="21" t="s">
        <v>3136</v>
      </c>
      <c r="L3358">
        <v>1750</v>
      </c>
      <c r="M3358" s="21" t="s">
        <v>3034</v>
      </c>
      <c r="O3358">
        <v>1988</v>
      </c>
      <c r="S3358" s="9" t="s">
        <v>3128</v>
      </c>
      <c r="T3358" t="s">
        <v>3127</v>
      </c>
      <c r="U3358" s="21" t="s">
        <v>1218</v>
      </c>
      <c r="V3358" s="9" t="s">
        <v>3132</v>
      </c>
      <c r="W3358">
        <f>4*7</f>
        <v>28</v>
      </c>
      <c r="X3358" s="9" t="s">
        <v>3129</v>
      </c>
      <c r="Z3358">
        <v>12</v>
      </c>
      <c r="AD3358" t="s">
        <v>1165</v>
      </c>
      <c r="AF3358" t="s">
        <v>1165</v>
      </c>
      <c r="AI3358" s="21" t="s">
        <v>1165</v>
      </c>
      <c r="AJ3358" s="21" t="s">
        <v>1148</v>
      </c>
      <c r="AK3358">
        <v>50</v>
      </c>
      <c r="AN3358" s="21">
        <v>4</v>
      </c>
      <c r="AO3358" s="21">
        <v>25</v>
      </c>
      <c r="AP3358">
        <v>28</v>
      </c>
      <c r="AQ3358" s="22" t="s">
        <v>1283</v>
      </c>
      <c r="AR3358" s="21" t="s">
        <v>3130</v>
      </c>
    </row>
    <row r="3359" spans="1:44" x14ac:dyDescent="0.2">
      <c r="A3359" s="21" t="s">
        <v>1775</v>
      </c>
      <c r="B3359" s="21" t="s">
        <v>1146</v>
      </c>
      <c r="C3359" s="21" t="s">
        <v>1149</v>
      </c>
      <c r="D3359" s="21" t="s">
        <v>1774</v>
      </c>
      <c r="E3359" s="21" t="s">
        <v>3126</v>
      </c>
      <c r="G3359" s="21" t="s">
        <v>1165</v>
      </c>
      <c r="H3359" s="21" t="s">
        <v>1165</v>
      </c>
      <c r="I3359" s="21" t="s">
        <v>3136</v>
      </c>
      <c r="L3359">
        <v>1750</v>
      </c>
      <c r="M3359" s="21" t="s">
        <v>3034</v>
      </c>
      <c r="O3359">
        <v>1988</v>
      </c>
      <c r="S3359" s="9" t="s">
        <v>3128</v>
      </c>
      <c r="T3359" t="s">
        <v>3127</v>
      </c>
      <c r="U3359" s="21" t="s">
        <v>1218</v>
      </c>
      <c r="V3359" s="9" t="s">
        <v>3132</v>
      </c>
      <c r="W3359">
        <v>56</v>
      </c>
      <c r="X3359" s="9" t="s">
        <v>3129</v>
      </c>
      <c r="Z3359">
        <v>12</v>
      </c>
      <c r="AD3359" t="s">
        <v>1165</v>
      </c>
      <c r="AF3359" t="s">
        <v>1165</v>
      </c>
      <c r="AI3359" s="21" t="s">
        <v>1165</v>
      </c>
      <c r="AJ3359" s="21" t="s">
        <v>1148</v>
      </c>
      <c r="AK3359">
        <v>66</v>
      </c>
      <c r="AN3359" s="21">
        <v>4</v>
      </c>
      <c r="AO3359" s="21">
        <v>25</v>
      </c>
      <c r="AP3359">
        <v>28</v>
      </c>
      <c r="AQ3359" s="22" t="s">
        <v>1283</v>
      </c>
      <c r="AR3359" s="21" t="s">
        <v>3130</v>
      </c>
    </row>
    <row r="3360" spans="1:44" x14ac:dyDescent="0.2">
      <c r="A3360" s="21" t="s">
        <v>1775</v>
      </c>
      <c r="B3360" s="21" t="s">
        <v>1146</v>
      </c>
      <c r="C3360" s="21" t="s">
        <v>1149</v>
      </c>
      <c r="D3360" s="21" t="s">
        <v>1774</v>
      </c>
      <c r="E3360" s="21" t="s">
        <v>3126</v>
      </c>
      <c r="G3360" s="21" t="s">
        <v>1165</v>
      </c>
      <c r="H3360" s="21" t="s">
        <v>1165</v>
      </c>
      <c r="I3360" s="21" t="s">
        <v>3136</v>
      </c>
      <c r="L3360">
        <v>1750</v>
      </c>
      <c r="M3360" s="21" t="s">
        <v>3034</v>
      </c>
      <c r="O3360">
        <v>1988</v>
      </c>
      <c r="S3360" s="9" t="s">
        <v>3128</v>
      </c>
      <c r="T3360" t="s">
        <v>3127</v>
      </c>
      <c r="U3360" s="21" t="s">
        <v>1218</v>
      </c>
      <c r="V3360" s="9" t="s">
        <v>3132</v>
      </c>
      <c r="W3360">
        <f>7*12</f>
        <v>84</v>
      </c>
      <c r="X3360" s="9" t="s">
        <v>3129</v>
      </c>
      <c r="Z3360">
        <v>12</v>
      </c>
      <c r="AD3360" t="s">
        <v>1165</v>
      </c>
      <c r="AF3360" t="s">
        <v>1165</v>
      </c>
      <c r="AI3360" s="21" t="s">
        <v>1165</v>
      </c>
      <c r="AJ3360" s="21" t="s">
        <v>1148</v>
      </c>
      <c r="AK3360">
        <v>70</v>
      </c>
      <c r="AN3360" s="21">
        <v>4</v>
      </c>
      <c r="AO3360" s="21">
        <v>25</v>
      </c>
      <c r="AP3360">
        <v>28</v>
      </c>
      <c r="AQ3360" s="22" t="s">
        <v>1283</v>
      </c>
      <c r="AR3360" s="21" t="s">
        <v>3130</v>
      </c>
    </row>
    <row r="3361" spans="1:44" x14ac:dyDescent="0.2">
      <c r="A3361" s="21" t="s">
        <v>1775</v>
      </c>
      <c r="B3361" s="21" t="s">
        <v>1146</v>
      </c>
      <c r="C3361" s="21" t="s">
        <v>1149</v>
      </c>
      <c r="D3361" s="21" t="s">
        <v>1774</v>
      </c>
      <c r="E3361" s="21" t="s">
        <v>3126</v>
      </c>
      <c r="G3361" s="21" t="s">
        <v>1165</v>
      </c>
      <c r="H3361" s="21" t="s">
        <v>1165</v>
      </c>
      <c r="I3361" s="21" t="s">
        <v>3136</v>
      </c>
      <c r="L3361">
        <v>1750</v>
      </c>
      <c r="M3361" s="21" t="s">
        <v>3034</v>
      </c>
      <c r="O3361">
        <v>1988</v>
      </c>
      <c r="S3361" s="9" t="s">
        <v>3128</v>
      </c>
      <c r="T3361" t="s">
        <v>3127</v>
      </c>
      <c r="U3361" s="21" t="s">
        <v>1218</v>
      </c>
      <c r="V3361" s="9" t="s">
        <v>3132</v>
      </c>
      <c r="W3361">
        <f>7*16</f>
        <v>112</v>
      </c>
      <c r="X3361" s="9" t="s">
        <v>3129</v>
      </c>
      <c r="Z3361">
        <v>12</v>
      </c>
      <c r="AD3361" t="s">
        <v>1165</v>
      </c>
      <c r="AF3361" t="s">
        <v>1165</v>
      </c>
      <c r="AI3361" s="21" t="s">
        <v>1165</v>
      </c>
      <c r="AJ3361" s="21" t="s">
        <v>1148</v>
      </c>
      <c r="AK3361">
        <v>77</v>
      </c>
      <c r="AN3361" s="21">
        <v>4</v>
      </c>
      <c r="AO3361" s="21">
        <v>25</v>
      </c>
      <c r="AP3361">
        <v>28</v>
      </c>
      <c r="AQ3361" s="22" t="s">
        <v>1283</v>
      </c>
      <c r="AR3361" s="21" t="s">
        <v>3130</v>
      </c>
    </row>
    <row r="3362" spans="1:44" x14ac:dyDescent="0.2">
      <c r="A3362" s="21" t="s">
        <v>1775</v>
      </c>
      <c r="B3362" s="21" t="s">
        <v>1146</v>
      </c>
      <c r="C3362" s="21" t="s">
        <v>1149</v>
      </c>
      <c r="D3362" s="21" t="s">
        <v>1774</v>
      </c>
      <c r="E3362" s="21" t="s">
        <v>3126</v>
      </c>
      <c r="G3362" s="21" t="s">
        <v>1165</v>
      </c>
      <c r="H3362" s="21" t="s">
        <v>1165</v>
      </c>
      <c r="I3362" s="21" t="s">
        <v>3136</v>
      </c>
      <c r="L3362">
        <v>1750</v>
      </c>
      <c r="M3362" s="21" t="s">
        <v>3034</v>
      </c>
      <c r="O3362">
        <v>1988</v>
      </c>
      <c r="S3362" s="9" t="s">
        <v>3128</v>
      </c>
      <c r="T3362" t="s">
        <v>3127</v>
      </c>
      <c r="U3362" s="21" t="s">
        <v>1218</v>
      </c>
      <c r="V3362" s="9" t="s">
        <v>3132</v>
      </c>
      <c r="W3362">
        <f>7*24</f>
        <v>168</v>
      </c>
      <c r="X3362" s="9" t="s">
        <v>3129</v>
      </c>
      <c r="Z3362">
        <v>12</v>
      </c>
      <c r="AD3362" t="s">
        <v>1165</v>
      </c>
      <c r="AF3362" t="s">
        <v>1165</v>
      </c>
      <c r="AI3362" s="21" t="s">
        <v>1165</v>
      </c>
      <c r="AJ3362" s="21" t="s">
        <v>1148</v>
      </c>
      <c r="AK3362">
        <v>71</v>
      </c>
      <c r="AN3362" s="21">
        <v>4</v>
      </c>
      <c r="AO3362" s="21">
        <v>25</v>
      </c>
      <c r="AP3362">
        <v>28</v>
      </c>
      <c r="AQ3362" s="22" t="s">
        <v>1283</v>
      </c>
      <c r="AR3362" s="21" t="s">
        <v>3130</v>
      </c>
    </row>
    <row r="3363" spans="1:44" x14ac:dyDescent="0.2">
      <c r="A3363" s="21" t="s">
        <v>1775</v>
      </c>
      <c r="B3363" s="21" t="s">
        <v>1146</v>
      </c>
      <c r="C3363" s="21" t="s">
        <v>1149</v>
      </c>
      <c r="D3363" s="21" t="s">
        <v>1774</v>
      </c>
      <c r="E3363" s="21" t="s">
        <v>3126</v>
      </c>
      <c r="G3363" s="21" t="s">
        <v>1165</v>
      </c>
      <c r="H3363" s="21" t="s">
        <v>1165</v>
      </c>
      <c r="I3363" s="21" t="s">
        <v>3136</v>
      </c>
      <c r="L3363">
        <v>1750</v>
      </c>
      <c r="M3363" s="21" t="s">
        <v>3034</v>
      </c>
      <c r="O3363">
        <v>1988</v>
      </c>
      <c r="S3363" s="9" t="s">
        <v>3128</v>
      </c>
      <c r="T3363" t="s">
        <v>3127</v>
      </c>
      <c r="U3363" s="21" t="s">
        <v>1218</v>
      </c>
      <c r="V3363" s="9" t="s">
        <v>3132</v>
      </c>
      <c r="W3363">
        <f>7*12</f>
        <v>84</v>
      </c>
      <c r="X3363" s="9" t="s">
        <v>3129</v>
      </c>
      <c r="Y3363" t="s">
        <v>3133</v>
      </c>
      <c r="Z3363">
        <v>12</v>
      </c>
      <c r="AD3363" t="s">
        <v>1165</v>
      </c>
      <c r="AF3363" t="s">
        <v>1165</v>
      </c>
      <c r="AI3363" s="21" t="s">
        <v>1165</v>
      </c>
      <c r="AJ3363" s="21" t="s">
        <v>1148</v>
      </c>
      <c r="AK3363">
        <v>98</v>
      </c>
      <c r="AN3363" s="21">
        <v>4</v>
      </c>
      <c r="AO3363" s="21">
        <v>25</v>
      </c>
      <c r="AP3363">
        <v>28</v>
      </c>
      <c r="AQ3363" s="22" t="s">
        <v>1283</v>
      </c>
      <c r="AR3363" s="21" t="s">
        <v>3130</v>
      </c>
    </row>
    <row r="3364" spans="1:44" x14ac:dyDescent="0.2">
      <c r="A3364" s="21" t="s">
        <v>1775</v>
      </c>
      <c r="B3364" s="21" t="s">
        <v>1146</v>
      </c>
      <c r="C3364" s="21" t="s">
        <v>1149</v>
      </c>
      <c r="D3364" s="21" t="s">
        <v>1774</v>
      </c>
      <c r="E3364" s="21" t="s">
        <v>3126</v>
      </c>
      <c r="G3364" s="21" t="s">
        <v>1165</v>
      </c>
      <c r="H3364" s="21" t="s">
        <v>1165</v>
      </c>
      <c r="I3364" s="21" t="s">
        <v>3136</v>
      </c>
      <c r="L3364">
        <v>1750</v>
      </c>
      <c r="M3364" s="21" t="s">
        <v>3034</v>
      </c>
      <c r="O3364">
        <v>1988</v>
      </c>
      <c r="S3364" s="9" t="s">
        <v>3128</v>
      </c>
      <c r="T3364" t="s">
        <v>3127</v>
      </c>
      <c r="U3364" s="21" t="s">
        <v>1218</v>
      </c>
      <c r="V3364" s="9" t="s">
        <v>3132</v>
      </c>
      <c r="W3364">
        <f>7*12</f>
        <v>84</v>
      </c>
      <c r="X3364" s="9" t="s">
        <v>3129</v>
      </c>
      <c r="Y3364" t="s">
        <v>3134</v>
      </c>
      <c r="Z3364">
        <v>12</v>
      </c>
      <c r="AD3364" t="s">
        <v>1165</v>
      </c>
      <c r="AF3364" t="s">
        <v>1165</v>
      </c>
      <c r="AI3364" s="21" t="s">
        <v>1165</v>
      </c>
      <c r="AJ3364" s="21" t="s">
        <v>1148</v>
      </c>
      <c r="AK3364">
        <v>84</v>
      </c>
      <c r="AN3364" s="21">
        <v>4</v>
      </c>
      <c r="AO3364" s="21">
        <v>25</v>
      </c>
      <c r="AP3364">
        <v>28</v>
      </c>
      <c r="AQ3364" s="22" t="s">
        <v>1283</v>
      </c>
      <c r="AR3364" s="21" t="s">
        <v>3130</v>
      </c>
    </row>
    <row r="3365" spans="1:44" x14ac:dyDescent="0.2">
      <c r="A3365" s="21" t="s">
        <v>1775</v>
      </c>
      <c r="B3365" s="21" t="s">
        <v>1146</v>
      </c>
      <c r="C3365" s="21" t="s">
        <v>1149</v>
      </c>
      <c r="D3365" s="21" t="s">
        <v>1774</v>
      </c>
      <c r="E3365" s="21" t="s">
        <v>3126</v>
      </c>
      <c r="G3365" s="21" t="s">
        <v>1165</v>
      </c>
      <c r="H3365" s="21" t="s">
        <v>1165</v>
      </c>
      <c r="I3365" s="21" t="s">
        <v>3136</v>
      </c>
      <c r="L3365">
        <v>1750</v>
      </c>
      <c r="M3365" s="21" t="s">
        <v>3034</v>
      </c>
      <c r="O3365">
        <v>1988</v>
      </c>
      <c r="S3365" s="9" t="s">
        <v>3128</v>
      </c>
      <c r="T3365" t="s">
        <v>3127</v>
      </c>
      <c r="U3365" s="21" t="s">
        <v>1218</v>
      </c>
      <c r="V3365" s="9" t="s">
        <v>3132</v>
      </c>
      <c r="W3365">
        <f>7*12</f>
        <v>84</v>
      </c>
      <c r="X3365" s="9" t="s">
        <v>3129</v>
      </c>
      <c r="Y3365" t="s">
        <v>3135</v>
      </c>
      <c r="Z3365">
        <v>12</v>
      </c>
      <c r="AD3365" t="s">
        <v>1165</v>
      </c>
      <c r="AF3365" t="s">
        <v>1165</v>
      </c>
      <c r="AI3365" s="21" t="s">
        <v>1165</v>
      </c>
      <c r="AJ3365" s="21" t="s">
        <v>1148</v>
      </c>
      <c r="AK3365">
        <v>83</v>
      </c>
      <c r="AN3365" s="21">
        <v>4</v>
      </c>
      <c r="AO3365" s="21">
        <v>25</v>
      </c>
      <c r="AP3365">
        <v>28</v>
      </c>
      <c r="AQ3365" s="22" t="s">
        <v>1283</v>
      </c>
      <c r="AR3365" s="21" t="s">
        <v>3130</v>
      </c>
    </row>
    <row r="3366" spans="1:44" x14ac:dyDescent="0.2">
      <c r="A3366" s="21" t="s">
        <v>1775</v>
      </c>
      <c r="B3366" s="21" t="s">
        <v>1146</v>
      </c>
      <c r="C3366" s="21" t="s">
        <v>1149</v>
      </c>
      <c r="D3366" s="21" t="s">
        <v>1774</v>
      </c>
      <c r="E3366" s="21" t="s">
        <v>3137</v>
      </c>
      <c r="G3366" s="21" t="s">
        <v>1165</v>
      </c>
      <c r="H3366" s="21" t="s">
        <v>1165</v>
      </c>
      <c r="I3366" s="21" t="s">
        <v>3138</v>
      </c>
      <c r="L3366">
        <v>2220</v>
      </c>
      <c r="M3366" s="21" t="s">
        <v>3034</v>
      </c>
      <c r="O3366">
        <v>1988</v>
      </c>
      <c r="S3366" s="9" t="s">
        <v>3128</v>
      </c>
      <c r="T3366" t="s">
        <v>3127</v>
      </c>
      <c r="U3366" s="21" t="s">
        <v>1147</v>
      </c>
      <c r="X3366" s="9" t="s">
        <v>3129</v>
      </c>
      <c r="Z3366">
        <v>12</v>
      </c>
      <c r="AD3366" t="s">
        <v>1165</v>
      </c>
      <c r="AF3366" t="s">
        <v>1165</v>
      </c>
      <c r="AI3366" s="21" t="s">
        <v>1165</v>
      </c>
      <c r="AJ3366" s="21" t="s">
        <v>1148</v>
      </c>
      <c r="AK3366">
        <v>0</v>
      </c>
      <c r="AN3366" s="21">
        <v>4</v>
      </c>
      <c r="AO3366" s="21">
        <v>25</v>
      </c>
      <c r="AP3366">
        <v>28</v>
      </c>
      <c r="AQ3366" s="22" t="s">
        <v>1283</v>
      </c>
      <c r="AR3366" s="21" t="s">
        <v>3130</v>
      </c>
    </row>
    <row r="3367" spans="1:44" x14ac:dyDescent="0.2">
      <c r="A3367" s="21" t="s">
        <v>1775</v>
      </c>
      <c r="B3367" s="21" t="s">
        <v>1146</v>
      </c>
      <c r="C3367" s="21" t="s">
        <v>1149</v>
      </c>
      <c r="D3367" s="21" t="s">
        <v>1774</v>
      </c>
      <c r="E3367" s="21" t="s">
        <v>3137</v>
      </c>
      <c r="G3367" s="21" t="s">
        <v>1165</v>
      </c>
      <c r="H3367" s="21" t="s">
        <v>1165</v>
      </c>
      <c r="I3367" s="21" t="s">
        <v>3138</v>
      </c>
      <c r="L3367">
        <v>2220</v>
      </c>
      <c r="M3367" s="21" t="s">
        <v>3034</v>
      </c>
      <c r="O3367">
        <v>1988</v>
      </c>
      <c r="S3367" s="9" t="s">
        <v>3128</v>
      </c>
      <c r="T3367" t="s">
        <v>3127</v>
      </c>
      <c r="U3367" s="21" t="s">
        <v>1218</v>
      </c>
      <c r="V3367" s="9" t="s">
        <v>3132</v>
      </c>
      <c r="W3367">
        <f>4*7</f>
        <v>28</v>
      </c>
      <c r="X3367" s="9" t="s">
        <v>3129</v>
      </c>
      <c r="Z3367">
        <v>12</v>
      </c>
      <c r="AD3367" t="s">
        <v>1165</v>
      </c>
      <c r="AF3367" t="s">
        <v>1165</v>
      </c>
      <c r="AI3367" s="21" t="s">
        <v>1165</v>
      </c>
      <c r="AJ3367" s="21" t="s">
        <v>1148</v>
      </c>
      <c r="AK3367">
        <v>0</v>
      </c>
      <c r="AN3367" s="21">
        <v>4</v>
      </c>
      <c r="AO3367" s="21">
        <v>25</v>
      </c>
      <c r="AP3367">
        <v>28</v>
      </c>
      <c r="AQ3367" s="22" t="s">
        <v>1283</v>
      </c>
      <c r="AR3367" s="21" t="s">
        <v>3130</v>
      </c>
    </row>
    <row r="3368" spans="1:44" x14ac:dyDescent="0.2">
      <c r="A3368" s="21" t="s">
        <v>1775</v>
      </c>
      <c r="B3368" s="21" t="s">
        <v>1146</v>
      </c>
      <c r="C3368" s="21" t="s">
        <v>1149</v>
      </c>
      <c r="D3368" s="21" t="s">
        <v>1774</v>
      </c>
      <c r="E3368" s="21" t="s">
        <v>3137</v>
      </c>
      <c r="G3368" s="21" t="s">
        <v>1165</v>
      </c>
      <c r="H3368" s="21" t="s">
        <v>1165</v>
      </c>
      <c r="I3368" s="21" t="s">
        <v>3138</v>
      </c>
      <c r="L3368">
        <v>2220</v>
      </c>
      <c r="M3368" s="21" t="s">
        <v>3034</v>
      </c>
      <c r="O3368">
        <v>1988</v>
      </c>
      <c r="S3368" s="9" t="s">
        <v>3128</v>
      </c>
      <c r="T3368" t="s">
        <v>3127</v>
      </c>
      <c r="U3368" s="21" t="s">
        <v>1218</v>
      </c>
      <c r="V3368" s="9" t="s">
        <v>3132</v>
      </c>
      <c r="W3368">
        <v>56</v>
      </c>
      <c r="X3368" s="9" t="s">
        <v>3129</v>
      </c>
      <c r="Z3368">
        <v>12</v>
      </c>
      <c r="AD3368" t="s">
        <v>1165</v>
      </c>
      <c r="AF3368" t="s">
        <v>1165</v>
      </c>
      <c r="AI3368" s="21" t="s">
        <v>1165</v>
      </c>
      <c r="AJ3368" s="21" t="s">
        <v>1148</v>
      </c>
      <c r="AK3368">
        <v>0</v>
      </c>
      <c r="AN3368" s="21">
        <v>4</v>
      </c>
      <c r="AO3368" s="21">
        <v>25</v>
      </c>
      <c r="AP3368">
        <v>28</v>
      </c>
      <c r="AQ3368" s="22" t="s">
        <v>1283</v>
      </c>
      <c r="AR3368" s="21" t="s">
        <v>3130</v>
      </c>
    </row>
    <row r="3369" spans="1:44" x14ac:dyDescent="0.2">
      <c r="A3369" s="21" t="s">
        <v>1775</v>
      </c>
      <c r="B3369" s="21" t="s">
        <v>1146</v>
      </c>
      <c r="C3369" s="21" t="s">
        <v>1149</v>
      </c>
      <c r="D3369" s="21" t="s">
        <v>1774</v>
      </c>
      <c r="E3369" s="21" t="s">
        <v>3137</v>
      </c>
      <c r="G3369" s="21" t="s">
        <v>1165</v>
      </c>
      <c r="H3369" s="21" t="s">
        <v>1165</v>
      </c>
      <c r="I3369" s="21" t="s">
        <v>3138</v>
      </c>
      <c r="L3369">
        <v>2220</v>
      </c>
      <c r="M3369" s="21" t="s">
        <v>3034</v>
      </c>
      <c r="O3369">
        <v>1988</v>
      </c>
      <c r="S3369" s="9" t="s">
        <v>3128</v>
      </c>
      <c r="T3369" t="s">
        <v>3127</v>
      </c>
      <c r="U3369" s="21" t="s">
        <v>1218</v>
      </c>
      <c r="V3369" s="9" t="s">
        <v>3132</v>
      </c>
      <c r="W3369">
        <f>7*12</f>
        <v>84</v>
      </c>
      <c r="X3369" s="9" t="s">
        <v>3129</v>
      </c>
      <c r="Z3369">
        <v>12</v>
      </c>
      <c r="AD3369" t="s">
        <v>1165</v>
      </c>
      <c r="AF3369" t="s">
        <v>1165</v>
      </c>
      <c r="AI3369" s="21" t="s">
        <v>1165</v>
      </c>
      <c r="AJ3369" s="21" t="s">
        <v>1148</v>
      </c>
      <c r="AK3369">
        <v>21</v>
      </c>
      <c r="AN3369" s="21">
        <v>4</v>
      </c>
      <c r="AO3369" s="21">
        <v>25</v>
      </c>
      <c r="AP3369">
        <v>28</v>
      </c>
      <c r="AQ3369" s="22" t="s">
        <v>1283</v>
      </c>
      <c r="AR3369" s="21" t="s">
        <v>3130</v>
      </c>
    </row>
    <row r="3370" spans="1:44" x14ac:dyDescent="0.2">
      <c r="A3370" s="21" t="s">
        <v>1775</v>
      </c>
      <c r="B3370" s="21" t="s">
        <v>1146</v>
      </c>
      <c r="C3370" s="21" t="s">
        <v>1149</v>
      </c>
      <c r="D3370" s="21" t="s">
        <v>1774</v>
      </c>
      <c r="E3370" s="21" t="s">
        <v>3137</v>
      </c>
      <c r="G3370" s="21" t="s">
        <v>1165</v>
      </c>
      <c r="H3370" s="21" t="s">
        <v>1165</v>
      </c>
      <c r="I3370" s="21" t="s">
        <v>3138</v>
      </c>
      <c r="L3370">
        <v>2220</v>
      </c>
      <c r="M3370" s="21" t="s">
        <v>3034</v>
      </c>
      <c r="O3370">
        <v>1988</v>
      </c>
      <c r="S3370" s="9" t="s">
        <v>3128</v>
      </c>
      <c r="T3370" t="s">
        <v>3127</v>
      </c>
      <c r="U3370" s="21" t="s">
        <v>1218</v>
      </c>
      <c r="V3370" s="9" t="s">
        <v>3132</v>
      </c>
      <c r="W3370">
        <f>7*16</f>
        <v>112</v>
      </c>
      <c r="X3370" s="9" t="s">
        <v>3129</v>
      </c>
      <c r="Z3370">
        <v>12</v>
      </c>
      <c r="AD3370" t="s">
        <v>1165</v>
      </c>
      <c r="AF3370" t="s">
        <v>1165</v>
      </c>
      <c r="AI3370" s="21" t="s">
        <v>1165</v>
      </c>
      <c r="AJ3370" s="21" t="s">
        <v>1148</v>
      </c>
      <c r="AK3370">
        <v>43</v>
      </c>
      <c r="AN3370" s="21">
        <v>4</v>
      </c>
      <c r="AO3370" s="21">
        <v>25</v>
      </c>
      <c r="AP3370">
        <v>28</v>
      </c>
      <c r="AQ3370" s="22" t="s">
        <v>1283</v>
      </c>
      <c r="AR3370" s="21" t="s">
        <v>3130</v>
      </c>
    </row>
    <row r="3371" spans="1:44" x14ac:dyDescent="0.2">
      <c r="A3371" s="21" t="s">
        <v>1775</v>
      </c>
      <c r="B3371" s="21" t="s">
        <v>1146</v>
      </c>
      <c r="C3371" s="21" t="s">
        <v>1149</v>
      </c>
      <c r="D3371" s="21" t="s">
        <v>1774</v>
      </c>
      <c r="E3371" s="21" t="s">
        <v>3137</v>
      </c>
      <c r="G3371" s="21" t="s">
        <v>1165</v>
      </c>
      <c r="H3371" s="21" t="s">
        <v>1165</v>
      </c>
      <c r="I3371" s="21" t="s">
        <v>3138</v>
      </c>
      <c r="L3371">
        <v>2220</v>
      </c>
      <c r="M3371" s="21" t="s">
        <v>3034</v>
      </c>
      <c r="O3371">
        <v>1988</v>
      </c>
      <c r="S3371" s="9" t="s">
        <v>3128</v>
      </c>
      <c r="T3371" t="s">
        <v>3127</v>
      </c>
      <c r="U3371" s="21" t="s">
        <v>1218</v>
      </c>
      <c r="V3371" s="9" t="s">
        <v>3132</v>
      </c>
      <c r="W3371">
        <f>7*24</f>
        <v>168</v>
      </c>
      <c r="X3371" s="9" t="s">
        <v>3129</v>
      </c>
      <c r="Z3371">
        <v>12</v>
      </c>
      <c r="AD3371" t="s">
        <v>1165</v>
      </c>
      <c r="AF3371" t="s">
        <v>1165</v>
      </c>
      <c r="AI3371" s="21" t="s">
        <v>1165</v>
      </c>
      <c r="AJ3371" s="21" t="s">
        <v>1148</v>
      </c>
      <c r="AK3371">
        <v>58</v>
      </c>
      <c r="AN3371" s="21">
        <v>4</v>
      </c>
      <c r="AO3371" s="21">
        <v>25</v>
      </c>
      <c r="AP3371">
        <v>28</v>
      </c>
      <c r="AQ3371" s="22" t="s">
        <v>1283</v>
      </c>
      <c r="AR3371" s="21" t="s">
        <v>3130</v>
      </c>
    </row>
    <row r="3372" spans="1:44" x14ac:dyDescent="0.2">
      <c r="A3372" s="21" t="s">
        <v>1775</v>
      </c>
      <c r="B3372" s="21" t="s">
        <v>1146</v>
      </c>
      <c r="C3372" s="21" t="s">
        <v>1149</v>
      </c>
      <c r="D3372" s="21" t="s">
        <v>1774</v>
      </c>
      <c r="E3372" s="21" t="s">
        <v>3137</v>
      </c>
      <c r="G3372" s="21" t="s">
        <v>1165</v>
      </c>
      <c r="H3372" s="21" t="s">
        <v>1165</v>
      </c>
      <c r="I3372" s="21" t="s">
        <v>3138</v>
      </c>
      <c r="L3372">
        <v>2220</v>
      </c>
      <c r="M3372" s="21" t="s">
        <v>3034</v>
      </c>
      <c r="O3372">
        <v>1988</v>
      </c>
      <c r="S3372" s="9" t="s">
        <v>3128</v>
      </c>
      <c r="T3372" t="s">
        <v>3127</v>
      </c>
      <c r="U3372" s="21" t="s">
        <v>1218</v>
      </c>
      <c r="V3372" s="9" t="s">
        <v>3132</v>
      </c>
      <c r="W3372">
        <f>7*12</f>
        <v>84</v>
      </c>
      <c r="X3372" s="9" t="s">
        <v>3129</v>
      </c>
      <c r="Y3372" t="s">
        <v>3133</v>
      </c>
      <c r="Z3372">
        <v>12</v>
      </c>
      <c r="AD3372" t="s">
        <v>1165</v>
      </c>
      <c r="AF3372" t="s">
        <v>1165</v>
      </c>
      <c r="AI3372" s="21" t="s">
        <v>1165</v>
      </c>
      <c r="AJ3372" s="21" t="s">
        <v>1148</v>
      </c>
      <c r="AK3372">
        <v>18</v>
      </c>
      <c r="AN3372" s="21">
        <v>4</v>
      </c>
      <c r="AO3372" s="21">
        <v>25</v>
      </c>
      <c r="AP3372">
        <v>28</v>
      </c>
      <c r="AQ3372" s="22" t="s">
        <v>1283</v>
      </c>
      <c r="AR3372" s="21" t="s">
        <v>3130</v>
      </c>
    </row>
    <row r="3373" spans="1:44" x14ac:dyDescent="0.2">
      <c r="A3373" s="21" t="s">
        <v>1775</v>
      </c>
      <c r="B3373" s="21" t="s">
        <v>1146</v>
      </c>
      <c r="C3373" s="21" t="s">
        <v>1149</v>
      </c>
      <c r="D3373" s="21" t="s">
        <v>1774</v>
      </c>
      <c r="E3373" s="21" t="s">
        <v>3137</v>
      </c>
      <c r="G3373" s="21" t="s">
        <v>1165</v>
      </c>
      <c r="H3373" s="21" t="s">
        <v>1165</v>
      </c>
      <c r="I3373" s="21" t="s">
        <v>3138</v>
      </c>
      <c r="L3373">
        <v>2220</v>
      </c>
      <c r="M3373" s="21" t="s">
        <v>3034</v>
      </c>
      <c r="O3373">
        <v>1988</v>
      </c>
      <c r="S3373" s="9" t="s">
        <v>3128</v>
      </c>
      <c r="T3373" t="s">
        <v>3127</v>
      </c>
      <c r="U3373" s="21" t="s">
        <v>1218</v>
      </c>
      <c r="V3373" s="9" t="s">
        <v>3132</v>
      </c>
      <c r="W3373">
        <f>7*12</f>
        <v>84</v>
      </c>
      <c r="X3373" s="9" t="s">
        <v>3129</v>
      </c>
      <c r="Y3373" t="s">
        <v>3134</v>
      </c>
      <c r="Z3373">
        <v>12</v>
      </c>
      <c r="AD3373" t="s">
        <v>1165</v>
      </c>
      <c r="AF3373" t="s">
        <v>1165</v>
      </c>
      <c r="AI3373" s="21" t="s">
        <v>1165</v>
      </c>
      <c r="AJ3373" s="21" t="s">
        <v>1148</v>
      </c>
      <c r="AK3373">
        <v>0</v>
      </c>
      <c r="AN3373" s="21">
        <v>4</v>
      </c>
      <c r="AO3373" s="21">
        <v>25</v>
      </c>
      <c r="AP3373">
        <v>28</v>
      </c>
      <c r="AQ3373" s="22" t="s">
        <v>1283</v>
      </c>
      <c r="AR3373" s="21" t="s">
        <v>3130</v>
      </c>
    </row>
    <row r="3374" spans="1:44" x14ac:dyDescent="0.2">
      <c r="A3374" s="21" t="s">
        <v>1775</v>
      </c>
      <c r="B3374" s="21" t="s">
        <v>1146</v>
      </c>
      <c r="C3374" s="21" t="s">
        <v>1149</v>
      </c>
      <c r="D3374" s="21" t="s">
        <v>1774</v>
      </c>
      <c r="E3374" s="21" t="s">
        <v>3137</v>
      </c>
      <c r="G3374" s="21" t="s">
        <v>1165</v>
      </c>
      <c r="H3374" s="21" t="s">
        <v>1165</v>
      </c>
      <c r="I3374" s="21" t="s">
        <v>3138</v>
      </c>
      <c r="L3374">
        <v>2220</v>
      </c>
      <c r="M3374" s="21" t="s">
        <v>3034</v>
      </c>
      <c r="O3374">
        <v>1988</v>
      </c>
      <c r="S3374" s="9" t="s">
        <v>3128</v>
      </c>
      <c r="T3374" t="s">
        <v>3127</v>
      </c>
      <c r="U3374" s="21" t="s">
        <v>1218</v>
      </c>
      <c r="V3374" s="9" t="s">
        <v>3132</v>
      </c>
      <c r="W3374">
        <f>7*12</f>
        <v>84</v>
      </c>
      <c r="X3374" s="9" t="s">
        <v>3129</v>
      </c>
      <c r="Y3374" t="s">
        <v>3135</v>
      </c>
      <c r="Z3374">
        <v>12</v>
      </c>
      <c r="AD3374" t="s">
        <v>1165</v>
      </c>
      <c r="AF3374" t="s">
        <v>1165</v>
      </c>
      <c r="AI3374" s="21" t="s">
        <v>1165</v>
      </c>
      <c r="AJ3374" s="21" t="s">
        <v>1148</v>
      </c>
      <c r="AK3374">
        <v>0</v>
      </c>
      <c r="AN3374" s="21">
        <v>4</v>
      </c>
      <c r="AO3374" s="21">
        <v>25</v>
      </c>
      <c r="AP3374">
        <v>28</v>
      </c>
      <c r="AQ3374" s="22" t="s">
        <v>1283</v>
      </c>
      <c r="AR3374" s="21" t="s">
        <v>3130</v>
      </c>
    </row>
    <row r="3375" spans="1:44" x14ac:dyDescent="0.2">
      <c r="A3375" s="21" t="s">
        <v>1775</v>
      </c>
      <c r="B3375" s="21" t="s">
        <v>1146</v>
      </c>
      <c r="C3375" s="21" t="s">
        <v>1149</v>
      </c>
      <c r="D3375" s="21" t="s">
        <v>1774</v>
      </c>
      <c r="E3375" s="21" t="s">
        <v>3137</v>
      </c>
      <c r="G3375" s="21" t="s">
        <v>1165</v>
      </c>
      <c r="H3375" s="21" t="s">
        <v>1165</v>
      </c>
      <c r="I3375" s="21" t="s">
        <v>3139</v>
      </c>
      <c r="L3375">
        <v>2150</v>
      </c>
      <c r="M3375" s="21" t="s">
        <v>3034</v>
      </c>
      <c r="O3375">
        <v>1988</v>
      </c>
      <c r="S3375" s="9" t="s">
        <v>3128</v>
      </c>
      <c r="T3375" t="s">
        <v>3127</v>
      </c>
      <c r="U3375" s="21" t="s">
        <v>1147</v>
      </c>
      <c r="X3375" s="9" t="s">
        <v>3129</v>
      </c>
      <c r="Z3375">
        <v>12</v>
      </c>
      <c r="AD3375" t="s">
        <v>1165</v>
      </c>
      <c r="AF3375" t="s">
        <v>1165</v>
      </c>
      <c r="AI3375" s="21" t="s">
        <v>1165</v>
      </c>
      <c r="AJ3375" s="21" t="s">
        <v>1148</v>
      </c>
      <c r="AK3375">
        <v>0</v>
      </c>
      <c r="AN3375" s="21">
        <v>4</v>
      </c>
      <c r="AO3375" s="21">
        <v>25</v>
      </c>
      <c r="AP3375">
        <v>28</v>
      </c>
      <c r="AQ3375" s="22" t="s">
        <v>1283</v>
      </c>
      <c r="AR3375" s="21" t="s">
        <v>3130</v>
      </c>
    </row>
    <row r="3376" spans="1:44" x14ac:dyDescent="0.2">
      <c r="A3376" s="21" t="s">
        <v>1775</v>
      </c>
      <c r="B3376" s="21" t="s">
        <v>1146</v>
      </c>
      <c r="C3376" s="21" t="s">
        <v>1149</v>
      </c>
      <c r="D3376" s="21" t="s">
        <v>1774</v>
      </c>
      <c r="E3376" s="21" t="s">
        <v>3137</v>
      </c>
      <c r="G3376" s="21" t="s">
        <v>1165</v>
      </c>
      <c r="H3376" s="21" t="s">
        <v>1165</v>
      </c>
      <c r="I3376" s="21" t="s">
        <v>3139</v>
      </c>
      <c r="L3376">
        <v>2150</v>
      </c>
      <c r="M3376" s="21" t="s">
        <v>3034</v>
      </c>
      <c r="O3376">
        <v>1988</v>
      </c>
      <c r="S3376" s="9" t="s">
        <v>3128</v>
      </c>
      <c r="T3376" t="s">
        <v>3127</v>
      </c>
      <c r="U3376" s="21" t="s">
        <v>1218</v>
      </c>
      <c r="V3376" s="9" t="s">
        <v>3132</v>
      </c>
      <c r="W3376">
        <f>4*7</f>
        <v>28</v>
      </c>
      <c r="X3376" s="9" t="s">
        <v>3129</v>
      </c>
      <c r="Z3376">
        <v>12</v>
      </c>
      <c r="AD3376" t="s">
        <v>1165</v>
      </c>
      <c r="AF3376" t="s">
        <v>1165</v>
      </c>
      <c r="AI3376" s="21" t="s">
        <v>1165</v>
      </c>
      <c r="AJ3376" s="21" t="s">
        <v>1148</v>
      </c>
      <c r="AK3376">
        <v>1</v>
      </c>
      <c r="AN3376" s="21">
        <v>4</v>
      </c>
      <c r="AO3376" s="21">
        <v>25</v>
      </c>
      <c r="AP3376">
        <v>28</v>
      </c>
      <c r="AQ3376" s="22" t="s">
        <v>1283</v>
      </c>
      <c r="AR3376" s="21" t="s">
        <v>3130</v>
      </c>
    </row>
    <row r="3377" spans="1:44" x14ac:dyDescent="0.2">
      <c r="A3377" s="21" t="s">
        <v>1775</v>
      </c>
      <c r="B3377" s="21" t="s">
        <v>1146</v>
      </c>
      <c r="C3377" s="21" t="s">
        <v>1149</v>
      </c>
      <c r="D3377" s="21" t="s">
        <v>1774</v>
      </c>
      <c r="E3377" s="21" t="s">
        <v>3137</v>
      </c>
      <c r="G3377" s="21" t="s">
        <v>1165</v>
      </c>
      <c r="H3377" s="21" t="s">
        <v>1165</v>
      </c>
      <c r="I3377" s="21" t="s">
        <v>3139</v>
      </c>
      <c r="L3377">
        <v>2150</v>
      </c>
      <c r="M3377" s="21" t="s">
        <v>3034</v>
      </c>
      <c r="O3377">
        <v>1988</v>
      </c>
      <c r="S3377" s="9" t="s">
        <v>3128</v>
      </c>
      <c r="T3377" t="s">
        <v>3127</v>
      </c>
      <c r="U3377" s="21" t="s">
        <v>1218</v>
      </c>
      <c r="V3377" s="9" t="s">
        <v>3132</v>
      </c>
      <c r="W3377">
        <v>56</v>
      </c>
      <c r="X3377" s="9" t="s">
        <v>3129</v>
      </c>
      <c r="Z3377">
        <v>12</v>
      </c>
      <c r="AD3377" t="s">
        <v>1165</v>
      </c>
      <c r="AF3377" t="s">
        <v>1165</v>
      </c>
      <c r="AI3377" s="21" t="s">
        <v>1165</v>
      </c>
      <c r="AJ3377" s="21" t="s">
        <v>1148</v>
      </c>
      <c r="AK3377">
        <v>0</v>
      </c>
      <c r="AN3377" s="21">
        <v>4</v>
      </c>
      <c r="AO3377" s="21">
        <v>25</v>
      </c>
      <c r="AP3377">
        <v>28</v>
      </c>
      <c r="AQ3377" s="22" t="s">
        <v>1283</v>
      </c>
      <c r="AR3377" s="21" t="s">
        <v>3130</v>
      </c>
    </row>
    <row r="3378" spans="1:44" x14ac:dyDescent="0.2">
      <c r="A3378" s="21" t="s">
        <v>1775</v>
      </c>
      <c r="B3378" s="21" t="s">
        <v>1146</v>
      </c>
      <c r="C3378" s="21" t="s">
        <v>1149</v>
      </c>
      <c r="D3378" s="21" t="s">
        <v>1774</v>
      </c>
      <c r="E3378" s="21" t="s">
        <v>3137</v>
      </c>
      <c r="G3378" s="21" t="s">
        <v>1165</v>
      </c>
      <c r="H3378" s="21" t="s">
        <v>1165</v>
      </c>
      <c r="I3378" s="21" t="s">
        <v>3139</v>
      </c>
      <c r="L3378">
        <v>2150</v>
      </c>
      <c r="M3378" s="21" t="s">
        <v>3034</v>
      </c>
      <c r="O3378">
        <v>1988</v>
      </c>
      <c r="S3378" s="9" t="s">
        <v>3128</v>
      </c>
      <c r="T3378" t="s">
        <v>3127</v>
      </c>
      <c r="U3378" s="21" t="s">
        <v>1218</v>
      </c>
      <c r="V3378" s="9" t="s">
        <v>3132</v>
      </c>
      <c r="W3378">
        <f>7*12</f>
        <v>84</v>
      </c>
      <c r="X3378" s="9" t="s">
        <v>3129</v>
      </c>
      <c r="Z3378">
        <v>12</v>
      </c>
      <c r="AD3378" t="s">
        <v>1165</v>
      </c>
      <c r="AF3378" t="s">
        <v>1165</v>
      </c>
      <c r="AI3378" s="21" t="s">
        <v>1165</v>
      </c>
      <c r="AJ3378" s="21" t="s">
        <v>1148</v>
      </c>
      <c r="AK3378">
        <v>1</v>
      </c>
      <c r="AN3378" s="21">
        <v>4</v>
      </c>
      <c r="AO3378" s="21">
        <v>25</v>
      </c>
      <c r="AP3378">
        <v>28</v>
      </c>
      <c r="AQ3378" s="22" t="s">
        <v>1283</v>
      </c>
      <c r="AR3378" s="21" t="s">
        <v>3130</v>
      </c>
    </row>
    <row r="3379" spans="1:44" x14ac:dyDescent="0.2">
      <c r="A3379" s="21" t="s">
        <v>1775</v>
      </c>
      <c r="B3379" s="21" t="s">
        <v>1146</v>
      </c>
      <c r="C3379" s="21" t="s">
        <v>1149</v>
      </c>
      <c r="D3379" s="21" t="s">
        <v>1774</v>
      </c>
      <c r="E3379" s="21" t="s">
        <v>3137</v>
      </c>
      <c r="G3379" s="21" t="s">
        <v>1165</v>
      </c>
      <c r="H3379" s="21" t="s">
        <v>1165</v>
      </c>
      <c r="I3379" s="21" t="s">
        <v>3139</v>
      </c>
      <c r="L3379">
        <v>2150</v>
      </c>
      <c r="M3379" s="21" t="s">
        <v>3034</v>
      </c>
      <c r="O3379">
        <v>1988</v>
      </c>
      <c r="S3379" s="9" t="s">
        <v>3128</v>
      </c>
      <c r="T3379" t="s">
        <v>3127</v>
      </c>
      <c r="U3379" s="21" t="s">
        <v>1218</v>
      </c>
      <c r="V3379" s="9" t="s">
        <v>3132</v>
      </c>
      <c r="W3379">
        <f>7*16</f>
        <v>112</v>
      </c>
      <c r="X3379" s="9" t="s">
        <v>3129</v>
      </c>
      <c r="Z3379">
        <v>12</v>
      </c>
      <c r="AD3379" t="s">
        <v>1165</v>
      </c>
      <c r="AF3379" t="s">
        <v>1165</v>
      </c>
      <c r="AI3379" s="21" t="s">
        <v>1165</v>
      </c>
      <c r="AJ3379" s="21" t="s">
        <v>1148</v>
      </c>
      <c r="AK3379">
        <v>23</v>
      </c>
      <c r="AN3379" s="21">
        <v>4</v>
      </c>
      <c r="AO3379" s="21">
        <v>25</v>
      </c>
      <c r="AP3379">
        <v>28</v>
      </c>
      <c r="AQ3379" s="22" t="s">
        <v>1283</v>
      </c>
      <c r="AR3379" s="21" t="s">
        <v>3130</v>
      </c>
    </row>
    <row r="3380" spans="1:44" x14ac:dyDescent="0.2">
      <c r="A3380" s="21" t="s">
        <v>1775</v>
      </c>
      <c r="B3380" s="21" t="s">
        <v>1146</v>
      </c>
      <c r="C3380" s="21" t="s">
        <v>1149</v>
      </c>
      <c r="D3380" s="21" t="s">
        <v>1774</v>
      </c>
      <c r="E3380" s="21" t="s">
        <v>3137</v>
      </c>
      <c r="G3380" s="21" t="s">
        <v>1165</v>
      </c>
      <c r="H3380" s="21" t="s">
        <v>1165</v>
      </c>
      <c r="I3380" s="21" t="s">
        <v>3139</v>
      </c>
      <c r="L3380">
        <v>2150</v>
      </c>
      <c r="M3380" s="21" t="s">
        <v>3034</v>
      </c>
      <c r="O3380">
        <v>1988</v>
      </c>
      <c r="S3380" s="9" t="s">
        <v>3128</v>
      </c>
      <c r="T3380" t="s">
        <v>3127</v>
      </c>
      <c r="U3380" s="21" t="s">
        <v>1218</v>
      </c>
      <c r="V3380" s="9" t="s">
        <v>3132</v>
      </c>
      <c r="W3380">
        <f>7*24</f>
        <v>168</v>
      </c>
      <c r="X3380" s="9" t="s">
        <v>3129</v>
      </c>
      <c r="Z3380">
        <v>12</v>
      </c>
      <c r="AD3380" t="s">
        <v>1165</v>
      </c>
      <c r="AF3380" t="s">
        <v>1165</v>
      </c>
      <c r="AI3380" s="21" t="s">
        <v>1165</v>
      </c>
      <c r="AJ3380" s="21" t="s">
        <v>1148</v>
      </c>
      <c r="AK3380">
        <v>49</v>
      </c>
      <c r="AN3380" s="21">
        <v>4</v>
      </c>
      <c r="AO3380" s="21">
        <v>25</v>
      </c>
      <c r="AP3380">
        <v>28</v>
      </c>
      <c r="AQ3380" s="22" t="s">
        <v>1283</v>
      </c>
      <c r="AR3380" s="21" t="s">
        <v>3130</v>
      </c>
    </row>
    <row r="3381" spans="1:44" x14ac:dyDescent="0.2">
      <c r="A3381" s="21" t="s">
        <v>1775</v>
      </c>
      <c r="B3381" s="21" t="s">
        <v>1146</v>
      </c>
      <c r="C3381" s="21" t="s">
        <v>1149</v>
      </c>
      <c r="D3381" s="21" t="s">
        <v>1774</v>
      </c>
      <c r="E3381" s="21" t="s">
        <v>3137</v>
      </c>
      <c r="G3381" s="21" t="s">
        <v>1165</v>
      </c>
      <c r="H3381" s="21" t="s">
        <v>1165</v>
      </c>
      <c r="I3381" s="21" t="s">
        <v>3139</v>
      </c>
      <c r="L3381">
        <v>2150</v>
      </c>
      <c r="M3381" s="21" t="s">
        <v>3034</v>
      </c>
      <c r="O3381">
        <v>1988</v>
      </c>
      <c r="S3381" s="9" t="s">
        <v>3128</v>
      </c>
      <c r="T3381" t="s">
        <v>3127</v>
      </c>
      <c r="U3381" s="21" t="s">
        <v>1218</v>
      </c>
      <c r="V3381" s="9" t="s">
        <v>3132</v>
      </c>
      <c r="W3381">
        <f>7*12</f>
        <v>84</v>
      </c>
      <c r="X3381" s="9" t="s">
        <v>3129</v>
      </c>
      <c r="Y3381" t="s">
        <v>3133</v>
      </c>
      <c r="Z3381">
        <v>12</v>
      </c>
      <c r="AD3381" t="s">
        <v>1165</v>
      </c>
      <c r="AF3381" t="s">
        <v>1165</v>
      </c>
      <c r="AI3381" s="21" t="s">
        <v>1165</v>
      </c>
      <c r="AJ3381" s="21" t="s">
        <v>1148</v>
      </c>
      <c r="AK3381">
        <v>7</v>
      </c>
      <c r="AN3381" s="21">
        <v>4</v>
      </c>
      <c r="AO3381" s="21">
        <v>25</v>
      </c>
      <c r="AP3381">
        <v>28</v>
      </c>
      <c r="AQ3381" s="22" t="s">
        <v>1283</v>
      </c>
      <c r="AR3381" s="21" t="s">
        <v>3130</v>
      </c>
    </row>
    <row r="3382" spans="1:44" x14ac:dyDescent="0.2">
      <c r="A3382" s="21" t="s">
        <v>1775</v>
      </c>
      <c r="B3382" s="21" t="s">
        <v>1146</v>
      </c>
      <c r="C3382" s="21" t="s">
        <v>1149</v>
      </c>
      <c r="D3382" s="21" t="s">
        <v>1774</v>
      </c>
      <c r="E3382" s="21" t="s">
        <v>3137</v>
      </c>
      <c r="G3382" s="21" t="s">
        <v>1165</v>
      </c>
      <c r="H3382" s="21" t="s">
        <v>1165</v>
      </c>
      <c r="I3382" s="21" t="s">
        <v>3139</v>
      </c>
      <c r="L3382">
        <v>2150</v>
      </c>
      <c r="M3382" s="21" t="s">
        <v>3034</v>
      </c>
      <c r="O3382">
        <v>1988</v>
      </c>
      <c r="S3382" s="9" t="s">
        <v>3128</v>
      </c>
      <c r="T3382" t="s">
        <v>3127</v>
      </c>
      <c r="U3382" s="21" t="s">
        <v>1218</v>
      </c>
      <c r="V3382" s="9" t="s">
        <v>3132</v>
      </c>
      <c r="W3382">
        <f>7*12</f>
        <v>84</v>
      </c>
      <c r="X3382" s="9" t="s">
        <v>3129</v>
      </c>
      <c r="Y3382" t="s">
        <v>3134</v>
      </c>
      <c r="Z3382">
        <v>12</v>
      </c>
      <c r="AD3382" t="s">
        <v>1165</v>
      </c>
      <c r="AF3382" t="s">
        <v>1165</v>
      </c>
      <c r="AI3382" s="21" t="s">
        <v>1165</v>
      </c>
      <c r="AJ3382" s="21" t="s">
        <v>1148</v>
      </c>
      <c r="AK3382">
        <v>1</v>
      </c>
      <c r="AN3382" s="21">
        <v>4</v>
      </c>
      <c r="AO3382" s="21">
        <v>25</v>
      </c>
      <c r="AP3382">
        <v>28</v>
      </c>
      <c r="AQ3382" s="22" t="s">
        <v>1283</v>
      </c>
      <c r="AR3382" s="21" t="s">
        <v>3130</v>
      </c>
    </row>
    <row r="3383" spans="1:44" x14ac:dyDescent="0.2">
      <c r="A3383" s="21" t="s">
        <v>1775</v>
      </c>
      <c r="B3383" s="21" t="s">
        <v>1146</v>
      </c>
      <c r="C3383" s="21" t="s">
        <v>1149</v>
      </c>
      <c r="D3383" s="21" t="s">
        <v>1774</v>
      </c>
      <c r="E3383" s="21" t="s">
        <v>3137</v>
      </c>
      <c r="G3383" s="21" t="s">
        <v>1165</v>
      </c>
      <c r="H3383" s="21" t="s">
        <v>1165</v>
      </c>
      <c r="I3383" s="21" t="s">
        <v>3139</v>
      </c>
      <c r="L3383">
        <v>2150</v>
      </c>
      <c r="M3383" s="21" t="s">
        <v>3034</v>
      </c>
      <c r="O3383">
        <v>1988</v>
      </c>
      <c r="S3383" s="9" t="s">
        <v>3128</v>
      </c>
      <c r="T3383" t="s">
        <v>3127</v>
      </c>
      <c r="U3383" s="21" t="s">
        <v>1218</v>
      </c>
      <c r="V3383" s="9" t="s">
        <v>3132</v>
      </c>
      <c r="W3383">
        <f>7*12</f>
        <v>84</v>
      </c>
      <c r="X3383" s="9" t="s">
        <v>3129</v>
      </c>
      <c r="Y3383" t="s">
        <v>3135</v>
      </c>
      <c r="Z3383">
        <v>12</v>
      </c>
      <c r="AD3383" t="s">
        <v>1165</v>
      </c>
      <c r="AF3383" t="s">
        <v>1165</v>
      </c>
      <c r="AI3383" s="21" t="s">
        <v>1165</v>
      </c>
      <c r="AJ3383" s="21" t="s">
        <v>1148</v>
      </c>
      <c r="AK3383">
        <v>3</v>
      </c>
      <c r="AN3383" s="21">
        <v>4</v>
      </c>
      <c r="AO3383" s="21">
        <v>25</v>
      </c>
      <c r="AP3383">
        <v>28</v>
      </c>
      <c r="AQ3383" s="22" t="s">
        <v>1283</v>
      </c>
      <c r="AR3383" s="21" t="s">
        <v>3130</v>
      </c>
    </row>
    <row r="3384" spans="1:44" x14ac:dyDescent="0.2">
      <c r="A3384" s="21" t="s">
        <v>1775</v>
      </c>
      <c r="B3384" s="21" t="s">
        <v>1146</v>
      </c>
      <c r="C3384" s="21" t="s">
        <v>1149</v>
      </c>
      <c r="D3384" s="21" t="s">
        <v>1774</v>
      </c>
      <c r="E3384" s="21" t="s">
        <v>3137</v>
      </c>
      <c r="G3384" s="21" t="s">
        <v>1165</v>
      </c>
      <c r="H3384" s="21" t="s">
        <v>1165</v>
      </c>
      <c r="I3384" s="21" t="s">
        <v>3140</v>
      </c>
      <c r="L3384">
        <v>1600</v>
      </c>
      <c r="M3384" s="21" t="s">
        <v>3034</v>
      </c>
      <c r="O3384">
        <v>1988</v>
      </c>
      <c r="S3384" s="9" t="s">
        <v>3128</v>
      </c>
      <c r="T3384" t="s">
        <v>3127</v>
      </c>
      <c r="U3384" s="21" t="s">
        <v>1147</v>
      </c>
      <c r="X3384" s="9" t="s">
        <v>3129</v>
      </c>
      <c r="Z3384">
        <v>12</v>
      </c>
      <c r="AD3384" t="s">
        <v>1165</v>
      </c>
      <c r="AF3384" t="s">
        <v>1165</v>
      </c>
      <c r="AI3384" s="21" t="s">
        <v>1165</v>
      </c>
      <c r="AJ3384" s="21" t="s">
        <v>1148</v>
      </c>
      <c r="AK3384">
        <v>0</v>
      </c>
      <c r="AN3384" s="21">
        <v>4</v>
      </c>
      <c r="AO3384" s="21">
        <v>25</v>
      </c>
      <c r="AP3384">
        <v>28</v>
      </c>
      <c r="AQ3384" s="22" t="s">
        <v>1283</v>
      </c>
      <c r="AR3384" s="21" t="s">
        <v>3130</v>
      </c>
    </row>
    <row r="3385" spans="1:44" x14ac:dyDescent="0.2">
      <c r="A3385" s="21" t="s">
        <v>1775</v>
      </c>
      <c r="B3385" s="21" t="s">
        <v>1146</v>
      </c>
      <c r="C3385" s="21" t="s">
        <v>1149</v>
      </c>
      <c r="D3385" s="21" t="s">
        <v>1774</v>
      </c>
      <c r="E3385" s="21" t="s">
        <v>3137</v>
      </c>
      <c r="G3385" s="21" t="s">
        <v>1165</v>
      </c>
      <c r="H3385" s="21" t="s">
        <v>1165</v>
      </c>
      <c r="I3385" s="21" t="s">
        <v>3140</v>
      </c>
      <c r="L3385">
        <v>1600</v>
      </c>
      <c r="M3385" s="21" t="s">
        <v>3034</v>
      </c>
      <c r="O3385">
        <v>1988</v>
      </c>
      <c r="S3385" s="9" t="s">
        <v>3128</v>
      </c>
      <c r="T3385" t="s">
        <v>3127</v>
      </c>
      <c r="U3385" s="21" t="s">
        <v>1218</v>
      </c>
      <c r="V3385" s="9" t="s">
        <v>3132</v>
      </c>
      <c r="W3385">
        <f>4*7</f>
        <v>28</v>
      </c>
      <c r="X3385" s="9" t="s">
        <v>3129</v>
      </c>
      <c r="Z3385">
        <v>12</v>
      </c>
      <c r="AD3385" t="s">
        <v>1165</v>
      </c>
      <c r="AF3385" t="s">
        <v>1165</v>
      </c>
      <c r="AI3385" s="21" t="s">
        <v>1165</v>
      </c>
      <c r="AJ3385" s="21" t="s">
        <v>1148</v>
      </c>
      <c r="AK3385">
        <v>0</v>
      </c>
      <c r="AN3385" s="21">
        <v>4</v>
      </c>
      <c r="AO3385" s="21">
        <v>25</v>
      </c>
      <c r="AP3385">
        <v>28</v>
      </c>
      <c r="AQ3385" s="22" t="s">
        <v>1283</v>
      </c>
      <c r="AR3385" s="21" t="s">
        <v>3130</v>
      </c>
    </row>
    <row r="3386" spans="1:44" x14ac:dyDescent="0.2">
      <c r="A3386" s="21" t="s">
        <v>1775</v>
      </c>
      <c r="B3386" s="21" t="s">
        <v>1146</v>
      </c>
      <c r="C3386" s="21" t="s">
        <v>1149</v>
      </c>
      <c r="D3386" s="21" t="s">
        <v>1774</v>
      </c>
      <c r="E3386" s="21" t="s">
        <v>3137</v>
      </c>
      <c r="G3386" s="21" t="s">
        <v>1165</v>
      </c>
      <c r="H3386" s="21" t="s">
        <v>1165</v>
      </c>
      <c r="I3386" s="21" t="s">
        <v>3140</v>
      </c>
      <c r="L3386">
        <v>1600</v>
      </c>
      <c r="M3386" s="21" t="s">
        <v>3034</v>
      </c>
      <c r="O3386">
        <v>1988</v>
      </c>
      <c r="S3386" s="9" t="s">
        <v>3128</v>
      </c>
      <c r="T3386" t="s">
        <v>3127</v>
      </c>
      <c r="U3386" s="21" t="s">
        <v>1218</v>
      </c>
      <c r="V3386" s="9" t="s">
        <v>3132</v>
      </c>
      <c r="W3386">
        <v>56</v>
      </c>
      <c r="X3386" s="9" t="s">
        <v>3129</v>
      </c>
      <c r="Z3386">
        <v>12</v>
      </c>
      <c r="AD3386" t="s">
        <v>1165</v>
      </c>
      <c r="AF3386" t="s">
        <v>1165</v>
      </c>
      <c r="AI3386" s="21" t="s">
        <v>1165</v>
      </c>
      <c r="AJ3386" s="21" t="s">
        <v>1148</v>
      </c>
      <c r="AK3386">
        <v>7</v>
      </c>
      <c r="AN3386" s="21">
        <v>4</v>
      </c>
      <c r="AO3386" s="21">
        <v>25</v>
      </c>
      <c r="AP3386">
        <v>28</v>
      </c>
      <c r="AQ3386" s="22" t="s">
        <v>1283</v>
      </c>
      <c r="AR3386" s="21" t="s">
        <v>3130</v>
      </c>
    </row>
    <row r="3387" spans="1:44" x14ac:dyDescent="0.2">
      <c r="A3387" s="21" t="s">
        <v>1775</v>
      </c>
      <c r="B3387" s="21" t="s">
        <v>1146</v>
      </c>
      <c r="C3387" s="21" t="s">
        <v>1149</v>
      </c>
      <c r="D3387" s="21" t="s">
        <v>1774</v>
      </c>
      <c r="E3387" s="21" t="s">
        <v>3137</v>
      </c>
      <c r="G3387" s="21" t="s">
        <v>1165</v>
      </c>
      <c r="H3387" s="21" t="s">
        <v>1165</v>
      </c>
      <c r="I3387" s="21" t="s">
        <v>3140</v>
      </c>
      <c r="L3387">
        <v>1600</v>
      </c>
      <c r="M3387" s="21" t="s">
        <v>3034</v>
      </c>
      <c r="O3387">
        <v>1988</v>
      </c>
      <c r="S3387" s="9" t="s">
        <v>3128</v>
      </c>
      <c r="T3387" t="s">
        <v>3127</v>
      </c>
      <c r="U3387" s="21" t="s">
        <v>1218</v>
      </c>
      <c r="V3387" s="9" t="s">
        <v>3132</v>
      </c>
      <c r="W3387">
        <f>7*12</f>
        <v>84</v>
      </c>
      <c r="X3387" s="9" t="s">
        <v>3129</v>
      </c>
      <c r="Z3387">
        <v>12</v>
      </c>
      <c r="AD3387" t="s">
        <v>1165</v>
      </c>
      <c r="AF3387" t="s">
        <v>1165</v>
      </c>
      <c r="AI3387" s="21" t="s">
        <v>1165</v>
      </c>
      <c r="AJ3387" s="21" t="s">
        <v>1148</v>
      </c>
      <c r="AK3387">
        <v>43</v>
      </c>
      <c r="AN3387" s="21">
        <v>4</v>
      </c>
      <c r="AO3387" s="21">
        <v>25</v>
      </c>
      <c r="AP3387">
        <v>28</v>
      </c>
      <c r="AQ3387" s="22" t="s">
        <v>1283</v>
      </c>
      <c r="AR3387" s="21" t="s">
        <v>3130</v>
      </c>
    </row>
    <row r="3388" spans="1:44" x14ac:dyDescent="0.2">
      <c r="A3388" s="21" t="s">
        <v>1775</v>
      </c>
      <c r="B3388" s="21" t="s">
        <v>1146</v>
      </c>
      <c r="C3388" s="21" t="s">
        <v>1149</v>
      </c>
      <c r="D3388" s="21" t="s">
        <v>1774</v>
      </c>
      <c r="E3388" s="21" t="s">
        <v>3137</v>
      </c>
      <c r="G3388" s="21" t="s">
        <v>1165</v>
      </c>
      <c r="H3388" s="21" t="s">
        <v>1165</v>
      </c>
      <c r="I3388" s="21" t="s">
        <v>3140</v>
      </c>
      <c r="L3388">
        <v>1600</v>
      </c>
      <c r="M3388" s="21" t="s">
        <v>3034</v>
      </c>
      <c r="O3388">
        <v>1988</v>
      </c>
      <c r="S3388" s="9" t="s">
        <v>3128</v>
      </c>
      <c r="T3388" t="s">
        <v>3127</v>
      </c>
      <c r="U3388" s="21" t="s">
        <v>1218</v>
      </c>
      <c r="V3388" s="9" t="s">
        <v>3132</v>
      </c>
      <c r="W3388">
        <f>7*16</f>
        <v>112</v>
      </c>
      <c r="X3388" s="9" t="s">
        <v>3129</v>
      </c>
      <c r="Z3388">
        <v>12</v>
      </c>
      <c r="AD3388" t="s">
        <v>1165</v>
      </c>
      <c r="AF3388" t="s">
        <v>1165</v>
      </c>
      <c r="AI3388" s="21" t="s">
        <v>1165</v>
      </c>
      <c r="AJ3388" s="21" t="s">
        <v>1148</v>
      </c>
      <c r="AK3388">
        <v>53</v>
      </c>
      <c r="AN3388" s="21">
        <v>4</v>
      </c>
      <c r="AO3388" s="21">
        <v>25</v>
      </c>
      <c r="AP3388">
        <v>28</v>
      </c>
      <c r="AQ3388" s="22" t="s">
        <v>1283</v>
      </c>
      <c r="AR3388" s="21" t="s">
        <v>3130</v>
      </c>
    </row>
    <row r="3389" spans="1:44" x14ac:dyDescent="0.2">
      <c r="A3389" s="21" t="s">
        <v>1775</v>
      </c>
      <c r="B3389" s="21" t="s">
        <v>1146</v>
      </c>
      <c r="C3389" s="21" t="s">
        <v>1149</v>
      </c>
      <c r="D3389" s="21" t="s">
        <v>1774</v>
      </c>
      <c r="E3389" s="21" t="s">
        <v>3137</v>
      </c>
      <c r="G3389" s="21" t="s">
        <v>1165</v>
      </c>
      <c r="H3389" s="21" t="s">
        <v>1165</v>
      </c>
      <c r="I3389" s="21" t="s">
        <v>3140</v>
      </c>
      <c r="L3389">
        <v>1600</v>
      </c>
      <c r="M3389" s="21" t="s">
        <v>3034</v>
      </c>
      <c r="O3389">
        <v>1988</v>
      </c>
      <c r="S3389" s="9" t="s">
        <v>3128</v>
      </c>
      <c r="T3389" t="s">
        <v>3127</v>
      </c>
      <c r="U3389" s="21" t="s">
        <v>1218</v>
      </c>
      <c r="V3389" s="9" t="s">
        <v>3132</v>
      </c>
      <c r="W3389">
        <f>7*24</f>
        <v>168</v>
      </c>
      <c r="X3389" s="9" t="s">
        <v>3129</v>
      </c>
      <c r="Z3389">
        <v>12</v>
      </c>
      <c r="AD3389" t="s">
        <v>1165</v>
      </c>
      <c r="AF3389" t="s">
        <v>1165</v>
      </c>
      <c r="AI3389" s="21" t="s">
        <v>1165</v>
      </c>
      <c r="AJ3389" s="21" t="s">
        <v>1148</v>
      </c>
      <c r="AK3389">
        <v>54</v>
      </c>
      <c r="AN3389" s="21">
        <v>4</v>
      </c>
      <c r="AO3389" s="21">
        <v>25</v>
      </c>
      <c r="AP3389">
        <v>28</v>
      </c>
      <c r="AQ3389" s="22" t="s">
        <v>1283</v>
      </c>
      <c r="AR3389" s="21" t="s">
        <v>3130</v>
      </c>
    </row>
    <row r="3390" spans="1:44" x14ac:dyDescent="0.2">
      <c r="A3390" s="21" t="s">
        <v>1775</v>
      </c>
      <c r="B3390" s="21" t="s">
        <v>1146</v>
      </c>
      <c r="C3390" s="21" t="s">
        <v>1149</v>
      </c>
      <c r="D3390" s="21" t="s">
        <v>1774</v>
      </c>
      <c r="E3390" s="21" t="s">
        <v>3137</v>
      </c>
      <c r="G3390" s="21" t="s">
        <v>1165</v>
      </c>
      <c r="H3390" s="21" t="s">
        <v>1165</v>
      </c>
      <c r="I3390" s="21" t="s">
        <v>3140</v>
      </c>
      <c r="L3390">
        <v>1600</v>
      </c>
      <c r="M3390" s="21" t="s">
        <v>3034</v>
      </c>
      <c r="O3390">
        <v>1988</v>
      </c>
      <c r="S3390" s="9" t="s">
        <v>3128</v>
      </c>
      <c r="T3390" t="s">
        <v>3127</v>
      </c>
      <c r="U3390" s="21" t="s">
        <v>1218</v>
      </c>
      <c r="V3390" s="9" t="s">
        <v>3132</v>
      </c>
      <c r="W3390">
        <f>7*12</f>
        <v>84</v>
      </c>
      <c r="X3390" s="9" t="s">
        <v>3129</v>
      </c>
      <c r="Y3390" t="s">
        <v>3133</v>
      </c>
      <c r="Z3390">
        <v>12</v>
      </c>
      <c r="AD3390" t="s">
        <v>1165</v>
      </c>
      <c r="AF3390" t="s">
        <v>1165</v>
      </c>
      <c r="AI3390" s="21" t="s">
        <v>1165</v>
      </c>
      <c r="AJ3390" s="21" t="s">
        <v>1148</v>
      </c>
      <c r="AK3390">
        <v>60</v>
      </c>
      <c r="AN3390" s="21">
        <v>4</v>
      </c>
      <c r="AO3390" s="21">
        <v>25</v>
      </c>
      <c r="AP3390">
        <v>28</v>
      </c>
      <c r="AQ3390" s="22" t="s">
        <v>1283</v>
      </c>
      <c r="AR3390" s="21" t="s">
        <v>3130</v>
      </c>
    </row>
    <row r="3391" spans="1:44" x14ac:dyDescent="0.2">
      <c r="A3391" s="21" t="s">
        <v>1775</v>
      </c>
      <c r="B3391" s="21" t="s">
        <v>1146</v>
      </c>
      <c r="C3391" s="21" t="s">
        <v>1149</v>
      </c>
      <c r="D3391" s="21" t="s">
        <v>1774</v>
      </c>
      <c r="E3391" s="21" t="s">
        <v>3137</v>
      </c>
      <c r="G3391" s="21" t="s">
        <v>1165</v>
      </c>
      <c r="H3391" s="21" t="s">
        <v>1165</v>
      </c>
      <c r="I3391" s="21" t="s">
        <v>3140</v>
      </c>
      <c r="L3391">
        <v>1600</v>
      </c>
      <c r="M3391" s="21" t="s">
        <v>3034</v>
      </c>
      <c r="O3391">
        <v>1988</v>
      </c>
      <c r="S3391" s="9" t="s">
        <v>3128</v>
      </c>
      <c r="T3391" t="s">
        <v>3127</v>
      </c>
      <c r="U3391" s="21" t="s">
        <v>1218</v>
      </c>
      <c r="V3391" s="9" t="s">
        <v>3132</v>
      </c>
      <c r="W3391">
        <f>7*12</f>
        <v>84</v>
      </c>
      <c r="X3391" s="9" t="s">
        <v>3129</v>
      </c>
      <c r="Y3391" t="s">
        <v>3134</v>
      </c>
      <c r="Z3391">
        <v>12</v>
      </c>
      <c r="AD3391" t="s">
        <v>1165</v>
      </c>
      <c r="AF3391" t="s">
        <v>1165</v>
      </c>
      <c r="AI3391" s="21" t="s">
        <v>1165</v>
      </c>
      <c r="AJ3391" s="21" t="s">
        <v>1148</v>
      </c>
      <c r="AK3391">
        <v>17</v>
      </c>
      <c r="AN3391" s="21">
        <v>4</v>
      </c>
      <c r="AO3391" s="21">
        <v>25</v>
      </c>
      <c r="AP3391">
        <v>28</v>
      </c>
      <c r="AQ3391" s="22" t="s">
        <v>1283</v>
      </c>
      <c r="AR3391" s="21" t="s">
        <v>3130</v>
      </c>
    </row>
    <row r="3392" spans="1:44" x14ac:dyDescent="0.2">
      <c r="A3392" s="21" t="s">
        <v>1775</v>
      </c>
      <c r="B3392" s="21" t="s">
        <v>1146</v>
      </c>
      <c r="C3392" s="21" t="s">
        <v>1149</v>
      </c>
      <c r="D3392" s="21" t="s">
        <v>1774</v>
      </c>
      <c r="E3392" s="21" t="s">
        <v>3137</v>
      </c>
      <c r="G3392" s="21" t="s">
        <v>1165</v>
      </c>
      <c r="H3392" s="21" t="s">
        <v>1165</v>
      </c>
      <c r="I3392" s="21" t="s">
        <v>3140</v>
      </c>
      <c r="L3392">
        <v>1600</v>
      </c>
      <c r="M3392" s="21" t="s">
        <v>3034</v>
      </c>
      <c r="O3392">
        <v>1988</v>
      </c>
      <c r="S3392" s="9" t="s">
        <v>3128</v>
      </c>
      <c r="T3392" t="s">
        <v>3127</v>
      </c>
      <c r="U3392" s="21" t="s">
        <v>1218</v>
      </c>
      <c r="V3392" s="9" t="s">
        <v>3132</v>
      </c>
      <c r="W3392">
        <f>7*12</f>
        <v>84</v>
      </c>
      <c r="X3392" s="9" t="s">
        <v>3129</v>
      </c>
      <c r="Y3392" t="s">
        <v>3135</v>
      </c>
      <c r="Z3392">
        <v>12</v>
      </c>
      <c r="AD3392" t="s">
        <v>1165</v>
      </c>
      <c r="AF3392" t="s">
        <v>1165</v>
      </c>
      <c r="AI3392" s="21" t="s">
        <v>1165</v>
      </c>
      <c r="AJ3392" s="21" t="s">
        <v>1148</v>
      </c>
      <c r="AK3392">
        <v>17</v>
      </c>
      <c r="AN3392" s="21">
        <v>4</v>
      </c>
      <c r="AO3392" s="21">
        <v>25</v>
      </c>
      <c r="AP3392">
        <v>28</v>
      </c>
      <c r="AQ3392" s="22" t="s">
        <v>1283</v>
      </c>
      <c r="AR3392" s="21" t="s">
        <v>3130</v>
      </c>
    </row>
    <row r="3393" spans="1:44" x14ac:dyDescent="0.2">
      <c r="A3393" s="21" t="s">
        <v>1775</v>
      </c>
      <c r="B3393" s="21" t="s">
        <v>1146</v>
      </c>
      <c r="C3393" s="21" t="s">
        <v>1149</v>
      </c>
      <c r="D3393" s="21" t="s">
        <v>1774</v>
      </c>
      <c r="E3393" s="21" t="s">
        <v>3137</v>
      </c>
      <c r="G3393" s="21" t="s">
        <v>1165</v>
      </c>
      <c r="H3393" s="21" t="s">
        <v>1165</v>
      </c>
      <c r="I3393" s="21" t="s">
        <v>3141</v>
      </c>
      <c r="L3393">
        <v>1450</v>
      </c>
      <c r="M3393" s="21" t="s">
        <v>3034</v>
      </c>
      <c r="O3393">
        <v>1988</v>
      </c>
      <c r="S3393" s="9" t="s">
        <v>3128</v>
      </c>
      <c r="T3393" t="s">
        <v>3127</v>
      </c>
      <c r="U3393" s="21" t="s">
        <v>1147</v>
      </c>
      <c r="X3393" s="9" t="s">
        <v>3129</v>
      </c>
      <c r="Z3393">
        <v>12</v>
      </c>
      <c r="AD3393" t="s">
        <v>1165</v>
      </c>
      <c r="AF3393" t="s">
        <v>1165</v>
      </c>
      <c r="AI3393" s="21" t="s">
        <v>1165</v>
      </c>
      <c r="AJ3393" s="21" t="s">
        <v>1148</v>
      </c>
      <c r="AK3393">
        <v>1</v>
      </c>
      <c r="AN3393" s="21">
        <v>4</v>
      </c>
      <c r="AO3393" s="21">
        <v>25</v>
      </c>
      <c r="AP3393">
        <v>28</v>
      </c>
      <c r="AQ3393" s="22" t="s">
        <v>1283</v>
      </c>
      <c r="AR3393" s="21" t="s">
        <v>3130</v>
      </c>
    </row>
    <row r="3394" spans="1:44" x14ac:dyDescent="0.2">
      <c r="A3394" s="21" t="s">
        <v>1775</v>
      </c>
      <c r="B3394" s="21" t="s">
        <v>1146</v>
      </c>
      <c r="C3394" s="21" t="s">
        <v>1149</v>
      </c>
      <c r="D3394" s="21" t="s">
        <v>1774</v>
      </c>
      <c r="E3394" s="21" t="s">
        <v>3137</v>
      </c>
      <c r="G3394" s="21" t="s">
        <v>1165</v>
      </c>
      <c r="H3394" s="21" t="s">
        <v>1165</v>
      </c>
      <c r="I3394" s="21" t="s">
        <v>3141</v>
      </c>
      <c r="L3394">
        <v>1450</v>
      </c>
      <c r="M3394" s="21" t="s">
        <v>3034</v>
      </c>
      <c r="O3394">
        <v>1988</v>
      </c>
      <c r="S3394" s="9" t="s">
        <v>3128</v>
      </c>
      <c r="T3394" t="s">
        <v>3127</v>
      </c>
      <c r="U3394" s="21" t="s">
        <v>1218</v>
      </c>
      <c r="V3394" s="9" t="s">
        <v>3132</v>
      </c>
      <c r="W3394">
        <f>4*7</f>
        <v>28</v>
      </c>
      <c r="X3394" s="9" t="s">
        <v>3129</v>
      </c>
      <c r="Z3394">
        <v>12</v>
      </c>
      <c r="AD3394" t="s">
        <v>1165</v>
      </c>
      <c r="AF3394" t="s">
        <v>1165</v>
      </c>
      <c r="AI3394" s="21" t="s">
        <v>1165</v>
      </c>
      <c r="AJ3394" s="21" t="s">
        <v>1148</v>
      </c>
      <c r="AK3394">
        <v>0</v>
      </c>
      <c r="AN3394" s="21">
        <v>4</v>
      </c>
      <c r="AO3394" s="21">
        <v>25</v>
      </c>
      <c r="AP3394">
        <v>28</v>
      </c>
      <c r="AQ3394" s="22" t="s">
        <v>1283</v>
      </c>
      <c r="AR3394" s="21" t="s">
        <v>3130</v>
      </c>
    </row>
    <row r="3395" spans="1:44" x14ac:dyDescent="0.2">
      <c r="A3395" s="21" t="s">
        <v>1775</v>
      </c>
      <c r="B3395" s="21" t="s">
        <v>1146</v>
      </c>
      <c r="C3395" s="21" t="s">
        <v>1149</v>
      </c>
      <c r="D3395" s="21" t="s">
        <v>1774</v>
      </c>
      <c r="E3395" s="21" t="s">
        <v>3137</v>
      </c>
      <c r="G3395" s="21" t="s">
        <v>1165</v>
      </c>
      <c r="H3395" s="21" t="s">
        <v>1165</v>
      </c>
      <c r="I3395" s="21" t="s">
        <v>3141</v>
      </c>
      <c r="L3395">
        <v>1450</v>
      </c>
      <c r="M3395" s="21" t="s">
        <v>3034</v>
      </c>
      <c r="O3395">
        <v>1988</v>
      </c>
      <c r="S3395" s="9" t="s">
        <v>3128</v>
      </c>
      <c r="T3395" t="s">
        <v>3127</v>
      </c>
      <c r="U3395" s="21" t="s">
        <v>1218</v>
      </c>
      <c r="V3395" s="9" t="s">
        <v>3132</v>
      </c>
      <c r="W3395">
        <v>56</v>
      </c>
      <c r="X3395" s="9" t="s">
        <v>3129</v>
      </c>
      <c r="Z3395">
        <v>12</v>
      </c>
      <c r="AD3395" t="s">
        <v>1165</v>
      </c>
      <c r="AF3395" t="s">
        <v>1165</v>
      </c>
      <c r="AI3395" s="21" t="s">
        <v>1165</v>
      </c>
      <c r="AJ3395" s="21" t="s">
        <v>1148</v>
      </c>
      <c r="AK3395">
        <v>4</v>
      </c>
      <c r="AN3395" s="21">
        <v>4</v>
      </c>
      <c r="AO3395" s="21">
        <v>25</v>
      </c>
      <c r="AP3395">
        <v>28</v>
      </c>
      <c r="AQ3395" s="22" t="s">
        <v>1283</v>
      </c>
      <c r="AR3395" s="21" t="s">
        <v>3130</v>
      </c>
    </row>
    <row r="3396" spans="1:44" x14ac:dyDescent="0.2">
      <c r="A3396" s="21" t="s">
        <v>1775</v>
      </c>
      <c r="B3396" s="21" t="s">
        <v>1146</v>
      </c>
      <c r="C3396" s="21" t="s">
        <v>1149</v>
      </c>
      <c r="D3396" s="21" t="s">
        <v>1774</v>
      </c>
      <c r="E3396" s="21" t="s">
        <v>3137</v>
      </c>
      <c r="G3396" s="21" t="s">
        <v>1165</v>
      </c>
      <c r="H3396" s="21" t="s">
        <v>1165</v>
      </c>
      <c r="I3396" s="21" t="s">
        <v>3141</v>
      </c>
      <c r="L3396">
        <v>1450</v>
      </c>
      <c r="M3396" s="21" t="s">
        <v>3034</v>
      </c>
      <c r="O3396">
        <v>1988</v>
      </c>
      <c r="S3396" s="9" t="s">
        <v>3128</v>
      </c>
      <c r="T3396" t="s">
        <v>3127</v>
      </c>
      <c r="U3396" s="21" t="s">
        <v>1218</v>
      </c>
      <c r="V3396" s="9" t="s">
        <v>3132</v>
      </c>
      <c r="W3396">
        <f>7*12</f>
        <v>84</v>
      </c>
      <c r="X3396" s="9" t="s">
        <v>3129</v>
      </c>
      <c r="Z3396">
        <v>12</v>
      </c>
      <c r="AD3396" t="s">
        <v>1165</v>
      </c>
      <c r="AF3396" t="s">
        <v>1165</v>
      </c>
      <c r="AI3396" s="21" t="s">
        <v>1165</v>
      </c>
      <c r="AJ3396" s="21" t="s">
        <v>1148</v>
      </c>
      <c r="AK3396">
        <v>63</v>
      </c>
      <c r="AN3396" s="21">
        <v>4</v>
      </c>
      <c r="AO3396" s="21">
        <v>25</v>
      </c>
      <c r="AP3396">
        <v>28</v>
      </c>
      <c r="AQ3396" s="22" t="s">
        <v>1283</v>
      </c>
      <c r="AR3396" s="21" t="s">
        <v>3130</v>
      </c>
    </row>
    <row r="3397" spans="1:44" x14ac:dyDescent="0.2">
      <c r="A3397" s="21" t="s">
        <v>1775</v>
      </c>
      <c r="B3397" s="21" t="s">
        <v>1146</v>
      </c>
      <c r="C3397" s="21" t="s">
        <v>1149</v>
      </c>
      <c r="D3397" s="21" t="s">
        <v>1774</v>
      </c>
      <c r="E3397" s="21" t="s">
        <v>3137</v>
      </c>
      <c r="G3397" s="21" t="s">
        <v>1165</v>
      </c>
      <c r="H3397" s="21" t="s">
        <v>1165</v>
      </c>
      <c r="I3397" s="21" t="s">
        <v>3141</v>
      </c>
      <c r="L3397">
        <v>1450</v>
      </c>
      <c r="M3397" s="21" t="s">
        <v>3034</v>
      </c>
      <c r="O3397">
        <v>1988</v>
      </c>
      <c r="S3397" s="9" t="s">
        <v>3128</v>
      </c>
      <c r="T3397" t="s">
        <v>3127</v>
      </c>
      <c r="U3397" s="21" t="s">
        <v>1218</v>
      </c>
      <c r="V3397" s="9" t="s">
        <v>3132</v>
      </c>
      <c r="W3397">
        <f>7*16</f>
        <v>112</v>
      </c>
      <c r="X3397" s="9" t="s">
        <v>3129</v>
      </c>
      <c r="Z3397">
        <v>12</v>
      </c>
      <c r="AD3397" t="s">
        <v>1165</v>
      </c>
      <c r="AF3397" t="s">
        <v>1165</v>
      </c>
      <c r="AI3397" s="21" t="s">
        <v>1165</v>
      </c>
      <c r="AJ3397" s="21" t="s">
        <v>1148</v>
      </c>
      <c r="AK3397">
        <v>87</v>
      </c>
      <c r="AN3397" s="21">
        <v>4</v>
      </c>
      <c r="AO3397" s="21">
        <v>25</v>
      </c>
      <c r="AP3397">
        <v>28</v>
      </c>
      <c r="AQ3397" s="22" t="s">
        <v>1283</v>
      </c>
      <c r="AR3397" s="21" t="s">
        <v>3130</v>
      </c>
    </row>
    <row r="3398" spans="1:44" x14ac:dyDescent="0.2">
      <c r="A3398" s="21" t="s">
        <v>1775</v>
      </c>
      <c r="B3398" s="21" t="s">
        <v>1146</v>
      </c>
      <c r="C3398" s="21" t="s">
        <v>1149</v>
      </c>
      <c r="D3398" s="21" t="s">
        <v>1774</v>
      </c>
      <c r="E3398" s="21" t="s">
        <v>3137</v>
      </c>
      <c r="G3398" s="21" t="s">
        <v>1165</v>
      </c>
      <c r="H3398" s="21" t="s">
        <v>1165</v>
      </c>
      <c r="I3398" s="21" t="s">
        <v>3141</v>
      </c>
      <c r="L3398">
        <v>1450</v>
      </c>
      <c r="M3398" s="21" t="s">
        <v>3034</v>
      </c>
      <c r="O3398">
        <v>1988</v>
      </c>
      <c r="S3398" s="9" t="s">
        <v>3128</v>
      </c>
      <c r="T3398" t="s">
        <v>3127</v>
      </c>
      <c r="U3398" s="21" t="s">
        <v>1218</v>
      </c>
      <c r="V3398" s="9" t="s">
        <v>3132</v>
      </c>
      <c r="W3398">
        <f>7*24</f>
        <v>168</v>
      </c>
      <c r="X3398" s="9" t="s">
        <v>3129</v>
      </c>
      <c r="Z3398">
        <v>12</v>
      </c>
      <c r="AD3398" t="s">
        <v>1165</v>
      </c>
      <c r="AF3398" t="s">
        <v>1165</v>
      </c>
      <c r="AI3398" s="21" t="s">
        <v>1165</v>
      </c>
      <c r="AJ3398" s="21" t="s">
        <v>1148</v>
      </c>
      <c r="AK3398">
        <v>83</v>
      </c>
      <c r="AN3398" s="21">
        <v>4</v>
      </c>
      <c r="AO3398" s="21">
        <v>25</v>
      </c>
      <c r="AP3398">
        <v>28</v>
      </c>
      <c r="AQ3398" s="22" t="s">
        <v>1283</v>
      </c>
      <c r="AR3398" s="21" t="s">
        <v>3130</v>
      </c>
    </row>
    <row r="3399" spans="1:44" x14ac:dyDescent="0.2">
      <c r="A3399" s="21" t="s">
        <v>1775</v>
      </c>
      <c r="B3399" s="21" t="s">
        <v>1146</v>
      </c>
      <c r="C3399" s="21" t="s">
        <v>1149</v>
      </c>
      <c r="D3399" s="21" t="s">
        <v>1774</v>
      </c>
      <c r="E3399" s="21" t="s">
        <v>3137</v>
      </c>
      <c r="G3399" s="21" t="s">
        <v>1165</v>
      </c>
      <c r="H3399" s="21" t="s">
        <v>1165</v>
      </c>
      <c r="I3399" s="21" t="s">
        <v>3141</v>
      </c>
      <c r="L3399">
        <v>1450</v>
      </c>
      <c r="M3399" s="21" t="s">
        <v>3034</v>
      </c>
      <c r="O3399">
        <v>1988</v>
      </c>
      <c r="S3399" s="9" t="s">
        <v>3128</v>
      </c>
      <c r="T3399" t="s">
        <v>3127</v>
      </c>
      <c r="U3399" s="21" t="s">
        <v>1218</v>
      </c>
      <c r="V3399" s="9" t="s">
        <v>3132</v>
      </c>
      <c r="W3399">
        <f>7*12</f>
        <v>84</v>
      </c>
      <c r="X3399" s="9" t="s">
        <v>3129</v>
      </c>
      <c r="Y3399" t="s">
        <v>3133</v>
      </c>
      <c r="Z3399">
        <v>12</v>
      </c>
      <c r="AD3399" t="s">
        <v>1165</v>
      </c>
      <c r="AF3399" t="s">
        <v>1165</v>
      </c>
      <c r="AI3399" s="21" t="s">
        <v>1165</v>
      </c>
      <c r="AJ3399" s="21" t="s">
        <v>1148</v>
      </c>
      <c r="AK3399">
        <v>62</v>
      </c>
      <c r="AN3399" s="21">
        <v>4</v>
      </c>
      <c r="AO3399" s="21">
        <v>25</v>
      </c>
      <c r="AP3399">
        <v>28</v>
      </c>
      <c r="AQ3399" s="22" t="s">
        <v>1283</v>
      </c>
      <c r="AR3399" s="21" t="s">
        <v>3130</v>
      </c>
    </row>
    <row r="3400" spans="1:44" x14ac:dyDescent="0.2">
      <c r="A3400" s="21" t="s">
        <v>1775</v>
      </c>
      <c r="B3400" s="21" t="s">
        <v>1146</v>
      </c>
      <c r="C3400" s="21" t="s">
        <v>1149</v>
      </c>
      <c r="D3400" s="21" t="s">
        <v>1774</v>
      </c>
      <c r="E3400" s="21" t="s">
        <v>3137</v>
      </c>
      <c r="G3400" s="21" t="s">
        <v>1165</v>
      </c>
      <c r="H3400" s="21" t="s">
        <v>1165</v>
      </c>
      <c r="I3400" s="21" t="s">
        <v>3141</v>
      </c>
      <c r="L3400">
        <v>1450</v>
      </c>
      <c r="M3400" s="21" t="s">
        <v>3034</v>
      </c>
      <c r="O3400">
        <v>1988</v>
      </c>
      <c r="S3400" s="9" t="s">
        <v>3128</v>
      </c>
      <c r="T3400" t="s">
        <v>3127</v>
      </c>
      <c r="U3400" s="21" t="s">
        <v>1218</v>
      </c>
      <c r="V3400" s="9" t="s">
        <v>3132</v>
      </c>
      <c r="W3400">
        <f>7*12</f>
        <v>84</v>
      </c>
      <c r="X3400" s="9" t="s">
        <v>3129</v>
      </c>
      <c r="Y3400" t="s">
        <v>3134</v>
      </c>
      <c r="Z3400">
        <v>12</v>
      </c>
      <c r="AD3400" t="s">
        <v>1165</v>
      </c>
      <c r="AF3400" t="s">
        <v>1165</v>
      </c>
      <c r="AI3400" s="21" t="s">
        <v>1165</v>
      </c>
      <c r="AJ3400" s="21" t="s">
        <v>1148</v>
      </c>
      <c r="AK3400">
        <v>15</v>
      </c>
      <c r="AN3400" s="21">
        <v>4</v>
      </c>
      <c r="AO3400" s="21">
        <v>25</v>
      </c>
      <c r="AP3400">
        <v>28</v>
      </c>
      <c r="AQ3400" s="22" t="s">
        <v>1283</v>
      </c>
      <c r="AR3400" s="21" t="s">
        <v>3130</v>
      </c>
    </row>
    <row r="3401" spans="1:44" x14ac:dyDescent="0.2">
      <c r="A3401" s="21" t="s">
        <v>1775</v>
      </c>
      <c r="B3401" s="21" t="s">
        <v>1146</v>
      </c>
      <c r="C3401" s="21" t="s">
        <v>1149</v>
      </c>
      <c r="D3401" s="21" t="s">
        <v>1774</v>
      </c>
      <c r="E3401" s="21" t="s">
        <v>3137</v>
      </c>
      <c r="G3401" s="21" t="s">
        <v>1165</v>
      </c>
      <c r="H3401" s="21" t="s">
        <v>1165</v>
      </c>
      <c r="I3401" s="21" t="s">
        <v>3141</v>
      </c>
      <c r="L3401">
        <v>1450</v>
      </c>
      <c r="M3401" s="21" t="s">
        <v>3034</v>
      </c>
      <c r="O3401">
        <v>1988</v>
      </c>
      <c r="S3401" s="9" t="s">
        <v>3128</v>
      </c>
      <c r="T3401" t="s">
        <v>3127</v>
      </c>
      <c r="U3401" s="21" t="s">
        <v>1218</v>
      </c>
      <c r="V3401" s="9" t="s">
        <v>3132</v>
      </c>
      <c r="W3401">
        <f>7*12</f>
        <v>84</v>
      </c>
      <c r="X3401" s="9" t="s">
        <v>3129</v>
      </c>
      <c r="Y3401" t="s">
        <v>3135</v>
      </c>
      <c r="Z3401">
        <v>12</v>
      </c>
      <c r="AD3401" t="s">
        <v>1165</v>
      </c>
      <c r="AF3401" t="s">
        <v>1165</v>
      </c>
      <c r="AI3401" s="21" t="s">
        <v>1165</v>
      </c>
      <c r="AJ3401" s="21" t="s">
        <v>1148</v>
      </c>
      <c r="AK3401">
        <v>16</v>
      </c>
      <c r="AN3401" s="21">
        <v>4</v>
      </c>
      <c r="AO3401" s="21">
        <v>25</v>
      </c>
      <c r="AP3401">
        <v>28</v>
      </c>
      <c r="AQ3401" s="22" t="s">
        <v>1283</v>
      </c>
      <c r="AR3401" s="21" t="s">
        <v>3130</v>
      </c>
    </row>
    <row r="3402" spans="1:44" x14ac:dyDescent="0.2">
      <c r="A3402" s="21" t="s">
        <v>1775</v>
      </c>
      <c r="B3402" s="21" t="s">
        <v>1146</v>
      </c>
      <c r="C3402" s="21" t="s">
        <v>1149</v>
      </c>
      <c r="D3402" s="21" t="s">
        <v>1774</v>
      </c>
      <c r="E3402" s="21" t="s">
        <v>3142</v>
      </c>
      <c r="G3402" s="21" t="s">
        <v>1165</v>
      </c>
      <c r="H3402" s="21" t="s">
        <v>1165</v>
      </c>
      <c r="I3402" s="21" t="s">
        <v>3143</v>
      </c>
      <c r="L3402">
        <v>2030</v>
      </c>
      <c r="M3402" s="21" t="s">
        <v>3034</v>
      </c>
      <c r="O3402">
        <v>1988</v>
      </c>
      <c r="S3402" s="9" t="s">
        <v>3128</v>
      </c>
      <c r="T3402" t="s">
        <v>3127</v>
      </c>
      <c r="U3402" s="21" t="s">
        <v>1147</v>
      </c>
      <c r="X3402" s="9" t="s">
        <v>3129</v>
      </c>
      <c r="Z3402">
        <v>12</v>
      </c>
      <c r="AD3402" t="s">
        <v>1165</v>
      </c>
      <c r="AF3402" t="s">
        <v>1165</v>
      </c>
      <c r="AI3402" s="21" t="s">
        <v>1165</v>
      </c>
      <c r="AJ3402" s="21" t="s">
        <v>1148</v>
      </c>
      <c r="AK3402">
        <v>0</v>
      </c>
      <c r="AN3402" s="21">
        <v>4</v>
      </c>
      <c r="AO3402" s="21">
        <v>25</v>
      </c>
      <c r="AP3402">
        <v>28</v>
      </c>
      <c r="AQ3402" s="22" t="s">
        <v>1283</v>
      </c>
      <c r="AR3402" s="21" t="s">
        <v>3130</v>
      </c>
    </row>
    <row r="3403" spans="1:44" x14ac:dyDescent="0.2">
      <c r="A3403" s="21" t="s">
        <v>1775</v>
      </c>
      <c r="B3403" s="21" t="s">
        <v>1146</v>
      </c>
      <c r="C3403" s="21" t="s">
        <v>1149</v>
      </c>
      <c r="D3403" s="21" t="s">
        <v>1774</v>
      </c>
      <c r="E3403" s="21" t="s">
        <v>3142</v>
      </c>
      <c r="G3403" s="21" t="s">
        <v>1165</v>
      </c>
      <c r="H3403" s="21" t="s">
        <v>1165</v>
      </c>
      <c r="I3403" s="21" t="s">
        <v>3143</v>
      </c>
      <c r="L3403">
        <v>2030</v>
      </c>
      <c r="M3403" s="21" t="s">
        <v>3034</v>
      </c>
      <c r="O3403">
        <v>1988</v>
      </c>
      <c r="S3403" s="9" t="s">
        <v>3128</v>
      </c>
      <c r="T3403" t="s">
        <v>3127</v>
      </c>
      <c r="U3403" s="21" t="s">
        <v>1218</v>
      </c>
      <c r="V3403" s="9" t="s">
        <v>3132</v>
      </c>
      <c r="W3403">
        <f>4*7</f>
        <v>28</v>
      </c>
      <c r="X3403" s="9" t="s">
        <v>3129</v>
      </c>
      <c r="Z3403">
        <v>12</v>
      </c>
      <c r="AD3403" t="s">
        <v>1165</v>
      </c>
      <c r="AF3403" t="s">
        <v>1165</v>
      </c>
      <c r="AI3403" s="21" t="s">
        <v>1165</v>
      </c>
      <c r="AJ3403" s="21" t="s">
        <v>1148</v>
      </c>
      <c r="AK3403">
        <v>0</v>
      </c>
      <c r="AN3403" s="21">
        <v>4</v>
      </c>
      <c r="AO3403" s="21">
        <v>25</v>
      </c>
      <c r="AP3403">
        <v>28</v>
      </c>
      <c r="AQ3403" s="22" t="s">
        <v>1283</v>
      </c>
      <c r="AR3403" s="21" t="s">
        <v>3130</v>
      </c>
    </row>
    <row r="3404" spans="1:44" x14ac:dyDescent="0.2">
      <c r="A3404" s="21" t="s">
        <v>1775</v>
      </c>
      <c r="B3404" s="21" t="s">
        <v>1146</v>
      </c>
      <c r="C3404" s="21" t="s">
        <v>1149</v>
      </c>
      <c r="D3404" s="21" t="s">
        <v>1774</v>
      </c>
      <c r="E3404" s="21" t="s">
        <v>3142</v>
      </c>
      <c r="G3404" s="21" t="s">
        <v>1165</v>
      </c>
      <c r="H3404" s="21" t="s">
        <v>1165</v>
      </c>
      <c r="I3404" s="21" t="s">
        <v>3143</v>
      </c>
      <c r="L3404">
        <v>2030</v>
      </c>
      <c r="M3404" s="21" t="s">
        <v>3034</v>
      </c>
      <c r="O3404">
        <v>1988</v>
      </c>
      <c r="S3404" s="9" t="s">
        <v>3128</v>
      </c>
      <c r="T3404" t="s">
        <v>3127</v>
      </c>
      <c r="U3404" s="21" t="s">
        <v>1218</v>
      </c>
      <c r="V3404" s="9" t="s">
        <v>3132</v>
      </c>
      <c r="W3404">
        <v>56</v>
      </c>
      <c r="X3404" s="9" t="s">
        <v>3129</v>
      </c>
      <c r="Z3404">
        <v>12</v>
      </c>
      <c r="AD3404" t="s">
        <v>1165</v>
      </c>
      <c r="AF3404" t="s">
        <v>1165</v>
      </c>
      <c r="AI3404" s="21" t="s">
        <v>1165</v>
      </c>
      <c r="AJ3404" s="21" t="s">
        <v>1148</v>
      </c>
      <c r="AK3404">
        <v>1</v>
      </c>
      <c r="AN3404" s="21">
        <v>4</v>
      </c>
      <c r="AO3404" s="21">
        <v>25</v>
      </c>
      <c r="AP3404">
        <v>28</v>
      </c>
      <c r="AQ3404" s="22" t="s">
        <v>1283</v>
      </c>
      <c r="AR3404" s="21" t="s">
        <v>3130</v>
      </c>
    </row>
    <row r="3405" spans="1:44" x14ac:dyDescent="0.2">
      <c r="A3405" s="21" t="s">
        <v>1775</v>
      </c>
      <c r="B3405" s="21" t="s">
        <v>1146</v>
      </c>
      <c r="C3405" s="21" t="s">
        <v>1149</v>
      </c>
      <c r="D3405" s="21" t="s">
        <v>1774</v>
      </c>
      <c r="E3405" s="21" t="s">
        <v>3142</v>
      </c>
      <c r="G3405" s="21" t="s">
        <v>1165</v>
      </c>
      <c r="H3405" s="21" t="s">
        <v>1165</v>
      </c>
      <c r="I3405" s="21" t="s">
        <v>3143</v>
      </c>
      <c r="L3405">
        <v>2030</v>
      </c>
      <c r="M3405" s="21" t="s">
        <v>3034</v>
      </c>
      <c r="O3405">
        <v>1988</v>
      </c>
      <c r="S3405" s="9" t="s">
        <v>3128</v>
      </c>
      <c r="T3405" t="s">
        <v>3127</v>
      </c>
      <c r="U3405" s="21" t="s">
        <v>1218</v>
      </c>
      <c r="V3405" s="9" t="s">
        <v>3132</v>
      </c>
      <c r="W3405">
        <f>7*12</f>
        <v>84</v>
      </c>
      <c r="X3405" s="9" t="s">
        <v>3129</v>
      </c>
      <c r="Z3405">
        <v>12</v>
      </c>
      <c r="AD3405" t="s">
        <v>1165</v>
      </c>
      <c r="AF3405" t="s">
        <v>1165</v>
      </c>
      <c r="AI3405" s="21" t="s">
        <v>1165</v>
      </c>
      <c r="AJ3405" s="21" t="s">
        <v>1148</v>
      </c>
      <c r="AK3405">
        <v>1</v>
      </c>
      <c r="AN3405" s="21">
        <v>4</v>
      </c>
      <c r="AO3405" s="21">
        <v>25</v>
      </c>
      <c r="AP3405">
        <v>28</v>
      </c>
      <c r="AQ3405" s="22" t="s">
        <v>1283</v>
      </c>
      <c r="AR3405" s="21" t="s">
        <v>3130</v>
      </c>
    </row>
    <row r="3406" spans="1:44" x14ac:dyDescent="0.2">
      <c r="A3406" s="21" t="s">
        <v>1775</v>
      </c>
      <c r="B3406" s="21" t="s">
        <v>1146</v>
      </c>
      <c r="C3406" s="21" t="s">
        <v>1149</v>
      </c>
      <c r="D3406" s="21" t="s">
        <v>1774</v>
      </c>
      <c r="E3406" s="21" t="s">
        <v>3142</v>
      </c>
      <c r="G3406" s="21" t="s">
        <v>1165</v>
      </c>
      <c r="H3406" s="21" t="s">
        <v>1165</v>
      </c>
      <c r="I3406" s="21" t="s">
        <v>3143</v>
      </c>
      <c r="L3406">
        <v>2030</v>
      </c>
      <c r="M3406" s="21" t="s">
        <v>3034</v>
      </c>
      <c r="O3406">
        <v>1988</v>
      </c>
      <c r="S3406" s="9" t="s">
        <v>3128</v>
      </c>
      <c r="T3406" t="s">
        <v>3127</v>
      </c>
      <c r="U3406" s="21" t="s">
        <v>1218</v>
      </c>
      <c r="V3406" s="9" t="s">
        <v>3132</v>
      </c>
      <c r="W3406">
        <f>7*16</f>
        <v>112</v>
      </c>
      <c r="X3406" s="9" t="s">
        <v>3129</v>
      </c>
      <c r="Z3406">
        <v>12</v>
      </c>
      <c r="AD3406" t="s">
        <v>1165</v>
      </c>
      <c r="AF3406" t="s">
        <v>1165</v>
      </c>
      <c r="AI3406" s="21" t="s">
        <v>1165</v>
      </c>
      <c r="AJ3406" s="21" t="s">
        <v>1148</v>
      </c>
      <c r="AK3406">
        <v>3</v>
      </c>
      <c r="AN3406" s="21">
        <v>4</v>
      </c>
      <c r="AO3406" s="21">
        <v>25</v>
      </c>
      <c r="AP3406">
        <v>28</v>
      </c>
      <c r="AQ3406" s="22" t="s">
        <v>1283</v>
      </c>
      <c r="AR3406" s="21" t="s">
        <v>3130</v>
      </c>
    </row>
    <row r="3407" spans="1:44" x14ac:dyDescent="0.2">
      <c r="A3407" s="21" t="s">
        <v>1775</v>
      </c>
      <c r="B3407" s="21" t="s">
        <v>1146</v>
      </c>
      <c r="C3407" s="21" t="s">
        <v>1149</v>
      </c>
      <c r="D3407" s="21" t="s">
        <v>1774</v>
      </c>
      <c r="E3407" s="21" t="s">
        <v>3142</v>
      </c>
      <c r="G3407" s="21" t="s">
        <v>1165</v>
      </c>
      <c r="H3407" s="21" t="s">
        <v>1165</v>
      </c>
      <c r="I3407" s="21" t="s">
        <v>3143</v>
      </c>
      <c r="L3407">
        <v>2030</v>
      </c>
      <c r="M3407" s="21" t="s">
        <v>3034</v>
      </c>
      <c r="O3407">
        <v>1988</v>
      </c>
      <c r="S3407" s="9" t="s">
        <v>3128</v>
      </c>
      <c r="T3407" t="s">
        <v>3127</v>
      </c>
      <c r="U3407" s="21" t="s">
        <v>1218</v>
      </c>
      <c r="V3407" s="9" t="s">
        <v>3132</v>
      </c>
      <c r="W3407">
        <f>7*24</f>
        <v>168</v>
      </c>
      <c r="X3407" s="9" t="s">
        <v>3129</v>
      </c>
      <c r="Z3407">
        <v>12</v>
      </c>
      <c r="AD3407" t="s">
        <v>1165</v>
      </c>
      <c r="AF3407" t="s">
        <v>1165</v>
      </c>
      <c r="AI3407" s="21" t="s">
        <v>1165</v>
      </c>
      <c r="AJ3407" s="21" t="s">
        <v>1148</v>
      </c>
      <c r="AK3407">
        <v>35</v>
      </c>
      <c r="AN3407" s="21">
        <v>4</v>
      </c>
      <c r="AO3407" s="21">
        <v>25</v>
      </c>
      <c r="AP3407">
        <v>28</v>
      </c>
      <c r="AQ3407" s="22" t="s">
        <v>1283</v>
      </c>
      <c r="AR3407" s="21" t="s">
        <v>3130</v>
      </c>
    </row>
    <row r="3408" spans="1:44" x14ac:dyDescent="0.2">
      <c r="A3408" s="21" t="s">
        <v>1775</v>
      </c>
      <c r="B3408" s="21" t="s">
        <v>1146</v>
      </c>
      <c r="C3408" s="21" t="s">
        <v>1149</v>
      </c>
      <c r="D3408" s="21" t="s">
        <v>1774</v>
      </c>
      <c r="E3408" s="21" t="s">
        <v>3142</v>
      </c>
      <c r="G3408" s="21" t="s">
        <v>1165</v>
      </c>
      <c r="H3408" s="21" t="s">
        <v>1165</v>
      </c>
      <c r="I3408" s="21" t="s">
        <v>3143</v>
      </c>
      <c r="L3408">
        <v>2030</v>
      </c>
      <c r="M3408" s="21" t="s">
        <v>3034</v>
      </c>
      <c r="O3408">
        <v>1988</v>
      </c>
      <c r="S3408" s="9" t="s">
        <v>3128</v>
      </c>
      <c r="T3408" t="s">
        <v>3127</v>
      </c>
      <c r="U3408" s="21" t="s">
        <v>1218</v>
      </c>
      <c r="V3408" s="9" t="s">
        <v>3132</v>
      </c>
      <c r="W3408">
        <f>7*12</f>
        <v>84</v>
      </c>
      <c r="X3408" s="9" t="s">
        <v>3129</v>
      </c>
      <c r="Y3408" t="s">
        <v>3133</v>
      </c>
      <c r="Z3408">
        <v>12</v>
      </c>
      <c r="AD3408" t="s">
        <v>1165</v>
      </c>
      <c r="AF3408" t="s">
        <v>1165</v>
      </c>
      <c r="AI3408" s="21" t="s">
        <v>1165</v>
      </c>
      <c r="AJ3408" s="21" t="s">
        <v>1148</v>
      </c>
      <c r="AK3408">
        <v>8</v>
      </c>
      <c r="AN3408" s="21">
        <v>4</v>
      </c>
      <c r="AO3408" s="21">
        <v>25</v>
      </c>
      <c r="AP3408">
        <v>28</v>
      </c>
      <c r="AQ3408" s="22" t="s">
        <v>1283</v>
      </c>
      <c r="AR3408" s="21" t="s">
        <v>3130</v>
      </c>
    </row>
    <row r="3409" spans="1:44" x14ac:dyDescent="0.2">
      <c r="A3409" s="21" t="s">
        <v>1775</v>
      </c>
      <c r="B3409" s="21" t="s">
        <v>1146</v>
      </c>
      <c r="C3409" s="21" t="s">
        <v>1149</v>
      </c>
      <c r="D3409" s="21" t="s">
        <v>1774</v>
      </c>
      <c r="E3409" s="21" t="s">
        <v>3142</v>
      </c>
      <c r="G3409" s="21" t="s">
        <v>1165</v>
      </c>
      <c r="H3409" s="21" t="s">
        <v>1165</v>
      </c>
      <c r="I3409" s="21" t="s">
        <v>3143</v>
      </c>
      <c r="L3409">
        <v>2030</v>
      </c>
      <c r="M3409" s="21" t="s">
        <v>3034</v>
      </c>
      <c r="O3409">
        <v>1988</v>
      </c>
      <c r="S3409" s="9" t="s">
        <v>3128</v>
      </c>
      <c r="T3409" t="s">
        <v>3127</v>
      </c>
      <c r="U3409" s="21" t="s">
        <v>1218</v>
      </c>
      <c r="V3409" s="9" t="s">
        <v>3132</v>
      </c>
      <c r="W3409">
        <f>7*12</f>
        <v>84</v>
      </c>
      <c r="X3409" s="9" t="s">
        <v>3129</v>
      </c>
      <c r="Y3409" t="s">
        <v>3134</v>
      </c>
      <c r="Z3409">
        <v>12</v>
      </c>
      <c r="AD3409" t="s">
        <v>1165</v>
      </c>
      <c r="AF3409" t="s">
        <v>1165</v>
      </c>
      <c r="AI3409" s="21" t="s">
        <v>1165</v>
      </c>
      <c r="AJ3409" s="21" t="s">
        <v>1148</v>
      </c>
      <c r="AK3409">
        <v>4</v>
      </c>
      <c r="AN3409" s="21">
        <v>4</v>
      </c>
      <c r="AO3409" s="21">
        <v>25</v>
      </c>
      <c r="AP3409">
        <v>28</v>
      </c>
      <c r="AQ3409" s="22" t="s">
        <v>1283</v>
      </c>
      <c r="AR3409" s="21" t="s">
        <v>3130</v>
      </c>
    </row>
    <row r="3410" spans="1:44" x14ac:dyDescent="0.2">
      <c r="A3410" s="21" t="s">
        <v>1775</v>
      </c>
      <c r="B3410" s="21" t="s">
        <v>1146</v>
      </c>
      <c r="C3410" s="21" t="s">
        <v>1149</v>
      </c>
      <c r="D3410" s="21" t="s">
        <v>1774</v>
      </c>
      <c r="E3410" s="21" t="s">
        <v>3142</v>
      </c>
      <c r="G3410" s="21" t="s">
        <v>1165</v>
      </c>
      <c r="H3410" s="21" t="s">
        <v>1165</v>
      </c>
      <c r="I3410" s="21" t="s">
        <v>3143</v>
      </c>
      <c r="L3410">
        <v>2030</v>
      </c>
      <c r="M3410" s="21" t="s">
        <v>3034</v>
      </c>
      <c r="O3410">
        <v>1988</v>
      </c>
      <c r="S3410" s="9" t="s">
        <v>3128</v>
      </c>
      <c r="T3410" t="s">
        <v>3127</v>
      </c>
      <c r="U3410" s="21" t="s">
        <v>1218</v>
      </c>
      <c r="V3410" s="9" t="s">
        <v>3132</v>
      </c>
      <c r="W3410">
        <f>7*12</f>
        <v>84</v>
      </c>
      <c r="X3410" s="9" t="s">
        <v>3129</v>
      </c>
      <c r="Y3410" t="s">
        <v>3135</v>
      </c>
      <c r="Z3410">
        <v>12</v>
      </c>
      <c r="AD3410" t="s">
        <v>1165</v>
      </c>
      <c r="AF3410" t="s">
        <v>1165</v>
      </c>
      <c r="AI3410" s="21" t="s">
        <v>1165</v>
      </c>
      <c r="AJ3410" s="21" t="s">
        <v>1148</v>
      </c>
      <c r="AK3410">
        <v>4</v>
      </c>
      <c r="AN3410" s="21">
        <v>4</v>
      </c>
      <c r="AO3410" s="21">
        <v>25</v>
      </c>
      <c r="AP3410">
        <v>28</v>
      </c>
      <c r="AQ3410" s="22" t="s">
        <v>1283</v>
      </c>
      <c r="AR3410" s="21" t="s">
        <v>3130</v>
      </c>
    </row>
    <row r="3411" spans="1:44" x14ac:dyDescent="0.2">
      <c r="A3411" s="21" t="s">
        <v>1775</v>
      </c>
      <c r="B3411" s="21" t="s">
        <v>1146</v>
      </c>
      <c r="C3411" s="21" t="s">
        <v>1149</v>
      </c>
      <c r="D3411" s="21" t="s">
        <v>1774</v>
      </c>
      <c r="E3411" s="21" t="s">
        <v>3144</v>
      </c>
      <c r="G3411" s="21" t="s">
        <v>1165</v>
      </c>
      <c r="H3411" s="21" t="s">
        <v>1165</v>
      </c>
      <c r="I3411" s="21" t="s">
        <v>3145</v>
      </c>
      <c r="L3411">
        <v>1690</v>
      </c>
      <c r="M3411" s="21" t="s">
        <v>3034</v>
      </c>
      <c r="O3411">
        <v>1988</v>
      </c>
      <c r="S3411" s="9" t="s">
        <v>3128</v>
      </c>
      <c r="T3411" t="s">
        <v>3127</v>
      </c>
      <c r="U3411" s="21" t="s">
        <v>1147</v>
      </c>
      <c r="X3411" s="9" t="s">
        <v>3129</v>
      </c>
      <c r="Z3411">
        <v>12</v>
      </c>
      <c r="AD3411" t="s">
        <v>1165</v>
      </c>
      <c r="AF3411" t="s">
        <v>1165</v>
      </c>
      <c r="AI3411" s="21" t="s">
        <v>1165</v>
      </c>
      <c r="AJ3411" s="21" t="s">
        <v>1148</v>
      </c>
      <c r="AK3411">
        <v>5</v>
      </c>
      <c r="AN3411" s="21">
        <v>4</v>
      </c>
      <c r="AO3411" s="21">
        <v>25</v>
      </c>
      <c r="AP3411">
        <v>28</v>
      </c>
      <c r="AQ3411" s="22" t="s">
        <v>1283</v>
      </c>
      <c r="AR3411" s="21" t="s">
        <v>3130</v>
      </c>
    </row>
    <row r="3412" spans="1:44" x14ac:dyDescent="0.2">
      <c r="A3412" s="21" t="s">
        <v>1775</v>
      </c>
      <c r="B3412" s="21" t="s">
        <v>1146</v>
      </c>
      <c r="C3412" s="21" t="s">
        <v>1149</v>
      </c>
      <c r="D3412" s="21" t="s">
        <v>1774</v>
      </c>
      <c r="E3412" s="21" t="s">
        <v>3144</v>
      </c>
      <c r="G3412" s="21" t="s">
        <v>1165</v>
      </c>
      <c r="H3412" s="21" t="s">
        <v>1165</v>
      </c>
      <c r="I3412" s="21" t="s">
        <v>3145</v>
      </c>
      <c r="L3412">
        <v>1690</v>
      </c>
      <c r="M3412" s="21" t="s">
        <v>3034</v>
      </c>
      <c r="O3412">
        <v>1988</v>
      </c>
      <c r="S3412" s="9" t="s">
        <v>3128</v>
      </c>
      <c r="T3412" t="s">
        <v>3127</v>
      </c>
      <c r="U3412" s="21" t="s">
        <v>1218</v>
      </c>
      <c r="V3412" s="9" t="s">
        <v>3132</v>
      </c>
      <c r="W3412">
        <f>4*7</f>
        <v>28</v>
      </c>
      <c r="X3412" s="9" t="s">
        <v>3129</v>
      </c>
      <c r="Z3412">
        <v>12</v>
      </c>
      <c r="AD3412" t="s">
        <v>1165</v>
      </c>
      <c r="AF3412" t="s">
        <v>1165</v>
      </c>
      <c r="AI3412" s="21" t="s">
        <v>1165</v>
      </c>
      <c r="AJ3412" s="21" t="s">
        <v>1148</v>
      </c>
      <c r="AK3412">
        <v>1</v>
      </c>
      <c r="AN3412" s="21">
        <v>4</v>
      </c>
      <c r="AO3412" s="21">
        <v>25</v>
      </c>
      <c r="AP3412">
        <v>28</v>
      </c>
      <c r="AQ3412" s="22" t="s">
        <v>1283</v>
      </c>
      <c r="AR3412" s="21" t="s">
        <v>3130</v>
      </c>
    </row>
    <row r="3413" spans="1:44" x14ac:dyDescent="0.2">
      <c r="A3413" s="21" t="s">
        <v>1775</v>
      </c>
      <c r="B3413" s="21" t="s">
        <v>1146</v>
      </c>
      <c r="C3413" s="21" t="s">
        <v>1149</v>
      </c>
      <c r="D3413" s="21" t="s">
        <v>1774</v>
      </c>
      <c r="E3413" s="21" t="s">
        <v>3144</v>
      </c>
      <c r="G3413" s="21" t="s">
        <v>1165</v>
      </c>
      <c r="H3413" s="21" t="s">
        <v>1165</v>
      </c>
      <c r="I3413" s="21" t="s">
        <v>3145</v>
      </c>
      <c r="L3413">
        <v>1690</v>
      </c>
      <c r="M3413" s="21" t="s">
        <v>3034</v>
      </c>
      <c r="O3413">
        <v>1988</v>
      </c>
      <c r="S3413" s="9" t="s">
        <v>3128</v>
      </c>
      <c r="T3413" t="s">
        <v>3127</v>
      </c>
      <c r="U3413" s="21" t="s">
        <v>1218</v>
      </c>
      <c r="V3413" s="9" t="s">
        <v>3132</v>
      </c>
      <c r="W3413">
        <v>56</v>
      </c>
      <c r="X3413" s="9" t="s">
        <v>3129</v>
      </c>
      <c r="Z3413">
        <v>12</v>
      </c>
      <c r="AD3413" t="s">
        <v>1165</v>
      </c>
      <c r="AF3413" t="s">
        <v>1165</v>
      </c>
      <c r="AI3413" s="21" t="s">
        <v>1165</v>
      </c>
      <c r="AJ3413" s="21" t="s">
        <v>1148</v>
      </c>
      <c r="AK3413">
        <v>17</v>
      </c>
      <c r="AN3413" s="21">
        <v>4</v>
      </c>
      <c r="AO3413" s="21">
        <v>25</v>
      </c>
      <c r="AP3413">
        <v>28</v>
      </c>
      <c r="AQ3413" s="22" t="s">
        <v>1283</v>
      </c>
      <c r="AR3413" s="21" t="s">
        <v>3130</v>
      </c>
    </row>
    <row r="3414" spans="1:44" x14ac:dyDescent="0.2">
      <c r="A3414" s="21" t="s">
        <v>1775</v>
      </c>
      <c r="B3414" s="21" t="s">
        <v>1146</v>
      </c>
      <c r="C3414" s="21" t="s">
        <v>1149</v>
      </c>
      <c r="D3414" s="21" t="s">
        <v>1774</v>
      </c>
      <c r="E3414" s="21" t="s">
        <v>3144</v>
      </c>
      <c r="G3414" s="21" t="s">
        <v>1165</v>
      </c>
      <c r="H3414" s="21" t="s">
        <v>1165</v>
      </c>
      <c r="I3414" s="21" t="s">
        <v>3145</v>
      </c>
      <c r="L3414">
        <v>1690</v>
      </c>
      <c r="M3414" s="21" t="s">
        <v>3034</v>
      </c>
      <c r="O3414">
        <v>1988</v>
      </c>
      <c r="S3414" s="9" t="s">
        <v>3128</v>
      </c>
      <c r="T3414" t="s">
        <v>3127</v>
      </c>
      <c r="U3414" s="21" t="s">
        <v>1218</v>
      </c>
      <c r="V3414" s="9" t="s">
        <v>3132</v>
      </c>
      <c r="W3414">
        <f>7*12</f>
        <v>84</v>
      </c>
      <c r="X3414" s="9" t="s">
        <v>3129</v>
      </c>
      <c r="Z3414">
        <v>12</v>
      </c>
      <c r="AD3414" t="s">
        <v>1165</v>
      </c>
      <c r="AF3414" t="s">
        <v>1165</v>
      </c>
      <c r="AI3414" s="21" t="s">
        <v>1165</v>
      </c>
      <c r="AJ3414" s="21" t="s">
        <v>1148</v>
      </c>
      <c r="AK3414">
        <v>90</v>
      </c>
      <c r="AN3414" s="21">
        <v>4</v>
      </c>
      <c r="AO3414" s="21">
        <v>25</v>
      </c>
      <c r="AP3414">
        <v>28</v>
      </c>
      <c r="AQ3414" s="22" t="s">
        <v>1283</v>
      </c>
      <c r="AR3414" s="21" t="s">
        <v>3130</v>
      </c>
    </row>
    <row r="3415" spans="1:44" x14ac:dyDescent="0.2">
      <c r="A3415" s="21" t="s">
        <v>1775</v>
      </c>
      <c r="B3415" s="21" t="s">
        <v>1146</v>
      </c>
      <c r="C3415" s="21" t="s">
        <v>1149</v>
      </c>
      <c r="D3415" s="21" t="s">
        <v>1774</v>
      </c>
      <c r="E3415" s="21" t="s">
        <v>3144</v>
      </c>
      <c r="G3415" s="21" t="s">
        <v>1165</v>
      </c>
      <c r="H3415" s="21" t="s">
        <v>1165</v>
      </c>
      <c r="I3415" s="21" t="s">
        <v>3145</v>
      </c>
      <c r="L3415">
        <v>1690</v>
      </c>
      <c r="M3415" s="21" t="s">
        <v>3034</v>
      </c>
      <c r="O3415">
        <v>1988</v>
      </c>
      <c r="S3415" s="9" t="s">
        <v>3128</v>
      </c>
      <c r="T3415" t="s">
        <v>3127</v>
      </c>
      <c r="U3415" s="21" t="s">
        <v>1218</v>
      </c>
      <c r="V3415" s="9" t="s">
        <v>3132</v>
      </c>
      <c r="W3415">
        <f>7*16</f>
        <v>112</v>
      </c>
      <c r="X3415" s="9" t="s">
        <v>3129</v>
      </c>
      <c r="Z3415">
        <v>12</v>
      </c>
      <c r="AD3415" t="s">
        <v>1165</v>
      </c>
      <c r="AF3415" t="s">
        <v>1165</v>
      </c>
      <c r="AI3415" s="21" t="s">
        <v>1165</v>
      </c>
      <c r="AJ3415" s="21" t="s">
        <v>1148</v>
      </c>
      <c r="AK3415">
        <v>90</v>
      </c>
      <c r="AN3415" s="21">
        <v>4</v>
      </c>
      <c r="AO3415" s="21">
        <v>25</v>
      </c>
      <c r="AP3415">
        <v>28</v>
      </c>
      <c r="AQ3415" s="22" t="s">
        <v>1283</v>
      </c>
      <c r="AR3415" s="21" t="s">
        <v>3130</v>
      </c>
    </row>
    <row r="3416" spans="1:44" x14ac:dyDescent="0.2">
      <c r="A3416" s="21" t="s">
        <v>1775</v>
      </c>
      <c r="B3416" s="21" t="s">
        <v>1146</v>
      </c>
      <c r="C3416" s="21" t="s">
        <v>1149</v>
      </c>
      <c r="D3416" s="21" t="s">
        <v>1774</v>
      </c>
      <c r="E3416" s="21" t="s">
        <v>3144</v>
      </c>
      <c r="G3416" s="21" t="s">
        <v>1165</v>
      </c>
      <c r="H3416" s="21" t="s">
        <v>1165</v>
      </c>
      <c r="I3416" s="21" t="s">
        <v>3145</v>
      </c>
      <c r="L3416">
        <v>1690</v>
      </c>
      <c r="M3416" s="21" t="s">
        <v>3034</v>
      </c>
      <c r="O3416">
        <v>1988</v>
      </c>
      <c r="S3416" s="9" t="s">
        <v>3128</v>
      </c>
      <c r="T3416" t="s">
        <v>3127</v>
      </c>
      <c r="U3416" s="21" t="s">
        <v>1218</v>
      </c>
      <c r="V3416" s="9" t="s">
        <v>3132</v>
      </c>
      <c r="W3416">
        <f>7*24</f>
        <v>168</v>
      </c>
      <c r="X3416" s="9" t="s">
        <v>3129</v>
      </c>
      <c r="Z3416">
        <v>12</v>
      </c>
      <c r="AD3416" t="s">
        <v>1165</v>
      </c>
      <c r="AF3416" t="s">
        <v>1165</v>
      </c>
      <c r="AI3416" s="21" t="s">
        <v>1165</v>
      </c>
      <c r="AJ3416" s="21" t="s">
        <v>1148</v>
      </c>
      <c r="AK3416">
        <v>78</v>
      </c>
      <c r="AN3416" s="21">
        <v>4</v>
      </c>
      <c r="AO3416" s="21">
        <v>25</v>
      </c>
      <c r="AP3416">
        <v>28</v>
      </c>
      <c r="AQ3416" s="22" t="s">
        <v>1283</v>
      </c>
      <c r="AR3416" s="21" t="s">
        <v>3130</v>
      </c>
    </row>
    <row r="3417" spans="1:44" x14ac:dyDescent="0.2">
      <c r="A3417" s="21" t="s">
        <v>1775</v>
      </c>
      <c r="B3417" s="21" t="s">
        <v>1146</v>
      </c>
      <c r="C3417" s="21" t="s">
        <v>1149</v>
      </c>
      <c r="D3417" s="21" t="s">
        <v>1774</v>
      </c>
      <c r="E3417" s="21" t="s">
        <v>3144</v>
      </c>
      <c r="G3417" s="21" t="s">
        <v>1165</v>
      </c>
      <c r="H3417" s="21" t="s">
        <v>1165</v>
      </c>
      <c r="I3417" s="21" t="s">
        <v>3145</v>
      </c>
      <c r="L3417">
        <v>1690</v>
      </c>
      <c r="M3417" s="21" t="s">
        <v>3034</v>
      </c>
      <c r="O3417">
        <v>1988</v>
      </c>
      <c r="S3417" s="9" t="s">
        <v>3128</v>
      </c>
      <c r="T3417" t="s">
        <v>3127</v>
      </c>
      <c r="U3417" s="21" t="s">
        <v>1218</v>
      </c>
      <c r="V3417" s="9" t="s">
        <v>3132</v>
      </c>
      <c r="W3417">
        <f>7*12</f>
        <v>84</v>
      </c>
      <c r="X3417" s="9" t="s">
        <v>3129</v>
      </c>
      <c r="Y3417" t="s">
        <v>3133</v>
      </c>
      <c r="Z3417">
        <v>12</v>
      </c>
      <c r="AD3417" t="s">
        <v>1165</v>
      </c>
      <c r="AF3417" t="s">
        <v>1165</v>
      </c>
      <c r="AI3417" s="21" t="s">
        <v>1165</v>
      </c>
      <c r="AJ3417" s="21" t="s">
        <v>1148</v>
      </c>
      <c r="AK3417">
        <v>88</v>
      </c>
      <c r="AN3417" s="21">
        <v>4</v>
      </c>
      <c r="AO3417" s="21">
        <v>25</v>
      </c>
      <c r="AP3417">
        <v>28</v>
      </c>
      <c r="AQ3417" s="22" t="s">
        <v>1283</v>
      </c>
      <c r="AR3417" s="21" t="s">
        <v>3130</v>
      </c>
    </row>
    <row r="3418" spans="1:44" x14ac:dyDescent="0.2">
      <c r="A3418" s="21" t="s">
        <v>1775</v>
      </c>
      <c r="B3418" s="21" t="s">
        <v>1146</v>
      </c>
      <c r="C3418" s="21" t="s">
        <v>1149</v>
      </c>
      <c r="D3418" s="21" t="s">
        <v>1774</v>
      </c>
      <c r="E3418" s="21" t="s">
        <v>3144</v>
      </c>
      <c r="G3418" s="21" t="s">
        <v>1165</v>
      </c>
      <c r="H3418" s="21" t="s">
        <v>1165</v>
      </c>
      <c r="I3418" s="21" t="s">
        <v>3145</v>
      </c>
      <c r="L3418">
        <v>1690</v>
      </c>
      <c r="M3418" s="21" t="s">
        <v>3034</v>
      </c>
      <c r="O3418">
        <v>1988</v>
      </c>
      <c r="S3418" s="9" t="s">
        <v>3128</v>
      </c>
      <c r="T3418" t="s">
        <v>3127</v>
      </c>
      <c r="U3418" s="21" t="s">
        <v>1218</v>
      </c>
      <c r="V3418" s="9" t="s">
        <v>3132</v>
      </c>
      <c r="W3418">
        <f>7*12</f>
        <v>84</v>
      </c>
      <c r="X3418" s="9" t="s">
        <v>3129</v>
      </c>
      <c r="Y3418" t="s">
        <v>3134</v>
      </c>
      <c r="Z3418">
        <v>12</v>
      </c>
      <c r="AD3418" t="s">
        <v>1165</v>
      </c>
      <c r="AF3418" t="s">
        <v>1165</v>
      </c>
      <c r="AI3418" s="21" t="s">
        <v>1165</v>
      </c>
      <c r="AJ3418" s="21" t="s">
        <v>1148</v>
      </c>
      <c r="AK3418">
        <v>23</v>
      </c>
      <c r="AN3418" s="21">
        <v>4</v>
      </c>
      <c r="AO3418" s="21">
        <v>25</v>
      </c>
      <c r="AP3418">
        <v>28</v>
      </c>
      <c r="AQ3418" s="22" t="s">
        <v>1283</v>
      </c>
      <c r="AR3418" s="21" t="s">
        <v>3130</v>
      </c>
    </row>
    <row r="3419" spans="1:44" x14ac:dyDescent="0.2">
      <c r="A3419" s="21" t="s">
        <v>1775</v>
      </c>
      <c r="B3419" s="21" t="s">
        <v>1146</v>
      </c>
      <c r="C3419" s="21" t="s">
        <v>1149</v>
      </c>
      <c r="D3419" s="21" t="s">
        <v>1774</v>
      </c>
      <c r="E3419" s="21" t="s">
        <v>3144</v>
      </c>
      <c r="G3419" s="21" t="s">
        <v>1165</v>
      </c>
      <c r="H3419" s="21" t="s">
        <v>1165</v>
      </c>
      <c r="I3419" s="21" t="s">
        <v>3145</v>
      </c>
      <c r="L3419">
        <v>1690</v>
      </c>
      <c r="M3419" s="21" t="s">
        <v>3034</v>
      </c>
      <c r="O3419">
        <v>1988</v>
      </c>
      <c r="S3419" s="9" t="s">
        <v>3128</v>
      </c>
      <c r="T3419" t="s">
        <v>3127</v>
      </c>
      <c r="U3419" s="21" t="s">
        <v>1218</v>
      </c>
      <c r="V3419" s="9" t="s">
        <v>3132</v>
      </c>
      <c r="W3419">
        <f>7*12</f>
        <v>84</v>
      </c>
      <c r="X3419" s="9" t="s">
        <v>3129</v>
      </c>
      <c r="Y3419" t="s">
        <v>3135</v>
      </c>
      <c r="Z3419">
        <v>12</v>
      </c>
      <c r="AD3419" t="s">
        <v>1165</v>
      </c>
      <c r="AF3419" t="s">
        <v>1165</v>
      </c>
      <c r="AI3419" s="21" t="s">
        <v>1165</v>
      </c>
      <c r="AJ3419" s="21" t="s">
        <v>1148</v>
      </c>
      <c r="AK3419">
        <v>43</v>
      </c>
      <c r="AN3419" s="21">
        <v>4</v>
      </c>
      <c r="AO3419" s="21">
        <v>25</v>
      </c>
      <c r="AP3419">
        <v>28</v>
      </c>
      <c r="AQ3419" s="22" t="s">
        <v>1283</v>
      </c>
      <c r="AR3419" s="21" t="s">
        <v>3130</v>
      </c>
    </row>
    <row r="3420" spans="1:44" x14ac:dyDescent="0.2">
      <c r="A3420" s="21" t="s">
        <v>1775</v>
      </c>
      <c r="B3420" s="21" t="s">
        <v>1146</v>
      </c>
      <c r="C3420" s="21" t="s">
        <v>1149</v>
      </c>
      <c r="D3420" s="21" t="s">
        <v>1774</v>
      </c>
      <c r="E3420" s="21" t="s">
        <v>3144</v>
      </c>
      <c r="G3420" s="21" t="s">
        <v>1165</v>
      </c>
      <c r="H3420" s="21" t="s">
        <v>1165</v>
      </c>
      <c r="I3420" s="21" t="s">
        <v>3146</v>
      </c>
      <c r="L3420">
        <v>1750</v>
      </c>
      <c r="M3420" s="21" t="s">
        <v>3034</v>
      </c>
      <c r="O3420">
        <v>1988</v>
      </c>
      <c r="S3420" s="9" t="s">
        <v>3128</v>
      </c>
      <c r="T3420" t="s">
        <v>3127</v>
      </c>
      <c r="U3420" s="21" t="s">
        <v>1147</v>
      </c>
      <c r="X3420" s="9" t="s">
        <v>3129</v>
      </c>
      <c r="Z3420">
        <v>12</v>
      </c>
      <c r="AD3420" t="s">
        <v>1165</v>
      </c>
      <c r="AF3420" t="s">
        <v>1165</v>
      </c>
      <c r="AI3420" s="21" t="s">
        <v>1165</v>
      </c>
      <c r="AJ3420" s="21" t="s">
        <v>1148</v>
      </c>
      <c r="AK3420">
        <v>0</v>
      </c>
      <c r="AN3420" s="21">
        <v>4</v>
      </c>
      <c r="AO3420" s="21">
        <v>25</v>
      </c>
      <c r="AP3420">
        <v>28</v>
      </c>
      <c r="AQ3420" s="22" t="s">
        <v>1283</v>
      </c>
      <c r="AR3420" s="21" t="s">
        <v>3130</v>
      </c>
    </row>
    <row r="3421" spans="1:44" x14ac:dyDescent="0.2">
      <c r="A3421" s="21" t="s">
        <v>1775</v>
      </c>
      <c r="B3421" s="21" t="s">
        <v>1146</v>
      </c>
      <c r="C3421" s="21" t="s">
        <v>1149</v>
      </c>
      <c r="D3421" s="21" t="s">
        <v>1774</v>
      </c>
      <c r="E3421" s="21" t="s">
        <v>3144</v>
      </c>
      <c r="G3421" s="21" t="s">
        <v>1165</v>
      </c>
      <c r="H3421" s="21" t="s">
        <v>1165</v>
      </c>
      <c r="I3421" s="21" t="s">
        <v>3146</v>
      </c>
      <c r="L3421">
        <v>1750</v>
      </c>
      <c r="M3421" s="21" t="s">
        <v>3034</v>
      </c>
      <c r="O3421">
        <v>1988</v>
      </c>
      <c r="S3421" s="9" t="s">
        <v>3128</v>
      </c>
      <c r="T3421" t="s">
        <v>3127</v>
      </c>
      <c r="U3421" s="21" t="s">
        <v>1218</v>
      </c>
      <c r="V3421" s="9" t="s">
        <v>3132</v>
      </c>
      <c r="W3421">
        <f>4*7</f>
        <v>28</v>
      </c>
      <c r="X3421" s="9" t="s">
        <v>3129</v>
      </c>
      <c r="Z3421">
        <v>12</v>
      </c>
      <c r="AD3421" t="s">
        <v>1165</v>
      </c>
      <c r="AF3421" t="s">
        <v>1165</v>
      </c>
      <c r="AI3421" s="21" t="s">
        <v>1165</v>
      </c>
      <c r="AJ3421" s="21" t="s">
        <v>1148</v>
      </c>
      <c r="AK3421">
        <v>3</v>
      </c>
      <c r="AN3421" s="21">
        <v>4</v>
      </c>
      <c r="AO3421" s="21">
        <v>25</v>
      </c>
      <c r="AP3421">
        <v>28</v>
      </c>
      <c r="AQ3421" s="22" t="s">
        <v>1283</v>
      </c>
      <c r="AR3421" s="21" t="s">
        <v>3130</v>
      </c>
    </row>
    <row r="3422" spans="1:44" x14ac:dyDescent="0.2">
      <c r="A3422" s="21" t="s">
        <v>1775</v>
      </c>
      <c r="B3422" s="21" t="s">
        <v>1146</v>
      </c>
      <c r="C3422" s="21" t="s">
        <v>1149</v>
      </c>
      <c r="D3422" s="21" t="s">
        <v>1774</v>
      </c>
      <c r="E3422" s="21" t="s">
        <v>3144</v>
      </c>
      <c r="G3422" s="21" t="s">
        <v>1165</v>
      </c>
      <c r="H3422" s="21" t="s">
        <v>1165</v>
      </c>
      <c r="I3422" s="21" t="s">
        <v>3146</v>
      </c>
      <c r="L3422">
        <v>1750</v>
      </c>
      <c r="M3422" s="21" t="s">
        <v>3034</v>
      </c>
      <c r="O3422">
        <v>1988</v>
      </c>
      <c r="S3422" s="9" t="s">
        <v>3128</v>
      </c>
      <c r="T3422" t="s">
        <v>3127</v>
      </c>
      <c r="U3422" s="21" t="s">
        <v>1218</v>
      </c>
      <c r="V3422" s="9" t="s">
        <v>3132</v>
      </c>
      <c r="W3422">
        <v>56</v>
      </c>
      <c r="X3422" s="9" t="s">
        <v>3129</v>
      </c>
      <c r="Z3422">
        <v>12</v>
      </c>
      <c r="AD3422" t="s">
        <v>1165</v>
      </c>
      <c r="AF3422" t="s">
        <v>1165</v>
      </c>
      <c r="AI3422" s="21" t="s">
        <v>1165</v>
      </c>
      <c r="AJ3422" s="21" t="s">
        <v>1148</v>
      </c>
      <c r="AK3422">
        <v>14</v>
      </c>
      <c r="AN3422" s="21">
        <v>4</v>
      </c>
      <c r="AO3422" s="21">
        <v>25</v>
      </c>
      <c r="AP3422">
        <v>28</v>
      </c>
      <c r="AQ3422" s="22" t="s">
        <v>1283</v>
      </c>
      <c r="AR3422" s="21" t="s">
        <v>3130</v>
      </c>
    </row>
    <row r="3423" spans="1:44" x14ac:dyDescent="0.2">
      <c r="A3423" s="21" t="s">
        <v>1775</v>
      </c>
      <c r="B3423" s="21" t="s">
        <v>1146</v>
      </c>
      <c r="C3423" s="21" t="s">
        <v>1149</v>
      </c>
      <c r="D3423" s="21" t="s">
        <v>1774</v>
      </c>
      <c r="E3423" s="21" t="s">
        <v>3144</v>
      </c>
      <c r="G3423" s="21" t="s">
        <v>1165</v>
      </c>
      <c r="H3423" s="21" t="s">
        <v>1165</v>
      </c>
      <c r="I3423" s="21" t="s">
        <v>3146</v>
      </c>
      <c r="L3423">
        <v>1750</v>
      </c>
      <c r="M3423" s="21" t="s">
        <v>3034</v>
      </c>
      <c r="O3423">
        <v>1988</v>
      </c>
      <c r="S3423" s="9" t="s">
        <v>3128</v>
      </c>
      <c r="T3423" t="s">
        <v>3127</v>
      </c>
      <c r="U3423" s="21" t="s">
        <v>1218</v>
      </c>
      <c r="V3423" s="9" t="s">
        <v>3132</v>
      </c>
      <c r="W3423">
        <f>7*12</f>
        <v>84</v>
      </c>
      <c r="X3423" s="9" t="s">
        <v>3129</v>
      </c>
      <c r="Z3423">
        <v>12</v>
      </c>
      <c r="AD3423" t="s">
        <v>1165</v>
      </c>
      <c r="AF3423" t="s">
        <v>1165</v>
      </c>
      <c r="AI3423" s="21" t="s">
        <v>1165</v>
      </c>
      <c r="AJ3423" s="21" t="s">
        <v>1148</v>
      </c>
      <c r="AK3423">
        <v>52</v>
      </c>
      <c r="AN3423" s="21">
        <v>4</v>
      </c>
      <c r="AO3423" s="21">
        <v>25</v>
      </c>
      <c r="AP3423">
        <v>28</v>
      </c>
      <c r="AQ3423" s="22" t="s">
        <v>1283</v>
      </c>
      <c r="AR3423" s="21" t="s">
        <v>3130</v>
      </c>
    </row>
    <row r="3424" spans="1:44" x14ac:dyDescent="0.2">
      <c r="A3424" s="21" t="s">
        <v>1775</v>
      </c>
      <c r="B3424" s="21" t="s">
        <v>1146</v>
      </c>
      <c r="C3424" s="21" t="s">
        <v>1149</v>
      </c>
      <c r="D3424" s="21" t="s">
        <v>1774</v>
      </c>
      <c r="E3424" s="21" t="s">
        <v>3144</v>
      </c>
      <c r="G3424" s="21" t="s">
        <v>1165</v>
      </c>
      <c r="H3424" s="21" t="s">
        <v>1165</v>
      </c>
      <c r="I3424" s="21" t="s">
        <v>3146</v>
      </c>
      <c r="L3424">
        <v>1750</v>
      </c>
      <c r="M3424" s="21" t="s">
        <v>3034</v>
      </c>
      <c r="O3424">
        <v>1988</v>
      </c>
      <c r="S3424" s="9" t="s">
        <v>3128</v>
      </c>
      <c r="T3424" t="s">
        <v>3127</v>
      </c>
      <c r="U3424" s="21" t="s">
        <v>1218</v>
      </c>
      <c r="V3424" s="9" t="s">
        <v>3132</v>
      </c>
      <c r="W3424">
        <f>7*16</f>
        <v>112</v>
      </c>
      <c r="X3424" s="9" t="s">
        <v>3129</v>
      </c>
      <c r="Z3424">
        <v>12</v>
      </c>
      <c r="AD3424" t="s">
        <v>1165</v>
      </c>
      <c r="AF3424" t="s">
        <v>1165</v>
      </c>
      <c r="AI3424" s="21" t="s">
        <v>1165</v>
      </c>
      <c r="AJ3424" s="21" t="s">
        <v>1148</v>
      </c>
      <c r="AK3424">
        <v>75</v>
      </c>
      <c r="AN3424" s="21">
        <v>4</v>
      </c>
      <c r="AO3424" s="21">
        <v>25</v>
      </c>
      <c r="AP3424">
        <v>28</v>
      </c>
      <c r="AQ3424" s="22" t="s">
        <v>1283</v>
      </c>
      <c r="AR3424" s="21" t="s">
        <v>3130</v>
      </c>
    </row>
    <row r="3425" spans="1:44" x14ac:dyDescent="0.2">
      <c r="A3425" s="21" t="s">
        <v>1775</v>
      </c>
      <c r="B3425" s="21" t="s">
        <v>1146</v>
      </c>
      <c r="C3425" s="21" t="s">
        <v>1149</v>
      </c>
      <c r="D3425" s="21" t="s">
        <v>1774</v>
      </c>
      <c r="E3425" s="21" t="s">
        <v>3144</v>
      </c>
      <c r="G3425" s="21" t="s">
        <v>1165</v>
      </c>
      <c r="H3425" s="21" t="s">
        <v>1165</v>
      </c>
      <c r="I3425" s="21" t="s">
        <v>3146</v>
      </c>
      <c r="L3425">
        <v>1750</v>
      </c>
      <c r="M3425" s="21" t="s">
        <v>3034</v>
      </c>
      <c r="O3425">
        <v>1988</v>
      </c>
      <c r="S3425" s="9" t="s">
        <v>3128</v>
      </c>
      <c r="T3425" t="s">
        <v>3127</v>
      </c>
      <c r="U3425" s="21" t="s">
        <v>1218</v>
      </c>
      <c r="V3425" s="9" t="s">
        <v>3132</v>
      </c>
      <c r="W3425">
        <f>7*24</f>
        <v>168</v>
      </c>
      <c r="X3425" s="9" t="s">
        <v>3129</v>
      </c>
      <c r="Z3425">
        <v>12</v>
      </c>
      <c r="AD3425" t="s">
        <v>1165</v>
      </c>
      <c r="AF3425" t="s">
        <v>1165</v>
      </c>
      <c r="AI3425" s="21" t="s">
        <v>1165</v>
      </c>
      <c r="AJ3425" s="21" t="s">
        <v>1148</v>
      </c>
      <c r="AK3425">
        <v>78</v>
      </c>
      <c r="AN3425" s="21">
        <v>4</v>
      </c>
      <c r="AO3425" s="21">
        <v>25</v>
      </c>
      <c r="AP3425">
        <v>28</v>
      </c>
      <c r="AQ3425" s="22" t="s">
        <v>1283</v>
      </c>
      <c r="AR3425" s="21" t="s">
        <v>3130</v>
      </c>
    </row>
    <row r="3426" spans="1:44" x14ac:dyDescent="0.2">
      <c r="A3426" s="21" t="s">
        <v>1775</v>
      </c>
      <c r="B3426" s="21" t="s">
        <v>1146</v>
      </c>
      <c r="C3426" s="21" t="s">
        <v>1149</v>
      </c>
      <c r="D3426" s="21" t="s">
        <v>1774</v>
      </c>
      <c r="E3426" s="21" t="s">
        <v>3144</v>
      </c>
      <c r="G3426" s="21" t="s">
        <v>1165</v>
      </c>
      <c r="H3426" s="21" t="s">
        <v>1165</v>
      </c>
      <c r="I3426" s="21" t="s">
        <v>3146</v>
      </c>
      <c r="L3426">
        <v>1750</v>
      </c>
      <c r="M3426" s="21" t="s">
        <v>3034</v>
      </c>
      <c r="O3426">
        <v>1988</v>
      </c>
      <c r="S3426" s="9" t="s">
        <v>3128</v>
      </c>
      <c r="T3426" t="s">
        <v>3127</v>
      </c>
      <c r="U3426" s="21" t="s">
        <v>1218</v>
      </c>
      <c r="V3426" s="9" t="s">
        <v>3132</v>
      </c>
      <c r="W3426">
        <f>7*12</f>
        <v>84</v>
      </c>
      <c r="X3426" s="9" t="s">
        <v>3129</v>
      </c>
      <c r="Y3426" t="s">
        <v>3133</v>
      </c>
      <c r="Z3426">
        <v>12</v>
      </c>
      <c r="AD3426" t="s">
        <v>1165</v>
      </c>
      <c r="AF3426" t="s">
        <v>1165</v>
      </c>
      <c r="AI3426" s="21" t="s">
        <v>1165</v>
      </c>
      <c r="AJ3426" s="21" t="s">
        <v>1148</v>
      </c>
      <c r="AK3426">
        <v>77</v>
      </c>
      <c r="AN3426" s="21">
        <v>4</v>
      </c>
      <c r="AO3426" s="21">
        <v>25</v>
      </c>
      <c r="AP3426">
        <v>28</v>
      </c>
      <c r="AQ3426" s="22" t="s">
        <v>1283</v>
      </c>
      <c r="AR3426" s="21" t="s">
        <v>3130</v>
      </c>
    </row>
    <row r="3427" spans="1:44" x14ac:dyDescent="0.2">
      <c r="A3427" s="21" t="s">
        <v>1775</v>
      </c>
      <c r="B3427" s="21" t="s">
        <v>1146</v>
      </c>
      <c r="C3427" s="21" t="s">
        <v>1149</v>
      </c>
      <c r="D3427" s="21" t="s">
        <v>1774</v>
      </c>
      <c r="E3427" s="21" t="s">
        <v>3144</v>
      </c>
      <c r="G3427" s="21" t="s">
        <v>1165</v>
      </c>
      <c r="H3427" s="21" t="s">
        <v>1165</v>
      </c>
      <c r="I3427" s="21" t="s">
        <v>3146</v>
      </c>
      <c r="L3427">
        <v>1750</v>
      </c>
      <c r="M3427" s="21" t="s">
        <v>3034</v>
      </c>
      <c r="O3427">
        <v>1988</v>
      </c>
      <c r="S3427" s="9" t="s">
        <v>3128</v>
      </c>
      <c r="T3427" t="s">
        <v>3127</v>
      </c>
      <c r="U3427" s="21" t="s">
        <v>1218</v>
      </c>
      <c r="V3427" s="9" t="s">
        <v>3132</v>
      </c>
      <c r="W3427">
        <f>7*12</f>
        <v>84</v>
      </c>
      <c r="X3427" s="9" t="s">
        <v>3129</v>
      </c>
      <c r="Y3427" t="s">
        <v>3134</v>
      </c>
      <c r="Z3427">
        <v>12</v>
      </c>
      <c r="AD3427" t="s">
        <v>1165</v>
      </c>
      <c r="AF3427" t="s">
        <v>1165</v>
      </c>
      <c r="AI3427" s="21" t="s">
        <v>1165</v>
      </c>
      <c r="AJ3427" s="21" t="s">
        <v>1148</v>
      </c>
      <c r="AK3427">
        <v>27</v>
      </c>
      <c r="AN3427" s="21">
        <v>4</v>
      </c>
      <c r="AO3427" s="21">
        <v>25</v>
      </c>
      <c r="AP3427">
        <v>28</v>
      </c>
      <c r="AQ3427" s="22" t="s">
        <v>1283</v>
      </c>
      <c r="AR3427" s="21" t="s">
        <v>3130</v>
      </c>
    </row>
    <row r="3428" spans="1:44" x14ac:dyDescent="0.2">
      <c r="A3428" s="21" t="s">
        <v>1775</v>
      </c>
      <c r="B3428" s="21" t="s">
        <v>1146</v>
      </c>
      <c r="C3428" s="21" t="s">
        <v>1149</v>
      </c>
      <c r="D3428" s="21" t="s">
        <v>1774</v>
      </c>
      <c r="E3428" s="21" t="s">
        <v>3144</v>
      </c>
      <c r="G3428" s="21" t="s">
        <v>1165</v>
      </c>
      <c r="H3428" s="21" t="s">
        <v>1165</v>
      </c>
      <c r="I3428" s="21" t="s">
        <v>3146</v>
      </c>
      <c r="L3428">
        <v>1750</v>
      </c>
      <c r="M3428" s="21" t="s">
        <v>3034</v>
      </c>
      <c r="O3428">
        <v>1988</v>
      </c>
      <c r="S3428" s="9" t="s">
        <v>3128</v>
      </c>
      <c r="T3428" t="s">
        <v>3127</v>
      </c>
      <c r="U3428" s="21" t="s">
        <v>1218</v>
      </c>
      <c r="V3428" s="9" t="s">
        <v>3132</v>
      </c>
      <c r="W3428">
        <f>7*12</f>
        <v>84</v>
      </c>
      <c r="X3428" s="9" t="s">
        <v>3129</v>
      </c>
      <c r="Y3428" t="s">
        <v>3135</v>
      </c>
      <c r="Z3428">
        <v>12</v>
      </c>
      <c r="AD3428" t="s">
        <v>1165</v>
      </c>
      <c r="AF3428" t="s">
        <v>1165</v>
      </c>
      <c r="AI3428" s="21" t="s">
        <v>1165</v>
      </c>
      <c r="AJ3428" s="21" t="s">
        <v>1148</v>
      </c>
      <c r="AK3428">
        <v>36</v>
      </c>
      <c r="AN3428" s="21">
        <v>4</v>
      </c>
      <c r="AO3428" s="21">
        <v>25</v>
      </c>
      <c r="AP3428">
        <v>28</v>
      </c>
      <c r="AQ3428" s="22" t="s">
        <v>1283</v>
      </c>
      <c r="AR3428" s="21" t="s">
        <v>3130</v>
      </c>
    </row>
    <row r="3429" spans="1:44" x14ac:dyDescent="0.2">
      <c r="A3429" s="21" t="s">
        <v>1775</v>
      </c>
      <c r="B3429" s="21" t="s">
        <v>1146</v>
      </c>
      <c r="C3429" s="21" t="s">
        <v>1149</v>
      </c>
      <c r="D3429" s="21" t="s">
        <v>1774</v>
      </c>
      <c r="E3429" s="21" t="s">
        <v>3144</v>
      </c>
      <c r="G3429" s="21" t="s">
        <v>1165</v>
      </c>
      <c r="H3429" s="21" t="s">
        <v>1165</v>
      </c>
      <c r="I3429" s="21" t="s">
        <v>3147</v>
      </c>
      <c r="L3429">
        <v>2520</v>
      </c>
      <c r="M3429" s="21" t="s">
        <v>3034</v>
      </c>
      <c r="O3429">
        <v>1988</v>
      </c>
      <c r="S3429" s="9" t="s">
        <v>3128</v>
      </c>
      <c r="T3429" t="s">
        <v>3127</v>
      </c>
      <c r="U3429" s="21" t="s">
        <v>1147</v>
      </c>
      <c r="X3429" s="9" t="s">
        <v>3129</v>
      </c>
      <c r="Z3429">
        <v>12</v>
      </c>
      <c r="AD3429" t="s">
        <v>1165</v>
      </c>
      <c r="AF3429" t="s">
        <v>1165</v>
      </c>
      <c r="AI3429" s="21" t="s">
        <v>1165</v>
      </c>
      <c r="AJ3429" s="21" t="s">
        <v>1148</v>
      </c>
      <c r="AK3429">
        <v>3</v>
      </c>
      <c r="AN3429" s="21">
        <v>4</v>
      </c>
      <c r="AO3429" s="21">
        <v>25</v>
      </c>
      <c r="AP3429">
        <v>28</v>
      </c>
      <c r="AQ3429" s="22" t="s">
        <v>1283</v>
      </c>
      <c r="AR3429" s="21" t="s">
        <v>3130</v>
      </c>
    </row>
    <row r="3430" spans="1:44" x14ac:dyDescent="0.2">
      <c r="A3430" s="21" t="s">
        <v>1775</v>
      </c>
      <c r="B3430" s="21" t="s">
        <v>1146</v>
      </c>
      <c r="C3430" s="21" t="s">
        <v>1149</v>
      </c>
      <c r="D3430" s="21" t="s">
        <v>1774</v>
      </c>
      <c r="E3430" s="21" t="s">
        <v>3144</v>
      </c>
      <c r="G3430" s="21" t="s">
        <v>1165</v>
      </c>
      <c r="H3430" s="21" t="s">
        <v>1165</v>
      </c>
      <c r="I3430" s="21" t="s">
        <v>3147</v>
      </c>
      <c r="L3430">
        <v>2520</v>
      </c>
      <c r="M3430" s="21" t="s">
        <v>3034</v>
      </c>
      <c r="O3430">
        <v>1988</v>
      </c>
      <c r="S3430" s="9" t="s">
        <v>3128</v>
      </c>
      <c r="T3430" t="s">
        <v>3127</v>
      </c>
      <c r="U3430" s="21" t="s">
        <v>1218</v>
      </c>
      <c r="V3430" s="9" t="s">
        <v>3132</v>
      </c>
      <c r="W3430">
        <f>4*7</f>
        <v>28</v>
      </c>
      <c r="X3430" s="9" t="s">
        <v>3129</v>
      </c>
      <c r="Z3430">
        <v>12</v>
      </c>
      <c r="AD3430" t="s">
        <v>1165</v>
      </c>
      <c r="AF3430" t="s">
        <v>1165</v>
      </c>
      <c r="AI3430" s="21" t="s">
        <v>1165</v>
      </c>
      <c r="AJ3430" s="21" t="s">
        <v>1148</v>
      </c>
      <c r="AK3430">
        <v>4</v>
      </c>
      <c r="AN3430" s="21">
        <v>4</v>
      </c>
      <c r="AO3430" s="21">
        <v>25</v>
      </c>
      <c r="AP3430">
        <v>28</v>
      </c>
      <c r="AQ3430" s="22" t="s">
        <v>1283</v>
      </c>
      <c r="AR3430" s="21" t="s">
        <v>3130</v>
      </c>
    </row>
    <row r="3431" spans="1:44" x14ac:dyDescent="0.2">
      <c r="A3431" s="21" t="s">
        <v>1775</v>
      </c>
      <c r="B3431" s="21" t="s">
        <v>1146</v>
      </c>
      <c r="C3431" s="21" t="s">
        <v>1149</v>
      </c>
      <c r="D3431" s="21" t="s">
        <v>1774</v>
      </c>
      <c r="E3431" s="21" t="s">
        <v>3144</v>
      </c>
      <c r="G3431" s="21" t="s">
        <v>1165</v>
      </c>
      <c r="H3431" s="21" t="s">
        <v>1165</v>
      </c>
      <c r="I3431" s="21" t="s">
        <v>3147</v>
      </c>
      <c r="L3431">
        <v>2520</v>
      </c>
      <c r="M3431" s="21" t="s">
        <v>3034</v>
      </c>
      <c r="O3431">
        <v>1988</v>
      </c>
      <c r="S3431" s="9" t="s">
        <v>3128</v>
      </c>
      <c r="T3431" t="s">
        <v>3127</v>
      </c>
      <c r="U3431" s="21" t="s">
        <v>1218</v>
      </c>
      <c r="V3431" s="9" t="s">
        <v>3132</v>
      </c>
      <c r="W3431">
        <v>56</v>
      </c>
      <c r="X3431" s="9" t="s">
        <v>3129</v>
      </c>
      <c r="Z3431">
        <v>12</v>
      </c>
      <c r="AD3431" t="s">
        <v>1165</v>
      </c>
      <c r="AF3431" t="s">
        <v>1165</v>
      </c>
      <c r="AI3431" s="21" t="s">
        <v>1165</v>
      </c>
      <c r="AJ3431" s="21" t="s">
        <v>1148</v>
      </c>
      <c r="AK3431">
        <v>21</v>
      </c>
      <c r="AN3431" s="21">
        <v>4</v>
      </c>
      <c r="AO3431" s="21">
        <v>25</v>
      </c>
      <c r="AP3431">
        <v>28</v>
      </c>
      <c r="AQ3431" s="22" t="s">
        <v>1283</v>
      </c>
      <c r="AR3431" s="21" t="s">
        <v>3130</v>
      </c>
    </row>
    <row r="3432" spans="1:44" x14ac:dyDescent="0.2">
      <c r="A3432" s="21" t="s">
        <v>1775</v>
      </c>
      <c r="B3432" s="21" t="s">
        <v>1146</v>
      </c>
      <c r="C3432" s="21" t="s">
        <v>1149</v>
      </c>
      <c r="D3432" s="21" t="s">
        <v>1774</v>
      </c>
      <c r="E3432" s="21" t="s">
        <v>3144</v>
      </c>
      <c r="G3432" s="21" t="s">
        <v>1165</v>
      </c>
      <c r="H3432" s="21" t="s">
        <v>1165</v>
      </c>
      <c r="I3432" s="21" t="s">
        <v>3147</v>
      </c>
      <c r="L3432">
        <v>2520</v>
      </c>
      <c r="M3432" s="21" t="s">
        <v>3034</v>
      </c>
      <c r="O3432">
        <v>1988</v>
      </c>
      <c r="S3432" s="9" t="s">
        <v>3128</v>
      </c>
      <c r="T3432" t="s">
        <v>3127</v>
      </c>
      <c r="U3432" s="21" t="s">
        <v>1218</v>
      </c>
      <c r="V3432" s="9" t="s">
        <v>3132</v>
      </c>
      <c r="W3432">
        <f>7*12</f>
        <v>84</v>
      </c>
      <c r="X3432" s="9" t="s">
        <v>3129</v>
      </c>
      <c r="Z3432">
        <v>12</v>
      </c>
      <c r="AD3432" t="s">
        <v>1165</v>
      </c>
      <c r="AF3432" t="s">
        <v>1165</v>
      </c>
      <c r="AI3432" s="21" t="s">
        <v>1165</v>
      </c>
      <c r="AJ3432" s="21" t="s">
        <v>1148</v>
      </c>
      <c r="AK3432">
        <v>80</v>
      </c>
      <c r="AN3432" s="21">
        <v>4</v>
      </c>
      <c r="AO3432" s="21">
        <v>25</v>
      </c>
      <c r="AP3432">
        <v>28</v>
      </c>
      <c r="AQ3432" s="22" t="s">
        <v>1283</v>
      </c>
      <c r="AR3432" s="21" t="s">
        <v>3130</v>
      </c>
    </row>
    <row r="3433" spans="1:44" x14ac:dyDescent="0.2">
      <c r="A3433" s="21" t="s">
        <v>1775</v>
      </c>
      <c r="B3433" s="21" t="s">
        <v>1146</v>
      </c>
      <c r="C3433" s="21" t="s">
        <v>1149</v>
      </c>
      <c r="D3433" s="21" t="s">
        <v>1774</v>
      </c>
      <c r="E3433" s="21" t="s">
        <v>3144</v>
      </c>
      <c r="G3433" s="21" t="s">
        <v>1165</v>
      </c>
      <c r="H3433" s="21" t="s">
        <v>1165</v>
      </c>
      <c r="I3433" s="21" t="s">
        <v>3147</v>
      </c>
      <c r="L3433">
        <v>2520</v>
      </c>
      <c r="M3433" s="21" t="s">
        <v>3034</v>
      </c>
      <c r="O3433">
        <v>1988</v>
      </c>
      <c r="S3433" s="9" t="s">
        <v>3128</v>
      </c>
      <c r="T3433" t="s">
        <v>3127</v>
      </c>
      <c r="U3433" s="21" t="s">
        <v>1218</v>
      </c>
      <c r="V3433" s="9" t="s">
        <v>3132</v>
      </c>
      <c r="W3433">
        <f>7*16</f>
        <v>112</v>
      </c>
      <c r="X3433" s="9" t="s">
        <v>3129</v>
      </c>
      <c r="Z3433">
        <v>12</v>
      </c>
      <c r="AD3433" t="s">
        <v>1165</v>
      </c>
      <c r="AF3433" t="s">
        <v>1165</v>
      </c>
      <c r="AI3433" s="21" t="s">
        <v>1165</v>
      </c>
      <c r="AJ3433" s="21" t="s">
        <v>1148</v>
      </c>
      <c r="AK3433">
        <v>92</v>
      </c>
      <c r="AN3433" s="21">
        <v>4</v>
      </c>
      <c r="AO3433" s="21">
        <v>25</v>
      </c>
      <c r="AP3433">
        <v>28</v>
      </c>
      <c r="AQ3433" s="22" t="s">
        <v>1283</v>
      </c>
      <c r="AR3433" s="21" t="s">
        <v>3130</v>
      </c>
    </row>
    <row r="3434" spans="1:44" x14ac:dyDescent="0.2">
      <c r="A3434" s="21" t="s">
        <v>1775</v>
      </c>
      <c r="B3434" s="21" t="s">
        <v>1146</v>
      </c>
      <c r="C3434" s="21" t="s">
        <v>1149</v>
      </c>
      <c r="D3434" s="21" t="s">
        <v>1774</v>
      </c>
      <c r="E3434" s="21" t="s">
        <v>3144</v>
      </c>
      <c r="G3434" s="21" t="s">
        <v>1165</v>
      </c>
      <c r="H3434" s="21" t="s">
        <v>1165</v>
      </c>
      <c r="I3434" s="21" t="s">
        <v>3147</v>
      </c>
      <c r="L3434">
        <v>2520</v>
      </c>
      <c r="M3434" s="21" t="s">
        <v>3034</v>
      </c>
      <c r="O3434">
        <v>1988</v>
      </c>
      <c r="S3434" s="9" t="s">
        <v>3128</v>
      </c>
      <c r="T3434" t="s">
        <v>3127</v>
      </c>
      <c r="U3434" s="21" t="s">
        <v>1218</v>
      </c>
      <c r="V3434" s="9" t="s">
        <v>3132</v>
      </c>
      <c r="W3434">
        <f>7*24</f>
        <v>168</v>
      </c>
      <c r="X3434" s="9" t="s">
        <v>3129</v>
      </c>
      <c r="Z3434">
        <v>12</v>
      </c>
      <c r="AD3434" t="s">
        <v>1165</v>
      </c>
      <c r="AF3434" t="s">
        <v>1165</v>
      </c>
      <c r="AI3434" s="21" t="s">
        <v>1165</v>
      </c>
      <c r="AJ3434" s="21" t="s">
        <v>1148</v>
      </c>
      <c r="AK3434">
        <v>78</v>
      </c>
      <c r="AN3434" s="21">
        <v>4</v>
      </c>
      <c r="AO3434" s="21">
        <v>25</v>
      </c>
      <c r="AP3434">
        <v>28</v>
      </c>
      <c r="AQ3434" s="22" t="s">
        <v>1283</v>
      </c>
      <c r="AR3434" s="21" t="s">
        <v>3130</v>
      </c>
    </row>
    <row r="3435" spans="1:44" x14ac:dyDescent="0.2">
      <c r="A3435" s="21" t="s">
        <v>1775</v>
      </c>
      <c r="B3435" s="21" t="s">
        <v>1146</v>
      </c>
      <c r="C3435" s="21" t="s">
        <v>1149</v>
      </c>
      <c r="D3435" s="21" t="s">
        <v>1774</v>
      </c>
      <c r="E3435" s="21" t="s">
        <v>3144</v>
      </c>
      <c r="G3435" s="21" t="s">
        <v>1165</v>
      </c>
      <c r="H3435" s="21" t="s">
        <v>1165</v>
      </c>
      <c r="I3435" s="21" t="s">
        <v>3147</v>
      </c>
      <c r="L3435">
        <v>2520</v>
      </c>
      <c r="M3435" s="21" t="s">
        <v>3034</v>
      </c>
      <c r="O3435">
        <v>1988</v>
      </c>
      <c r="S3435" s="9" t="s">
        <v>3128</v>
      </c>
      <c r="T3435" t="s">
        <v>3127</v>
      </c>
      <c r="U3435" s="21" t="s">
        <v>1218</v>
      </c>
      <c r="V3435" s="9" t="s">
        <v>3132</v>
      </c>
      <c r="W3435">
        <f>7*12</f>
        <v>84</v>
      </c>
      <c r="X3435" s="9" t="s">
        <v>3129</v>
      </c>
      <c r="Y3435" t="s">
        <v>3133</v>
      </c>
      <c r="Z3435">
        <v>12</v>
      </c>
      <c r="AD3435" t="s">
        <v>1165</v>
      </c>
      <c r="AF3435" t="s">
        <v>1165</v>
      </c>
      <c r="AI3435" s="21" t="s">
        <v>1165</v>
      </c>
      <c r="AJ3435" s="21" t="s">
        <v>1148</v>
      </c>
      <c r="AK3435">
        <v>69</v>
      </c>
      <c r="AN3435" s="21">
        <v>4</v>
      </c>
      <c r="AO3435" s="21">
        <v>25</v>
      </c>
      <c r="AP3435">
        <v>28</v>
      </c>
      <c r="AQ3435" s="22" t="s">
        <v>1283</v>
      </c>
      <c r="AR3435" s="21" t="s">
        <v>3130</v>
      </c>
    </row>
    <row r="3436" spans="1:44" x14ac:dyDescent="0.2">
      <c r="A3436" s="21" t="s">
        <v>1775</v>
      </c>
      <c r="B3436" s="21" t="s">
        <v>1146</v>
      </c>
      <c r="C3436" s="21" t="s">
        <v>1149</v>
      </c>
      <c r="D3436" s="21" t="s">
        <v>1774</v>
      </c>
      <c r="E3436" s="21" t="s">
        <v>3144</v>
      </c>
      <c r="G3436" s="21" t="s">
        <v>1165</v>
      </c>
      <c r="H3436" s="21" t="s">
        <v>1165</v>
      </c>
      <c r="I3436" s="21" t="s">
        <v>3147</v>
      </c>
      <c r="L3436">
        <v>2520</v>
      </c>
      <c r="M3436" s="21" t="s">
        <v>3034</v>
      </c>
      <c r="O3436">
        <v>1988</v>
      </c>
      <c r="S3436" s="9" t="s">
        <v>3128</v>
      </c>
      <c r="T3436" t="s">
        <v>3127</v>
      </c>
      <c r="U3436" s="21" t="s">
        <v>1218</v>
      </c>
      <c r="V3436" s="9" t="s">
        <v>3132</v>
      </c>
      <c r="W3436">
        <f>7*12</f>
        <v>84</v>
      </c>
      <c r="X3436" s="9" t="s">
        <v>3129</v>
      </c>
      <c r="Y3436" t="s">
        <v>3134</v>
      </c>
      <c r="Z3436">
        <v>12</v>
      </c>
      <c r="AD3436" t="s">
        <v>1165</v>
      </c>
      <c r="AF3436" t="s">
        <v>1165</v>
      </c>
      <c r="AI3436" s="21" t="s">
        <v>1165</v>
      </c>
      <c r="AJ3436" s="21" t="s">
        <v>1148</v>
      </c>
      <c r="AK3436">
        <v>55</v>
      </c>
      <c r="AN3436" s="21">
        <v>4</v>
      </c>
      <c r="AO3436" s="21">
        <v>25</v>
      </c>
      <c r="AP3436">
        <v>28</v>
      </c>
      <c r="AQ3436" s="22" t="s">
        <v>1283</v>
      </c>
      <c r="AR3436" s="21" t="s">
        <v>3130</v>
      </c>
    </row>
    <row r="3437" spans="1:44" x14ac:dyDescent="0.2">
      <c r="A3437" s="21" t="s">
        <v>1775</v>
      </c>
      <c r="B3437" s="21" t="s">
        <v>1146</v>
      </c>
      <c r="C3437" s="21" t="s">
        <v>1149</v>
      </c>
      <c r="D3437" s="21" t="s">
        <v>1774</v>
      </c>
      <c r="E3437" s="21" t="s">
        <v>3144</v>
      </c>
      <c r="G3437" s="21" t="s">
        <v>1165</v>
      </c>
      <c r="H3437" s="21" t="s">
        <v>1165</v>
      </c>
      <c r="I3437" s="21" t="s">
        <v>3147</v>
      </c>
      <c r="L3437">
        <v>2520</v>
      </c>
      <c r="M3437" s="21" t="s">
        <v>3034</v>
      </c>
      <c r="O3437">
        <v>1988</v>
      </c>
      <c r="S3437" s="9" t="s">
        <v>3128</v>
      </c>
      <c r="T3437" t="s">
        <v>3127</v>
      </c>
      <c r="U3437" s="21" t="s">
        <v>1218</v>
      </c>
      <c r="V3437" s="9" t="s">
        <v>3132</v>
      </c>
      <c r="W3437">
        <f>7*12</f>
        <v>84</v>
      </c>
      <c r="X3437" s="9" t="s">
        <v>3129</v>
      </c>
      <c r="Y3437" t="s">
        <v>3135</v>
      </c>
      <c r="Z3437">
        <v>12</v>
      </c>
      <c r="AD3437" t="s">
        <v>1165</v>
      </c>
      <c r="AF3437" t="s">
        <v>1165</v>
      </c>
      <c r="AI3437" s="21" t="s">
        <v>1165</v>
      </c>
      <c r="AJ3437" s="21" t="s">
        <v>1148</v>
      </c>
      <c r="AK3437">
        <v>50</v>
      </c>
      <c r="AN3437" s="21">
        <v>4</v>
      </c>
      <c r="AO3437" s="21">
        <v>25</v>
      </c>
      <c r="AP3437">
        <v>28</v>
      </c>
      <c r="AQ3437" s="22" t="s">
        <v>1283</v>
      </c>
      <c r="AR3437" s="21" t="s">
        <v>3130</v>
      </c>
    </row>
    <row r="3438" spans="1:44" x14ac:dyDescent="0.2">
      <c r="A3438" s="21" t="s">
        <v>1775</v>
      </c>
      <c r="B3438" s="21" t="s">
        <v>1146</v>
      </c>
      <c r="C3438" s="21" t="s">
        <v>1149</v>
      </c>
      <c r="D3438" s="21" t="s">
        <v>1774</v>
      </c>
      <c r="E3438" s="21" t="s">
        <v>3148</v>
      </c>
      <c r="G3438" s="21" t="s">
        <v>1165</v>
      </c>
      <c r="H3438" s="21" t="s">
        <v>1165</v>
      </c>
      <c r="I3438" s="21" t="s">
        <v>3149</v>
      </c>
      <c r="L3438">
        <v>1720</v>
      </c>
      <c r="M3438" s="21" t="s">
        <v>3034</v>
      </c>
      <c r="O3438">
        <v>1988</v>
      </c>
      <c r="S3438" s="9" t="s">
        <v>3128</v>
      </c>
      <c r="T3438" t="s">
        <v>3127</v>
      </c>
      <c r="U3438" s="21" t="s">
        <v>1147</v>
      </c>
      <c r="X3438" s="9" t="s">
        <v>3129</v>
      </c>
      <c r="Z3438">
        <v>12</v>
      </c>
      <c r="AD3438" t="s">
        <v>1165</v>
      </c>
      <c r="AF3438" t="s">
        <v>1165</v>
      </c>
      <c r="AI3438" s="21" t="s">
        <v>1165</v>
      </c>
      <c r="AJ3438" s="21" t="s">
        <v>1148</v>
      </c>
      <c r="AK3438">
        <v>0</v>
      </c>
      <c r="AN3438" s="21">
        <v>4</v>
      </c>
      <c r="AO3438" s="21">
        <v>25</v>
      </c>
      <c r="AP3438">
        <v>28</v>
      </c>
      <c r="AQ3438" s="22" t="s">
        <v>1283</v>
      </c>
      <c r="AR3438" s="21" t="s">
        <v>3130</v>
      </c>
    </row>
    <row r="3439" spans="1:44" x14ac:dyDescent="0.2">
      <c r="A3439" s="21" t="s">
        <v>1775</v>
      </c>
      <c r="B3439" s="21" t="s">
        <v>1146</v>
      </c>
      <c r="C3439" s="21" t="s">
        <v>1149</v>
      </c>
      <c r="D3439" s="21" t="s">
        <v>1774</v>
      </c>
      <c r="E3439" s="21" t="s">
        <v>3148</v>
      </c>
      <c r="G3439" s="21" t="s">
        <v>1165</v>
      </c>
      <c r="H3439" s="21" t="s">
        <v>1165</v>
      </c>
      <c r="I3439" s="21" t="s">
        <v>3149</v>
      </c>
      <c r="L3439">
        <v>1720</v>
      </c>
      <c r="M3439" s="21" t="s">
        <v>3034</v>
      </c>
      <c r="O3439">
        <v>1988</v>
      </c>
      <c r="S3439" s="9" t="s">
        <v>3128</v>
      </c>
      <c r="T3439" t="s">
        <v>3127</v>
      </c>
      <c r="U3439" s="21" t="s">
        <v>1218</v>
      </c>
      <c r="V3439" s="9" t="s">
        <v>3132</v>
      </c>
      <c r="W3439">
        <f>4*7</f>
        <v>28</v>
      </c>
      <c r="X3439" s="9" t="s">
        <v>3129</v>
      </c>
      <c r="Z3439">
        <v>12</v>
      </c>
      <c r="AD3439" t="s">
        <v>1165</v>
      </c>
      <c r="AF3439" t="s">
        <v>1165</v>
      </c>
      <c r="AI3439" s="21" t="s">
        <v>1165</v>
      </c>
      <c r="AJ3439" s="21" t="s">
        <v>1148</v>
      </c>
      <c r="AK3439">
        <v>3</v>
      </c>
      <c r="AN3439" s="21">
        <v>4</v>
      </c>
      <c r="AO3439" s="21">
        <v>25</v>
      </c>
      <c r="AP3439">
        <v>28</v>
      </c>
      <c r="AQ3439" s="22" t="s">
        <v>1283</v>
      </c>
      <c r="AR3439" s="21" t="s">
        <v>3130</v>
      </c>
    </row>
    <row r="3440" spans="1:44" x14ac:dyDescent="0.2">
      <c r="A3440" s="21" t="s">
        <v>1775</v>
      </c>
      <c r="B3440" s="21" t="s">
        <v>1146</v>
      </c>
      <c r="C3440" s="21" t="s">
        <v>1149</v>
      </c>
      <c r="D3440" s="21" t="s">
        <v>1774</v>
      </c>
      <c r="E3440" s="21" t="s">
        <v>3148</v>
      </c>
      <c r="G3440" s="21" t="s">
        <v>1165</v>
      </c>
      <c r="H3440" s="21" t="s">
        <v>1165</v>
      </c>
      <c r="I3440" s="21" t="s">
        <v>3149</v>
      </c>
      <c r="L3440">
        <v>1720</v>
      </c>
      <c r="M3440" s="21" t="s">
        <v>3034</v>
      </c>
      <c r="O3440">
        <v>1988</v>
      </c>
      <c r="S3440" s="9" t="s">
        <v>3128</v>
      </c>
      <c r="T3440" t="s">
        <v>3127</v>
      </c>
      <c r="U3440" s="21" t="s">
        <v>1218</v>
      </c>
      <c r="V3440" s="9" t="s">
        <v>3132</v>
      </c>
      <c r="W3440">
        <v>56</v>
      </c>
      <c r="X3440" s="9" t="s">
        <v>3129</v>
      </c>
      <c r="Z3440">
        <v>12</v>
      </c>
      <c r="AD3440" t="s">
        <v>1165</v>
      </c>
      <c r="AF3440" t="s">
        <v>1165</v>
      </c>
      <c r="AI3440" s="21" t="s">
        <v>1165</v>
      </c>
      <c r="AJ3440" s="21" t="s">
        <v>1148</v>
      </c>
      <c r="AK3440">
        <v>4</v>
      </c>
      <c r="AN3440" s="21">
        <v>4</v>
      </c>
      <c r="AO3440" s="21">
        <v>25</v>
      </c>
      <c r="AP3440">
        <v>28</v>
      </c>
      <c r="AQ3440" s="22" t="s">
        <v>1283</v>
      </c>
      <c r="AR3440" s="21" t="s">
        <v>3130</v>
      </c>
    </row>
    <row r="3441" spans="1:44" x14ac:dyDescent="0.2">
      <c r="A3441" s="21" t="s">
        <v>1775</v>
      </c>
      <c r="B3441" s="21" t="s">
        <v>1146</v>
      </c>
      <c r="C3441" s="21" t="s">
        <v>1149</v>
      </c>
      <c r="D3441" s="21" t="s">
        <v>1774</v>
      </c>
      <c r="E3441" s="21" t="s">
        <v>3148</v>
      </c>
      <c r="G3441" s="21" t="s">
        <v>1165</v>
      </c>
      <c r="H3441" s="21" t="s">
        <v>1165</v>
      </c>
      <c r="I3441" s="21" t="s">
        <v>3149</v>
      </c>
      <c r="L3441">
        <v>1720</v>
      </c>
      <c r="M3441" s="21" t="s">
        <v>3034</v>
      </c>
      <c r="O3441">
        <v>1988</v>
      </c>
      <c r="S3441" s="9" t="s">
        <v>3128</v>
      </c>
      <c r="T3441" t="s">
        <v>3127</v>
      </c>
      <c r="U3441" s="21" t="s">
        <v>1218</v>
      </c>
      <c r="V3441" s="9" t="s">
        <v>3132</v>
      </c>
      <c r="W3441">
        <f>7*12</f>
        <v>84</v>
      </c>
      <c r="X3441" s="9" t="s">
        <v>3129</v>
      </c>
      <c r="Z3441">
        <v>12</v>
      </c>
      <c r="AD3441" t="s">
        <v>1165</v>
      </c>
      <c r="AF3441" t="s">
        <v>1165</v>
      </c>
      <c r="AI3441" s="21" t="s">
        <v>1165</v>
      </c>
      <c r="AJ3441" s="21" t="s">
        <v>1148</v>
      </c>
      <c r="AK3441">
        <v>29</v>
      </c>
      <c r="AN3441" s="21">
        <v>4</v>
      </c>
      <c r="AO3441" s="21">
        <v>25</v>
      </c>
      <c r="AP3441">
        <v>28</v>
      </c>
      <c r="AQ3441" s="22" t="s">
        <v>1283</v>
      </c>
      <c r="AR3441" s="21" t="s">
        <v>3130</v>
      </c>
    </row>
    <row r="3442" spans="1:44" x14ac:dyDescent="0.2">
      <c r="A3442" s="21" t="s">
        <v>1775</v>
      </c>
      <c r="B3442" s="21" t="s">
        <v>1146</v>
      </c>
      <c r="C3442" s="21" t="s">
        <v>1149</v>
      </c>
      <c r="D3442" s="21" t="s">
        <v>1774</v>
      </c>
      <c r="E3442" s="21" t="s">
        <v>3148</v>
      </c>
      <c r="G3442" s="21" t="s">
        <v>1165</v>
      </c>
      <c r="H3442" s="21" t="s">
        <v>1165</v>
      </c>
      <c r="I3442" s="21" t="s">
        <v>3149</v>
      </c>
      <c r="L3442">
        <v>1720</v>
      </c>
      <c r="M3442" s="21" t="s">
        <v>3034</v>
      </c>
      <c r="O3442">
        <v>1988</v>
      </c>
      <c r="S3442" s="9" t="s">
        <v>3128</v>
      </c>
      <c r="T3442" t="s">
        <v>3127</v>
      </c>
      <c r="U3442" s="21" t="s">
        <v>1218</v>
      </c>
      <c r="V3442" s="9" t="s">
        <v>3132</v>
      </c>
      <c r="W3442">
        <f>7*16</f>
        <v>112</v>
      </c>
      <c r="X3442" s="9" t="s">
        <v>3129</v>
      </c>
      <c r="Z3442">
        <v>12</v>
      </c>
      <c r="AD3442" t="s">
        <v>1165</v>
      </c>
      <c r="AF3442" t="s">
        <v>1165</v>
      </c>
      <c r="AI3442" s="21" t="s">
        <v>1165</v>
      </c>
      <c r="AJ3442" s="21" t="s">
        <v>1148</v>
      </c>
      <c r="AK3442">
        <v>64</v>
      </c>
      <c r="AN3442" s="21">
        <v>4</v>
      </c>
      <c r="AO3442" s="21">
        <v>25</v>
      </c>
      <c r="AP3442">
        <v>28</v>
      </c>
      <c r="AQ3442" s="22" t="s">
        <v>1283</v>
      </c>
      <c r="AR3442" s="21" t="s">
        <v>3130</v>
      </c>
    </row>
    <row r="3443" spans="1:44" x14ac:dyDescent="0.2">
      <c r="A3443" s="21" t="s">
        <v>1775</v>
      </c>
      <c r="B3443" s="21" t="s">
        <v>1146</v>
      </c>
      <c r="C3443" s="21" t="s">
        <v>1149</v>
      </c>
      <c r="D3443" s="21" t="s">
        <v>1774</v>
      </c>
      <c r="E3443" s="21" t="s">
        <v>3148</v>
      </c>
      <c r="G3443" s="21" t="s">
        <v>1165</v>
      </c>
      <c r="H3443" s="21" t="s">
        <v>1165</v>
      </c>
      <c r="I3443" s="21" t="s">
        <v>3149</v>
      </c>
      <c r="L3443">
        <v>1720</v>
      </c>
      <c r="M3443" s="21" t="s">
        <v>3034</v>
      </c>
      <c r="O3443">
        <v>1988</v>
      </c>
      <c r="S3443" s="9" t="s">
        <v>3128</v>
      </c>
      <c r="T3443" t="s">
        <v>3127</v>
      </c>
      <c r="U3443" s="21" t="s">
        <v>1218</v>
      </c>
      <c r="V3443" s="9" t="s">
        <v>3132</v>
      </c>
      <c r="W3443">
        <f>7*24</f>
        <v>168</v>
      </c>
      <c r="X3443" s="9" t="s">
        <v>3129</v>
      </c>
      <c r="Z3443">
        <v>12</v>
      </c>
      <c r="AD3443" t="s">
        <v>1165</v>
      </c>
      <c r="AF3443" t="s">
        <v>1165</v>
      </c>
      <c r="AI3443" s="21" t="s">
        <v>1165</v>
      </c>
      <c r="AJ3443" s="21" t="s">
        <v>1148</v>
      </c>
      <c r="AK3443">
        <v>76</v>
      </c>
      <c r="AN3443" s="21">
        <v>4</v>
      </c>
      <c r="AO3443" s="21">
        <v>25</v>
      </c>
      <c r="AP3443">
        <v>28</v>
      </c>
      <c r="AQ3443" s="22" t="s">
        <v>1283</v>
      </c>
      <c r="AR3443" s="21" t="s">
        <v>3130</v>
      </c>
    </row>
    <row r="3444" spans="1:44" x14ac:dyDescent="0.2">
      <c r="A3444" s="21" t="s">
        <v>1775</v>
      </c>
      <c r="B3444" s="21" t="s">
        <v>1146</v>
      </c>
      <c r="C3444" s="21" t="s">
        <v>1149</v>
      </c>
      <c r="D3444" s="21" t="s">
        <v>1774</v>
      </c>
      <c r="E3444" s="21" t="s">
        <v>3148</v>
      </c>
      <c r="G3444" s="21" t="s">
        <v>1165</v>
      </c>
      <c r="H3444" s="21" t="s">
        <v>1165</v>
      </c>
      <c r="I3444" s="21" t="s">
        <v>3149</v>
      </c>
      <c r="L3444">
        <v>1720</v>
      </c>
      <c r="M3444" s="21" t="s">
        <v>3034</v>
      </c>
      <c r="O3444">
        <v>1988</v>
      </c>
      <c r="S3444" s="9" t="s">
        <v>3128</v>
      </c>
      <c r="T3444" t="s">
        <v>3127</v>
      </c>
      <c r="U3444" s="21" t="s">
        <v>1218</v>
      </c>
      <c r="V3444" s="9" t="s">
        <v>3132</v>
      </c>
      <c r="W3444">
        <f>7*12</f>
        <v>84</v>
      </c>
      <c r="X3444" s="9" t="s">
        <v>3129</v>
      </c>
      <c r="Y3444" t="s">
        <v>3133</v>
      </c>
      <c r="Z3444">
        <v>12</v>
      </c>
      <c r="AD3444" t="s">
        <v>1165</v>
      </c>
      <c r="AF3444" t="s">
        <v>1165</v>
      </c>
      <c r="AI3444" s="21" t="s">
        <v>1165</v>
      </c>
      <c r="AJ3444" s="21" t="s">
        <v>1148</v>
      </c>
      <c r="AK3444">
        <v>23</v>
      </c>
      <c r="AN3444" s="21">
        <v>4</v>
      </c>
      <c r="AO3444" s="21">
        <v>25</v>
      </c>
      <c r="AP3444">
        <v>28</v>
      </c>
      <c r="AQ3444" s="22" t="s">
        <v>1283</v>
      </c>
      <c r="AR3444" s="21" t="s">
        <v>3130</v>
      </c>
    </row>
    <row r="3445" spans="1:44" x14ac:dyDescent="0.2">
      <c r="A3445" s="21" t="s">
        <v>1775</v>
      </c>
      <c r="B3445" s="21" t="s">
        <v>1146</v>
      </c>
      <c r="C3445" s="21" t="s">
        <v>1149</v>
      </c>
      <c r="D3445" s="21" t="s">
        <v>1774</v>
      </c>
      <c r="E3445" s="21" t="s">
        <v>3148</v>
      </c>
      <c r="G3445" s="21" t="s">
        <v>1165</v>
      </c>
      <c r="H3445" s="21" t="s">
        <v>1165</v>
      </c>
      <c r="I3445" s="21" t="s">
        <v>3149</v>
      </c>
      <c r="L3445">
        <v>1720</v>
      </c>
      <c r="M3445" s="21" t="s">
        <v>3034</v>
      </c>
      <c r="O3445">
        <v>1988</v>
      </c>
      <c r="S3445" s="9" t="s">
        <v>3128</v>
      </c>
      <c r="T3445" t="s">
        <v>3127</v>
      </c>
      <c r="U3445" s="21" t="s">
        <v>1218</v>
      </c>
      <c r="V3445" s="9" t="s">
        <v>3132</v>
      </c>
      <c r="W3445">
        <f>7*12</f>
        <v>84</v>
      </c>
      <c r="X3445" s="9" t="s">
        <v>3129</v>
      </c>
      <c r="Y3445" t="s">
        <v>3134</v>
      </c>
      <c r="Z3445">
        <v>12</v>
      </c>
      <c r="AD3445" t="s">
        <v>1165</v>
      </c>
      <c r="AF3445" t="s">
        <v>1165</v>
      </c>
      <c r="AI3445" s="21" t="s">
        <v>1165</v>
      </c>
      <c r="AJ3445" s="21" t="s">
        <v>1148</v>
      </c>
      <c r="AK3445">
        <v>1</v>
      </c>
      <c r="AN3445" s="21">
        <v>4</v>
      </c>
      <c r="AO3445" s="21">
        <v>25</v>
      </c>
      <c r="AP3445">
        <v>28</v>
      </c>
      <c r="AQ3445" s="22" t="s">
        <v>1283</v>
      </c>
      <c r="AR3445" s="21" t="s">
        <v>3130</v>
      </c>
    </row>
    <row r="3446" spans="1:44" x14ac:dyDescent="0.2">
      <c r="A3446" s="21" t="s">
        <v>1775</v>
      </c>
      <c r="B3446" s="21" t="s">
        <v>1146</v>
      </c>
      <c r="C3446" s="21" t="s">
        <v>1149</v>
      </c>
      <c r="D3446" s="21" t="s">
        <v>1774</v>
      </c>
      <c r="E3446" s="21" t="s">
        <v>3148</v>
      </c>
      <c r="G3446" s="21" t="s">
        <v>1165</v>
      </c>
      <c r="H3446" s="21" t="s">
        <v>1165</v>
      </c>
      <c r="I3446" s="21" t="s">
        <v>3149</v>
      </c>
      <c r="L3446">
        <v>1720</v>
      </c>
      <c r="M3446" s="21" t="s">
        <v>3034</v>
      </c>
      <c r="O3446">
        <v>1988</v>
      </c>
      <c r="S3446" s="9" t="s">
        <v>3128</v>
      </c>
      <c r="T3446" t="s">
        <v>3127</v>
      </c>
      <c r="U3446" s="21" t="s">
        <v>1218</v>
      </c>
      <c r="V3446" s="9" t="s">
        <v>3132</v>
      </c>
      <c r="W3446">
        <f>7*12</f>
        <v>84</v>
      </c>
      <c r="X3446" s="9" t="s">
        <v>3129</v>
      </c>
      <c r="Y3446" t="s">
        <v>3135</v>
      </c>
      <c r="Z3446">
        <v>12</v>
      </c>
      <c r="AD3446" t="s">
        <v>1165</v>
      </c>
      <c r="AF3446" t="s">
        <v>1165</v>
      </c>
      <c r="AI3446" s="21" t="s">
        <v>1165</v>
      </c>
      <c r="AJ3446" s="21" t="s">
        <v>1148</v>
      </c>
      <c r="AK3446">
        <v>12</v>
      </c>
      <c r="AN3446" s="21">
        <v>4</v>
      </c>
      <c r="AO3446" s="21">
        <v>25</v>
      </c>
      <c r="AP3446">
        <v>28</v>
      </c>
      <c r="AQ3446" s="22" t="s">
        <v>1283</v>
      </c>
      <c r="AR3446" s="21" t="s">
        <v>3130</v>
      </c>
    </row>
    <row r="3447" spans="1:44" x14ac:dyDescent="0.2">
      <c r="A3447" s="21" t="s">
        <v>1775</v>
      </c>
      <c r="B3447" s="21" t="s">
        <v>1146</v>
      </c>
      <c r="C3447" s="21" t="s">
        <v>1149</v>
      </c>
      <c r="D3447" s="21" t="s">
        <v>1774</v>
      </c>
      <c r="E3447" s="21" t="s">
        <v>3148</v>
      </c>
      <c r="G3447" s="21" t="s">
        <v>1165</v>
      </c>
      <c r="H3447" s="21" t="s">
        <v>1165</v>
      </c>
      <c r="I3447" s="21" t="s">
        <v>3150</v>
      </c>
      <c r="L3447">
        <v>1780</v>
      </c>
      <c r="M3447" s="21" t="s">
        <v>3034</v>
      </c>
      <c r="O3447">
        <v>1988</v>
      </c>
      <c r="S3447" s="9" t="s">
        <v>3128</v>
      </c>
      <c r="T3447" t="s">
        <v>3127</v>
      </c>
      <c r="U3447" s="21" t="s">
        <v>1147</v>
      </c>
      <c r="X3447" s="9" t="s">
        <v>3129</v>
      </c>
      <c r="Z3447">
        <v>12</v>
      </c>
      <c r="AD3447" t="s">
        <v>1165</v>
      </c>
      <c r="AF3447" t="s">
        <v>1165</v>
      </c>
      <c r="AI3447" s="21" t="s">
        <v>1165</v>
      </c>
      <c r="AJ3447" s="21" t="s">
        <v>1148</v>
      </c>
      <c r="AK3447">
        <v>3</v>
      </c>
      <c r="AN3447" s="21">
        <v>4</v>
      </c>
      <c r="AO3447" s="21">
        <v>25</v>
      </c>
      <c r="AP3447">
        <v>28</v>
      </c>
      <c r="AQ3447" s="22" t="s">
        <v>1283</v>
      </c>
      <c r="AR3447" s="21" t="s">
        <v>3130</v>
      </c>
    </row>
    <row r="3448" spans="1:44" x14ac:dyDescent="0.2">
      <c r="A3448" s="21" t="s">
        <v>1775</v>
      </c>
      <c r="B3448" s="21" t="s">
        <v>1146</v>
      </c>
      <c r="C3448" s="21" t="s">
        <v>1149</v>
      </c>
      <c r="D3448" s="21" t="s">
        <v>1774</v>
      </c>
      <c r="E3448" s="21" t="s">
        <v>3148</v>
      </c>
      <c r="G3448" s="21" t="s">
        <v>1165</v>
      </c>
      <c r="H3448" s="21" t="s">
        <v>1165</v>
      </c>
      <c r="I3448" s="21" t="s">
        <v>3150</v>
      </c>
      <c r="L3448">
        <v>1780</v>
      </c>
      <c r="M3448" s="21" t="s">
        <v>3034</v>
      </c>
      <c r="O3448">
        <v>1988</v>
      </c>
      <c r="S3448" s="9" t="s">
        <v>3128</v>
      </c>
      <c r="T3448" t="s">
        <v>3127</v>
      </c>
      <c r="U3448" s="21" t="s">
        <v>1218</v>
      </c>
      <c r="V3448" s="9" t="s">
        <v>3132</v>
      </c>
      <c r="W3448">
        <f>4*7</f>
        <v>28</v>
      </c>
      <c r="X3448" s="9" t="s">
        <v>3129</v>
      </c>
      <c r="Z3448">
        <v>12</v>
      </c>
      <c r="AD3448" t="s">
        <v>1165</v>
      </c>
      <c r="AF3448" t="s">
        <v>1165</v>
      </c>
      <c r="AI3448" s="21" t="s">
        <v>1165</v>
      </c>
      <c r="AJ3448" s="21" t="s">
        <v>1148</v>
      </c>
      <c r="AK3448">
        <v>10</v>
      </c>
      <c r="AN3448" s="21">
        <v>4</v>
      </c>
      <c r="AO3448" s="21">
        <v>25</v>
      </c>
      <c r="AP3448">
        <v>28</v>
      </c>
      <c r="AQ3448" s="22" t="s">
        <v>1283</v>
      </c>
      <c r="AR3448" s="21" t="s">
        <v>3130</v>
      </c>
    </row>
    <row r="3449" spans="1:44" x14ac:dyDescent="0.2">
      <c r="A3449" s="21" t="s">
        <v>1775</v>
      </c>
      <c r="B3449" s="21" t="s">
        <v>1146</v>
      </c>
      <c r="C3449" s="21" t="s">
        <v>1149</v>
      </c>
      <c r="D3449" s="21" t="s">
        <v>1774</v>
      </c>
      <c r="E3449" s="21" t="s">
        <v>3148</v>
      </c>
      <c r="G3449" s="21" t="s">
        <v>1165</v>
      </c>
      <c r="H3449" s="21" t="s">
        <v>1165</v>
      </c>
      <c r="I3449" s="21" t="s">
        <v>3150</v>
      </c>
      <c r="L3449">
        <v>1780</v>
      </c>
      <c r="M3449" s="21" t="s">
        <v>3034</v>
      </c>
      <c r="O3449">
        <v>1988</v>
      </c>
      <c r="S3449" s="9" t="s">
        <v>3128</v>
      </c>
      <c r="T3449" t="s">
        <v>3127</v>
      </c>
      <c r="U3449" s="21" t="s">
        <v>1218</v>
      </c>
      <c r="V3449" s="9" t="s">
        <v>3132</v>
      </c>
      <c r="W3449">
        <v>56</v>
      </c>
      <c r="X3449" s="9" t="s">
        <v>3129</v>
      </c>
      <c r="Z3449">
        <v>12</v>
      </c>
      <c r="AD3449" t="s">
        <v>1165</v>
      </c>
      <c r="AF3449" t="s">
        <v>1165</v>
      </c>
      <c r="AI3449" s="21" t="s">
        <v>1165</v>
      </c>
      <c r="AJ3449" s="21" t="s">
        <v>1148</v>
      </c>
      <c r="AK3449">
        <v>14</v>
      </c>
      <c r="AN3449" s="21">
        <v>4</v>
      </c>
      <c r="AO3449" s="21">
        <v>25</v>
      </c>
      <c r="AP3449">
        <v>28</v>
      </c>
      <c r="AQ3449" s="22" t="s">
        <v>1283</v>
      </c>
      <c r="AR3449" s="21" t="s">
        <v>3130</v>
      </c>
    </row>
    <row r="3450" spans="1:44" x14ac:dyDescent="0.2">
      <c r="A3450" s="21" t="s">
        <v>1775</v>
      </c>
      <c r="B3450" s="21" t="s">
        <v>1146</v>
      </c>
      <c r="C3450" s="21" t="s">
        <v>1149</v>
      </c>
      <c r="D3450" s="21" t="s">
        <v>1774</v>
      </c>
      <c r="E3450" s="21" t="s">
        <v>3148</v>
      </c>
      <c r="G3450" s="21" t="s">
        <v>1165</v>
      </c>
      <c r="H3450" s="21" t="s">
        <v>1165</v>
      </c>
      <c r="I3450" s="21" t="s">
        <v>3150</v>
      </c>
      <c r="L3450">
        <v>1780</v>
      </c>
      <c r="M3450" s="21" t="s">
        <v>3034</v>
      </c>
      <c r="O3450">
        <v>1988</v>
      </c>
      <c r="S3450" s="9" t="s">
        <v>3128</v>
      </c>
      <c r="T3450" t="s">
        <v>3127</v>
      </c>
      <c r="U3450" s="21" t="s">
        <v>1218</v>
      </c>
      <c r="V3450" s="9" t="s">
        <v>3132</v>
      </c>
      <c r="W3450">
        <f>7*12</f>
        <v>84</v>
      </c>
      <c r="X3450" s="9" t="s">
        <v>3129</v>
      </c>
      <c r="Z3450">
        <v>12</v>
      </c>
      <c r="AD3450" t="s">
        <v>1165</v>
      </c>
      <c r="AF3450" t="s">
        <v>1165</v>
      </c>
      <c r="AI3450" s="21" t="s">
        <v>1165</v>
      </c>
      <c r="AJ3450" s="21" t="s">
        <v>1148</v>
      </c>
      <c r="AK3450">
        <v>37</v>
      </c>
      <c r="AN3450" s="21">
        <v>4</v>
      </c>
      <c r="AO3450" s="21">
        <v>25</v>
      </c>
      <c r="AP3450">
        <v>28</v>
      </c>
      <c r="AQ3450" s="22" t="s">
        <v>1283</v>
      </c>
      <c r="AR3450" s="21" t="s">
        <v>3130</v>
      </c>
    </row>
    <row r="3451" spans="1:44" x14ac:dyDescent="0.2">
      <c r="A3451" s="21" t="s">
        <v>1775</v>
      </c>
      <c r="B3451" s="21" t="s">
        <v>1146</v>
      </c>
      <c r="C3451" s="21" t="s">
        <v>1149</v>
      </c>
      <c r="D3451" s="21" t="s">
        <v>1774</v>
      </c>
      <c r="E3451" s="21" t="s">
        <v>3148</v>
      </c>
      <c r="G3451" s="21" t="s">
        <v>1165</v>
      </c>
      <c r="H3451" s="21" t="s">
        <v>1165</v>
      </c>
      <c r="I3451" s="21" t="s">
        <v>3150</v>
      </c>
      <c r="L3451">
        <v>1780</v>
      </c>
      <c r="M3451" s="21" t="s">
        <v>3034</v>
      </c>
      <c r="O3451">
        <v>1988</v>
      </c>
      <c r="S3451" s="9" t="s">
        <v>3128</v>
      </c>
      <c r="T3451" t="s">
        <v>3127</v>
      </c>
      <c r="U3451" s="21" t="s">
        <v>1218</v>
      </c>
      <c r="V3451" s="9" t="s">
        <v>3132</v>
      </c>
      <c r="W3451">
        <f>7*16</f>
        <v>112</v>
      </c>
      <c r="X3451" s="9" t="s">
        <v>3129</v>
      </c>
      <c r="Z3451">
        <v>12</v>
      </c>
      <c r="AD3451" t="s">
        <v>1165</v>
      </c>
      <c r="AF3451" t="s">
        <v>1165</v>
      </c>
      <c r="AI3451" s="21" t="s">
        <v>1165</v>
      </c>
      <c r="AJ3451" s="21" t="s">
        <v>1148</v>
      </c>
      <c r="AK3451">
        <v>60</v>
      </c>
      <c r="AN3451" s="21">
        <v>4</v>
      </c>
      <c r="AO3451" s="21">
        <v>25</v>
      </c>
      <c r="AP3451">
        <v>28</v>
      </c>
      <c r="AQ3451" s="22" t="s">
        <v>1283</v>
      </c>
      <c r="AR3451" s="21" t="s">
        <v>3130</v>
      </c>
    </row>
    <row r="3452" spans="1:44" x14ac:dyDescent="0.2">
      <c r="A3452" s="21" t="s">
        <v>1775</v>
      </c>
      <c r="B3452" s="21" t="s">
        <v>1146</v>
      </c>
      <c r="C3452" s="21" t="s">
        <v>1149</v>
      </c>
      <c r="D3452" s="21" t="s">
        <v>1774</v>
      </c>
      <c r="E3452" s="21" t="s">
        <v>3148</v>
      </c>
      <c r="G3452" s="21" t="s">
        <v>1165</v>
      </c>
      <c r="H3452" s="21" t="s">
        <v>1165</v>
      </c>
      <c r="I3452" s="21" t="s">
        <v>3150</v>
      </c>
      <c r="L3452">
        <v>1780</v>
      </c>
      <c r="M3452" s="21" t="s">
        <v>3034</v>
      </c>
      <c r="O3452">
        <v>1988</v>
      </c>
      <c r="S3452" s="9" t="s">
        <v>3128</v>
      </c>
      <c r="T3452" t="s">
        <v>3127</v>
      </c>
      <c r="U3452" s="21" t="s">
        <v>1218</v>
      </c>
      <c r="V3452" s="9" t="s">
        <v>3132</v>
      </c>
      <c r="W3452">
        <f>7*24</f>
        <v>168</v>
      </c>
      <c r="X3452" s="9" t="s">
        <v>3129</v>
      </c>
      <c r="Z3452">
        <v>12</v>
      </c>
      <c r="AD3452" t="s">
        <v>1165</v>
      </c>
      <c r="AF3452" t="s">
        <v>1165</v>
      </c>
      <c r="AI3452" s="21" t="s">
        <v>1165</v>
      </c>
      <c r="AJ3452" s="21" t="s">
        <v>1148</v>
      </c>
      <c r="AK3452">
        <v>66</v>
      </c>
      <c r="AN3452" s="21">
        <v>4</v>
      </c>
      <c r="AO3452" s="21">
        <v>25</v>
      </c>
      <c r="AP3452">
        <v>28</v>
      </c>
      <c r="AQ3452" s="22" t="s">
        <v>1283</v>
      </c>
      <c r="AR3452" s="21" t="s">
        <v>3130</v>
      </c>
    </row>
    <row r="3453" spans="1:44" x14ac:dyDescent="0.2">
      <c r="A3453" s="21" t="s">
        <v>1775</v>
      </c>
      <c r="B3453" s="21" t="s">
        <v>1146</v>
      </c>
      <c r="C3453" s="21" t="s">
        <v>1149</v>
      </c>
      <c r="D3453" s="21" t="s">
        <v>1774</v>
      </c>
      <c r="E3453" s="21" t="s">
        <v>3148</v>
      </c>
      <c r="G3453" s="21" t="s">
        <v>1165</v>
      </c>
      <c r="H3453" s="21" t="s">
        <v>1165</v>
      </c>
      <c r="I3453" s="21" t="s">
        <v>3150</v>
      </c>
      <c r="L3453">
        <v>1780</v>
      </c>
      <c r="M3453" s="21" t="s">
        <v>3034</v>
      </c>
      <c r="O3453">
        <v>1988</v>
      </c>
      <c r="S3453" s="9" t="s">
        <v>3128</v>
      </c>
      <c r="T3453" t="s">
        <v>3127</v>
      </c>
      <c r="U3453" s="21" t="s">
        <v>1218</v>
      </c>
      <c r="V3453" s="9" t="s">
        <v>3132</v>
      </c>
      <c r="W3453">
        <f>7*12</f>
        <v>84</v>
      </c>
      <c r="X3453" s="9" t="s">
        <v>3129</v>
      </c>
      <c r="Y3453" t="s">
        <v>3133</v>
      </c>
      <c r="Z3453">
        <v>12</v>
      </c>
      <c r="AD3453" t="s">
        <v>1165</v>
      </c>
      <c r="AF3453" t="s">
        <v>1165</v>
      </c>
      <c r="AI3453" s="21" t="s">
        <v>1165</v>
      </c>
      <c r="AJ3453" s="21" t="s">
        <v>1148</v>
      </c>
      <c r="AK3453">
        <v>43</v>
      </c>
      <c r="AN3453" s="21">
        <v>4</v>
      </c>
      <c r="AO3453" s="21">
        <v>25</v>
      </c>
      <c r="AP3453">
        <v>28</v>
      </c>
      <c r="AQ3453" s="22" t="s">
        <v>1283</v>
      </c>
      <c r="AR3453" s="21" t="s">
        <v>3130</v>
      </c>
    </row>
    <row r="3454" spans="1:44" x14ac:dyDescent="0.2">
      <c r="A3454" s="21" t="s">
        <v>1775</v>
      </c>
      <c r="B3454" s="21" t="s">
        <v>1146</v>
      </c>
      <c r="C3454" s="21" t="s">
        <v>1149</v>
      </c>
      <c r="D3454" s="21" t="s">
        <v>1774</v>
      </c>
      <c r="E3454" s="21" t="s">
        <v>3148</v>
      </c>
      <c r="G3454" s="21" t="s">
        <v>1165</v>
      </c>
      <c r="H3454" s="21" t="s">
        <v>1165</v>
      </c>
      <c r="I3454" s="21" t="s">
        <v>3150</v>
      </c>
      <c r="L3454">
        <v>1780</v>
      </c>
      <c r="M3454" s="21" t="s">
        <v>3034</v>
      </c>
      <c r="O3454">
        <v>1988</v>
      </c>
      <c r="S3454" s="9" t="s">
        <v>3128</v>
      </c>
      <c r="T3454" t="s">
        <v>3127</v>
      </c>
      <c r="U3454" s="21" t="s">
        <v>1218</v>
      </c>
      <c r="V3454" s="9" t="s">
        <v>3132</v>
      </c>
      <c r="W3454">
        <f>7*12</f>
        <v>84</v>
      </c>
      <c r="X3454" s="9" t="s">
        <v>3129</v>
      </c>
      <c r="Y3454" t="s">
        <v>3134</v>
      </c>
      <c r="Z3454">
        <v>12</v>
      </c>
      <c r="AD3454" t="s">
        <v>1165</v>
      </c>
      <c r="AF3454" t="s">
        <v>1165</v>
      </c>
      <c r="AI3454" s="21" t="s">
        <v>1165</v>
      </c>
      <c r="AJ3454" s="21" t="s">
        <v>1148</v>
      </c>
      <c r="AK3454">
        <v>22</v>
      </c>
      <c r="AN3454" s="21">
        <v>4</v>
      </c>
      <c r="AO3454" s="21">
        <v>25</v>
      </c>
      <c r="AP3454">
        <v>28</v>
      </c>
      <c r="AQ3454" s="22" t="s">
        <v>1283</v>
      </c>
      <c r="AR3454" s="21" t="s">
        <v>3130</v>
      </c>
    </row>
    <row r="3455" spans="1:44" x14ac:dyDescent="0.2">
      <c r="A3455" s="21" t="s">
        <v>1775</v>
      </c>
      <c r="B3455" s="21" t="s">
        <v>1146</v>
      </c>
      <c r="C3455" s="21" t="s">
        <v>1149</v>
      </c>
      <c r="D3455" s="21" t="s">
        <v>1774</v>
      </c>
      <c r="E3455" s="21" t="s">
        <v>3148</v>
      </c>
      <c r="G3455" s="21" t="s">
        <v>1165</v>
      </c>
      <c r="H3455" s="21" t="s">
        <v>1165</v>
      </c>
      <c r="I3455" s="21" t="s">
        <v>3150</v>
      </c>
      <c r="L3455">
        <v>1780</v>
      </c>
      <c r="M3455" s="21" t="s">
        <v>3034</v>
      </c>
      <c r="O3455">
        <v>1988</v>
      </c>
      <c r="S3455" s="9" t="s">
        <v>3128</v>
      </c>
      <c r="T3455" t="s">
        <v>3127</v>
      </c>
      <c r="U3455" s="21" t="s">
        <v>1218</v>
      </c>
      <c r="V3455" s="9" t="s">
        <v>3132</v>
      </c>
      <c r="W3455">
        <f>7*12</f>
        <v>84</v>
      </c>
      <c r="X3455" s="9" t="s">
        <v>3129</v>
      </c>
      <c r="Y3455" t="s">
        <v>3135</v>
      </c>
      <c r="Z3455">
        <v>12</v>
      </c>
      <c r="AD3455" t="s">
        <v>1165</v>
      </c>
      <c r="AF3455" t="s">
        <v>1165</v>
      </c>
      <c r="AI3455" s="21" t="s">
        <v>1165</v>
      </c>
      <c r="AJ3455" s="21" t="s">
        <v>1148</v>
      </c>
      <c r="AK3455">
        <v>28</v>
      </c>
      <c r="AN3455" s="21">
        <v>4</v>
      </c>
      <c r="AO3455" s="21">
        <v>25</v>
      </c>
      <c r="AP3455">
        <v>28</v>
      </c>
      <c r="AQ3455" s="22" t="s">
        <v>1283</v>
      </c>
      <c r="AR3455" s="21" t="s">
        <v>3130</v>
      </c>
    </row>
    <row r="3456" spans="1:44" x14ac:dyDescent="0.2">
      <c r="A3456" s="21" t="s">
        <v>1775</v>
      </c>
      <c r="B3456" s="21" t="s">
        <v>1146</v>
      </c>
      <c r="C3456" s="21" t="s">
        <v>1149</v>
      </c>
      <c r="D3456" s="21" t="s">
        <v>1774</v>
      </c>
      <c r="E3456" s="21" t="s">
        <v>3151</v>
      </c>
      <c r="G3456" s="21" t="s">
        <v>1165</v>
      </c>
      <c r="H3456" s="21" t="s">
        <v>1165</v>
      </c>
      <c r="I3456" s="21" t="s">
        <v>3136</v>
      </c>
      <c r="L3456">
        <v>1750</v>
      </c>
      <c r="M3456" s="21" t="s">
        <v>3034</v>
      </c>
      <c r="O3456">
        <v>1988</v>
      </c>
      <c r="S3456" s="9" t="s">
        <v>3128</v>
      </c>
      <c r="T3456" t="s">
        <v>3127</v>
      </c>
      <c r="U3456" s="21" t="s">
        <v>1147</v>
      </c>
      <c r="X3456" s="9" t="s">
        <v>3129</v>
      </c>
      <c r="Z3456">
        <v>12</v>
      </c>
      <c r="AD3456" t="s">
        <v>1165</v>
      </c>
      <c r="AF3456" t="s">
        <v>1165</v>
      </c>
      <c r="AI3456" s="21" t="s">
        <v>1165</v>
      </c>
      <c r="AJ3456" s="21" t="s">
        <v>1148</v>
      </c>
      <c r="AK3456">
        <v>5</v>
      </c>
      <c r="AN3456" s="21">
        <v>4</v>
      </c>
      <c r="AO3456" s="21">
        <v>25</v>
      </c>
      <c r="AP3456">
        <v>28</v>
      </c>
      <c r="AQ3456" s="22" t="s">
        <v>1283</v>
      </c>
      <c r="AR3456" s="21" t="s">
        <v>3130</v>
      </c>
    </row>
    <row r="3457" spans="1:44" x14ac:dyDescent="0.2">
      <c r="A3457" s="21" t="s">
        <v>1775</v>
      </c>
      <c r="B3457" s="21" t="s">
        <v>1146</v>
      </c>
      <c r="C3457" s="21" t="s">
        <v>1149</v>
      </c>
      <c r="D3457" s="21" t="s">
        <v>1774</v>
      </c>
      <c r="E3457" s="21" t="s">
        <v>3151</v>
      </c>
      <c r="G3457" s="21" t="s">
        <v>1165</v>
      </c>
      <c r="H3457" s="21" t="s">
        <v>1165</v>
      </c>
      <c r="I3457" s="21" t="s">
        <v>3136</v>
      </c>
      <c r="L3457">
        <v>1750</v>
      </c>
      <c r="M3457" s="21" t="s">
        <v>3034</v>
      </c>
      <c r="O3457">
        <v>1988</v>
      </c>
      <c r="S3457" s="9" t="s">
        <v>3128</v>
      </c>
      <c r="T3457" t="s">
        <v>3127</v>
      </c>
      <c r="U3457" s="21" t="s">
        <v>1218</v>
      </c>
      <c r="V3457" s="9" t="s">
        <v>3132</v>
      </c>
      <c r="W3457">
        <f>4*7</f>
        <v>28</v>
      </c>
      <c r="X3457" s="9" t="s">
        <v>3129</v>
      </c>
      <c r="Z3457">
        <v>12</v>
      </c>
      <c r="AD3457" t="s">
        <v>1165</v>
      </c>
      <c r="AF3457" t="s">
        <v>1165</v>
      </c>
      <c r="AI3457" s="21" t="s">
        <v>1165</v>
      </c>
      <c r="AJ3457" s="21" t="s">
        <v>1148</v>
      </c>
      <c r="AK3457">
        <v>9</v>
      </c>
      <c r="AN3457" s="21">
        <v>4</v>
      </c>
      <c r="AO3457" s="21">
        <v>25</v>
      </c>
      <c r="AP3457">
        <v>28</v>
      </c>
      <c r="AQ3457" s="22" t="s">
        <v>1283</v>
      </c>
      <c r="AR3457" s="21" t="s">
        <v>3130</v>
      </c>
    </row>
    <row r="3458" spans="1:44" x14ac:dyDescent="0.2">
      <c r="A3458" s="21" t="s">
        <v>1775</v>
      </c>
      <c r="B3458" s="21" t="s">
        <v>1146</v>
      </c>
      <c r="C3458" s="21" t="s">
        <v>1149</v>
      </c>
      <c r="D3458" s="21" t="s">
        <v>1774</v>
      </c>
      <c r="E3458" s="21" t="s">
        <v>3151</v>
      </c>
      <c r="G3458" s="21" t="s">
        <v>1165</v>
      </c>
      <c r="H3458" s="21" t="s">
        <v>1165</v>
      </c>
      <c r="I3458" s="21" t="s">
        <v>3136</v>
      </c>
      <c r="L3458">
        <v>1750</v>
      </c>
      <c r="M3458" s="21" t="s">
        <v>3034</v>
      </c>
      <c r="O3458">
        <v>1988</v>
      </c>
      <c r="S3458" s="9" t="s">
        <v>3128</v>
      </c>
      <c r="T3458" t="s">
        <v>3127</v>
      </c>
      <c r="U3458" s="21" t="s">
        <v>1218</v>
      </c>
      <c r="V3458" s="9" t="s">
        <v>3132</v>
      </c>
      <c r="W3458">
        <v>56</v>
      </c>
      <c r="X3458" s="9" t="s">
        <v>3129</v>
      </c>
      <c r="Z3458">
        <v>12</v>
      </c>
      <c r="AD3458" t="s">
        <v>1165</v>
      </c>
      <c r="AF3458" t="s">
        <v>1165</v>
      </c>
      <c r="AI3458" s="21" t="s">
        <v>1165</v>
      </c>
      <c r="AJ3458" s="21" t="s">
        <v>1148</v>
      </c>
      <c r="AK3458">
        <v>56</v>
      </c>
      <c r="AN3458" s="21">
        <v>4</v>
      </c>
      <c r="AO3458" s="21">
        <v>25</v>
      </c>
      <c r="AP3458">
        <v>28</v>
      </c>
      <c r="AQ3458" s="22" t="s">
        <v>1283</v>
      </c>
      <c r="AR3458" s="21" t="s">
        <v>3130</v>
      </c>
    </row>
    <row r="3459" spans="1:44" x14ac:dyDescent="0.2">
      <c r="A3459" s="21" t="s">
        <v>1775</v>
      </c>
      <c r="B3459" s="21" t="s">
        <v>1146</v>
      </c>
      <c r="C3459" s="21" t="s">
        <v>1149</v>
      </c>
      <c r="D3459" s="21" t="s">
        <v>1774</v>
      </c>
      <c r="E3459" s="21" t="s">
        <v>3151</v>
      </c>
      <c r="G3459" s="21" t="s">
        <v>1165</v>
      </c>
      <c r="H3459" s="21" t="s">
        <v>1165</v>
      </c>
      <c r="I3459" s="21" t="s">
        <v>3136</v>
      </c>
      <c r="L3459">
        <v>1750</v>
      </c>
      <c r="M3459" s="21" t="s">
        <v>3034</v>
      </c>
      <c r="O3459">
        <v>1988</v>
      </c>
      <c r="S3459" s="9" t="s">
        <v>3128</v>
      </c>
      <c r="T3459" t="s">
        <v>3127</v>
      </c>
      <c r="U3459" s="21" t="s">
        <v>1218</v>
      </c>
      <c r="V3459" s="9" t="s">
        <v>3132</v>
      </c>
      <c r="W3459">
        <f>7*12</f>
        <v>84</v>
      </c>
      <c r="X3459" s="9" t="s">
        <v>3129</v>
      </c>
      <c r="Z3459">
        <v>12</v>
      </c>
      <c r="AD3459" t="s">
        <v>1165</v>
      </c>
      <c r="AF3459" t="s">
        <v>1165</v>
      </c>
      <c r="AI3459" s="21" t="s">
        <v>1165</v>
      </c>
      <c r="AJ3459" s="21" t="s">
        <v>1148</v>
      </c>
      <c r="AK3459">
        <v>93</v>
      </c>
      <c r="AN3459" s="21">
        <v>4</v>
      </c>
      <c r="AO3459" s="21">
        <v>25</v>
      </c>
      <c r="AP3459">
        <v>28</v>
      </c>
      <c r="AQ3459" s="22" t="s">
        <v>1283</v>
      </c>
      <c r="AR3459" s="21" t="s">
        <v>3130</v>
      </c>
    </row>
    <row r="3460" spans="1:44" x14ac:dyDescent="0.2">
      <c r="A3460" s="21" t="s">
        <v>1775</v>
      </c>
      <c r="B3460" s="21" t="s">
        <v>1146</v>
      </c>
      <c r="C3460" s="21" t="s">
        <v>1149</v>
      </c>
      <c r="D3460" s="21" t="s">
        <v>1774</v>
      </c>
      <c r="E3460" s="21" t="s">
        <v>3151</v>
      </c>
      <c r="G3460" s="21" t="s">
        <v>1165</v>
      </c>
      <c r="H3460" s="21" t="s">
        <v>1165</v>
      </c>
      <c r="I3460" s="21" t="s">
        <v>3136</v>
      </c>
      <c r="L3460">
        <v>1750</v>
      </c>
      <c r="M3460" s="21" t="s">
        <v>3034</v>
      </c>
      <c r="O3460">
        <v>1988</v>
      </c>
      <c r="S3460" s="9" t="s">
        <v>3128</v>
      </c>
      <c r="T3460" t="s">
        <v>3127</v>
      </c>
      <c r="U3460" s="21" t="s">
        <v>1218</v>
      </c>
      <c r="V3460" s="9" t="s">
        <v>3132</v>
      </c>
      <c r="W3460">
        <f>7*16</f>
        <v>112</v>
      </c>
      <c r="X3460" s="9" t="s">
        <v>3129</v>
      </c>
      <c r="Z3460">
        <v>12</v>
      </c>
      <c r="AD3460" t="s">
        <v>1165</v>
      </c>
      <c r="AF3460" t="s">
        <v>1165</v>
      </c>
      <c r="AI3460" s="21" t="s">
        <v>1165</v>
      </c>
      <c r="AJ3460" s="21" t="s">
        <v>1148</v>
      </c>
      <c r="AK3460">
        <v>90</v>
      </c>
      <c r="AN3460" s="21">
        <v>4</v>
      </c>
      <c r="AO3460" s="21">
        <v>25</v>
      </c>
      <c r="AP3460">
        <v>28</v>
      </c>
      <c r="AQ3460" s="22" t="s">
        <v>1283</v>
      </c>
      <c r="AR3460" s="21" t="s">
        <v>3130</v>
      </c>
    </row>
    <row r="3461" spans="1:44" x14ac:dyDescent="0.2">
      <c r="A3461" s="21" t="s">
        <v>1775</v>
      </c>
      <c r="B3461" s="21" t="s">
        <v>1146</v>
      </c>
      <c r="C3461" s="21" t="s">
        <v>1149</v>
      </c>
      <c r="D3461" s="21" t="s">
        <v>1774</v>
      </c>
      <c r="E3461" s="21" t="s">
        <v>3151</v>
      </c>
      <c r="G3461" s="21" t="s">
        <v>1165</v>
      </c>
      <c r="H3461" s="21" t="s">
        <v>1165</v>
      </c>
      <c r="I3461" s="21" t="s">
        <v>3136</v>
      </c>
      <c r="L3461">
        <v>1750</v>
      </c>
      <c r="M3461" s="21" t="s">
        <v>3034</v>
      </c>
      <c r="O3461">
        <v>1988</v>
      </c>
      <c r="S3461" s="9" t="s">
        <v>3128</v>
      </c>
      <c r="T3461" t="s">
        <v>3127</v>
      </c>
      <c r="U3461" s="21" t="s">
        <v>1218</v>
      </c>
      <c r="V3461" s="9" t="s">
        <v>3132</v>
      </c>
      <c r="W3461">
        <f>7*24</f>
        <v>168</v>
      </c>
      <c r="X3461" s="9" t="s">
        <v>3129</v>
      </c>
      <c r="Z3461">
        <v>12</v>
      </c>
      <c r="AD3461" t="s">
        <v>1165</v>
      </c>
      <c r="AF3461" t="s">
        <v>1165</v>
      </c>
      <c r="AI3461" s="21" t="s">
        <v>1165</v>
      </c>
      <c r="AJ3461" s="21" t="s">
        <v>1148</v>
      </c>
      <c r="AK3461">
        <v>96</v>
      </c>
      <c r="AN3461" s="21">
        <v>4</v>
      </c>
      <c r="AO3461" s="21">
        <v>25</v>
      </c>
      <c r="AP3461">
        <v>28</v>
      </c>
      <c r="AQ3461" s="22" t="s">
        <v>1283</v>
      </c>
      <c r="AR3461" s="21" t="s">
        <v>3130</v>
      </c>
    </row>
    <row r="3462" spans="1:44" x14ac:dyDescent="0.2">
      <c r="A3462" s="21" t="s">
        <v>1775</v>
      </c>
      <c r="B3462" s="21" t="s">
        <v>1146</v>
      </c>
      <c r="C3462" s="21" t="s">
        <v>1149</v>
      </c>
      <c r="D3462" s="21" t="s">
        <v>1774</v>
      </c>
      <c r="E3462" s="21" t="s">
        <v>3151</v>
      </c>
      <c r="G3462" s="21" t="s">
        <v>1165</v>
      </c>
      <c r="H3462" s="21" t="s">
        <v>1165</v>
      </c>
      <c r="I3462" s="21" t="s">
        <v>3136</v>
      </c>
      <c r="L3462">
        <v>1750</v>
      </c>
      <c r="M3462" s="21" t="s">
        <v>3034</v>
      </c>
      <c r="O3462">
        <v>1988</v>
      </c>
      <c r="S3462" s="9" t="s">
        <v>3128</v>
      </c>
      <c r="T3462" t="s">
        <v>3127</v>
      </c>
      <c r="U3462" s="21" t="s">
        <v>1218</v>
      </c>
      <c r="V3462" s="9" t="s">
        <v>3132</v>
      </c>
      <c r="W3462">
        <f>7*12</f>
        <v>84</v>
      </c>
      <c r="X3462" s="9" t="s">
        <v>3129</v>
      </c>
      <c r="Y3462" t="s">
        <v>3133</v>
      </c>
      <c r="Z3462">
        <v>12</v>
      </c>
      <c r="AD3462" t="s">
        <v>1165</v>
      </c>
      <c r="AF3462" t="s">
        <v>1165</v>
      </c>
      <c r="AI3462" s="21" t="s">
        <v>1165</v>
      </c>
      <c r="AJ3462" s="21" t="s">
        <v>1148</v>
      </c>
      <c r="AK3462">
        <v>97</v>
      </c>
      <c r="AN3462" s="21">
        <v>4</v>
      </c>
      <c r="AO3462" s="21">
        <v>25</v>
      </c>
      <c r="AP3462">
        <v>28</v>
      </c>
      <c r="AQ3462" s="22" t="s">
        <v>1283</v>
      </c>
      <c r="AR3462" s="21" t="s">
        <v>3130</v>
      </c>
    </row>
    <row r="3463" spans="1:44" x14ac:dyDescent="0.2">
      <c r="A3463" s="21" t="s">
        <v>1775</v>
      </c>
      <c r="B3463" s="21" t="s">
        <v>1146</v>
      </c>
      <c r="C3463" s="21" t="s">
        <v>1149</v>
      </c>
      <c r="D3463" s="21" t="s">
        <v>1774</v>
      </c>
      <c r="E3463" s="21" t="s">
        <v>3151</v>
      </c>
      <c r="G3463" s="21" t="s">
        <v>1165</v>
      </c>
      <c r="H3463" s="21" t="s">
        <v>1165</v>
      </c>
      <c r="I3463" s="21" t="s">
        <v>3136</v>
      </c>
      <c r="L3463">
        <v>1750</v>
      </c>
      <c r="M3463" s="21" t="s">
        <v>3034</v>
      </c>
      <c r="O3463">
        <v>1988</v>
      </c>
      <c r="S3463" s="9" t="s">
        <v>3128</v>
      </c>
      <c r="T3463" t="s">
        <v>3127</v>
      </c>
      <c r="U3463" s="21" t="s">
        <v>1218</v>
      </c>
      <c r="V3463" s="9" t="s">
        <v>3132</v>
      </c>
      <c r="W3463">
        <f>7*12</f>
        <v>84</v>
      </c>
      <c r="X3463" s="9" t="s">
        <v>3129</v>
      </c>
      <c r="Y3463" t="s">
        <v>3134</v>
      </c>
      <c r="Z3463">
        <v>12</v>
      </c>
      <c r="AD3463" t="s">
        <v>1165</v>
      </c>
      <c r="AF3463" t="s">
        <v>1165</v>
      </c>
      <c r="AI3463" s="21" t="s">
        <v>1165</v>
      </c>
      <c r="AJ3463" s="21" t="s">
        <v>1148</v>
      </c>
      <c r="AK3463">
        <v>47</v>
      </c>
      <c r="AN3463" s="21">
        <v>4</v>
      </c>
      <c r="AO3463" s="21">
        <v>25</v>
      </c>
      <c r="AP3463">
        <v>28</v>
      </c>
      <c r="AQ3463" s="22" t="s">
        <v>1283</v>
      </c>
      <c r="AR3463" s="21" t="s">
        <v>3130</v>
      </c>
    </row>
    <row r="3464" spans="1:44" x14ac:dyDescent="0.2">
      <c r="A3464" s="21" t="s">
        <v>1775</v>
      </c>
      <c r="B3464" s="21" t="s">
        <v>1146</v>
      </c>
      <c r="C3464" s="21" t="s">
        <v>1149</v>
      </c>
      <c r="D3464" s="21" t="s">
        <v>1774</v>
      </c>
      <c r="E3464" s="21" t="s">
        <v>3151</v>
      </c>
      <c r="G3464" s="21" t="s">
        <v>1165</v>
      </c>
      <c r="H3464" s="21" t="s">
        <v>1165</v>
      </c>
      <c r="I3464" s="21" t="s">
        <v>3136</v>
      </c>
      <c r="L3464">
        <v>1750</v>
      </c>
      <c r="M3464" s="21" t="s">
        <v>3034</v>
      </c>
      <c r="O3464">
        <v>1988</v>
      </c>
      <c r="S3464" s="9" t="s">
        <v>3128</v>
      </c>
      <c r="T3464" t="s">
        <v>3127</v>
      </c>
      <c r="U3464" s="21" t="s">
        <v>1218</v>
      </c>
      <c r="V3464" s="9" t="s">
        <v>3132</v>
      </c>
      <c r="W3464">
        <f>7*12</f>
        <v>84</v>
      </c>
      <c r="X3464" s="9" t="s">
        <v>3129</v>
      </c>
      <c r="Y3464" t="s">
        <v>3135</v>
      </c>
      <c r="Z3464">
        <v>12</v>
      </c>
      <c r="AD3464" t="s">
        <v>1165</v>
      </c>
      <c r="AF3464" t="s">
        <v>1165</v>
      </c>
      <c r="AI3464" s="21" t="s">
        <v>1165</v>
      </c>
      <c r="AJ3464" s="21" t="s">
        <v>1148</v>
      </c>
      <c r="AK3464">
        <v>64</v>
      </c>
      <c r="AN3464" s="21">
        <v>4</v>
      </c>
      <c r="AO3464" s="21">
        <v>25</v>
      </c>
      <c r="AP3464">
        <v>28</v>
      </c>
      <c r="AQ3464" s="22" t="s">
        <v>1283</v>
      </c>
      <c r="AR3464" s="21" t="s">
        <v>3130</v>
      </c>
    </row>
    <row r="3465" spans="1:44" x14ac:dyDescent="0.2">
      <c r="A3465" s="21" t="s">
        <v>1775</v>
      </c>
      <c r="B3465" s="21" t="s">
        <v>1146</v>
      </c>
      <c r="C3465" s="21" t="s">
        <v>1149</v>
      </c>
      <c r="D3465" s="21" t="s">
        <v>1774</v>
      </c>
      <c r="E3465" s="21" t="s">
        <v>3152</v>
      </c>
      <c r="G3465" s="21" t="s">
        <v>1165</v>
      </c>
      <c r="H3465" s="21" t="s">
        <v>1165</v>
      </c>
      <c r="I3465" s="21" t="s">
        <v>3154</v>
      </c>
      <c r="L3465">
        <v>2460</v>
      </c>
      <c r="M3465" s="21" t="s">
        <v>3034</v>
      </c>
      <c r="O3465">
        <v>1988</v>
      </c>
      <c r="S3465" s="9" t="s">
        <v>3128</v>
      </c>
      <c r="T3465" t="s">
        <v>3127</v>
      </c>
      <c r="U3465" s="21" t="s">
        <v>1147</v>
      </c>
      <c r="X3465" s="9" t="s">
        <v>3129</v>
      </c>
      <c r="Z3465">
        <v>12</v>
      </c>
      <c r="AD3465" t="s">
        <v>1165</v>
      </c>
      <c r="AF3465" t="s">
        <v>1165</v>
      </c>
      <c r="AI3465" s="21" t="s">
        <v>1165</v>
      </c>
      <c r="AJ3465" s="21" t="s">
        <v>1148</v>
      </c>
      <c r="AK3465">
        <v>1</v>
      </c>
      <c r="AN3465" s="21">
        <v>4</v>
      </c>
      <c r="AO3465" s="21">
        <v>25</v>
      </c>
      <c r="AP3465">
        <v>28</v>
      </c>
      <c r="AQ3465" s="22" t="s">
        <v>1283</v>
      </c>
      <c r="AR3465" s="21" t="s">
        <v>3130</v>
      </c>
    </row>
    <row r="3466" spans="1:44" x14ac:dyDescent="0.2">
      <c r="A3466" s="21" t="s">
        <v>1775</v>
      </c>
      <c r="B3466" s="21" t="s">
        <v>1146</v>
      </c>
      <c r="C3466" s="21" t="s">
        <v>1149</v>
      </c>
      <c r="D3466" s="21" t="s">
        <v>1774</v>
      </c>
      <c r="E3466" s="21" t="s">
        <v>3152</v>
      </c>
      <c r="G3466" s="21" t="s">
        <v>1165</v>
      </c>
      <c r="H3466" s="21" t="s">
        <v>1165</v>
      </c>
      <c r="I3466" s="21" t="s">
        <v>3154</v>
      </c>
      <c r="L3466">
        <v>2460</v>
      </c>
      <c r="M3466" s="21" t="s">
        <v>3034</v>
      </c>
      <c r="O3466">
        <v>1988</v>
      </c>
      <c r="S3466" s="9" t="s">
        <v>3128</v>
      </c>
      <c r="T3466" t="s">
        <v>3127</v>
      </c>
      <c r="U3466" s="21" t="s">
        <v>1218</v>
      </c>
      <c r="V3466" s="9" t="s">
        <v>3132</v>
      </c>
      <c r="W3466">
        <f>4*7</f>
        <v>28</v>
      </c>
      <c r="X3466" s="9" t="s">
        <v>3129</v>
      </c>
      <c r="Z3466">
        <v>12</v>
      </c>
      <c r="AD3466" t="s">
        <v>1165</v>
      </c>
      <c r="AF3466" t="s">
        <v>1165</v>
      </c>
      <c r="AI3466" s="21" t="s">
        <v>1165</v>
      </c>
      <c r="AJ3466" s="21" t="s">
        <v>1148</v>
      </c>
      <c r="AK3466">
        <v>4</v>
      </c>
      <c r="AN3466" s="21">
        <v>4</v>
      </c>
      <c r="AO3466" s="21">
        <v>25</v>
      </c>
      <c r="AP3466">
        <v>28</v>
      </c>
      <c r="AQ3466" s="22" t="s">
        <v>1283</v>
      </c>
      <c r="AR3466" s="21" t="s">
        <v>3130</v>
      </c>
    </row>
    <row r="3467" spans="1:44" ht="15" x14ac:dyDescent="0.2">
      <c r="A3467" s="21" t="s">
        <v>1775</v>
      </c>
      <c r="B3467" s="21" t="s">
        <v>1146</v>
      </c>
      <c r="C3467" s="21" t="s">
        <v>1149</v>
      </c>
      <c r="D3467" s="21" t="s">
        <v>1774</v>
      </c>
      <c r="E3467" s="21" t="s">
        <v>3152</v>
      </c>
      <c r="G3467" s="21" t="s">
        <v>1165</v>
      </c>
      <c r="H3467" s="21" t="s">
        <v>1165</v>
      </c>
      <c r="I3467" s="21" t="s">
        <v>3154</v>
      </c>
      <c r="L3467">
        <v>2460</v>
      </c>
      <c r="M3467" s="21" t="s">
        <v>3034</v>
      </c>
      <c r="O3467">
        <v>1988</v>
      </c>
      <c r="S3467" s="9" t="s">
        <v>3128</v>
      </c>
      <c r="T3467" t="s">
        <v>3127</v>
      </c>
      <c r="U3467" s="21" t="s">
        <v>1218</v>
      </c>
      <c r="V3467" s="9" t="s">
        <v>3132</v>
      </c>
      <c r="W3467">
        <v>56</v>
      </c>
      <c r="X3467" s="9" t="s">
        <v>3129</v>
      </c>
      <c r="Z3467">
        <v>12</v>
      </c>
      <c r="AD3467" t="s">
        <v>1165</v>
      </c>
      <c r="AF3467" t="s">
        <v>1165</v>
      </c>
      <c r="AI3467" s="21" t="s">
        <v>1165</v>
      </c>
      <c r="AJ3467" s="21" t="s">
        <v>1148</v>
      </c>
      <c r="AK3467">
        <v>3</v>
      </c>
      <c r="AN3467" s="21">
        <v>4</v>
      </c>
      <c r="AO3467" s="21">
        <v>25</v>
      </c>
      <c r="AP3467">
        <v>28</v>
      </c>
      <c r="AQ3467" s="22" t="s">
        <v>1283</v>
      </c>
      <c r="AR3467" s="21" t="s">
        <v>3130</v>
      </c>
    </row>
    <row r="3468" spans="1:44" ht="43" customHeight="1" x14ac:dyDescent="0.2">
      <c r="A3468" s="21" t="s">
        <v>1775</v>
      </c>
      <c r="B3468" s="21" t="s">
        <v>1146</v>
      </c>
      <c r="C3468" s="21" t="s">
        <v>1149</v>
      </c>
      <c r="D3468" s="21" t="s">
        <v>1774</v>
      </c>
      <c r="E3468" s="21" t="s">
        <v>3152</v>
      </c>
      <c r="G3468" s="21" t="s">
        <v>1165</v>
      </c>
      <c r="H3468" s="21" t="s">
        <v>1165</v>
      </c>
      <c r="I3468" s="21" t="s">
        <v>3154</v>
      </c>
      <c r="L3468">
        <v>2460</v>
      </c>
      <c r="M3468" s="21" t="s">
        <v>3034</v>
      </c>
      <c r="O3468">
        <v>1988</v>
      </c>
      <c r="S3468" s="9" t="s">
        <v>3128</v>
      </c>
      <c r="T3468" t="s">
        <v>3127</v>
      </c>
      <c r="U3468" s="21" t="s">
        <v>1218</v>
      </c>
      <c r="V3468" s="9" t="s">
        <v>3132</v>
      </c>
      <c r="W3468">
        <f>7*12</f>
        <v>84</v>
      </c>
      <c r="X3468" s="9" t="s">
        <v>3129</v>
      </c>
      <c r="Z3468">
        <v>12</v>
      </c>
      <c r="AD3468" t="s">
        <v>1165</v>
      </c>
      <c r="AF3468" t="s">
        <v>1165</v>
      </c>
      <c r="AI3468" s="21" t="s">
        <v>1165</v>
      </c>
      <c r="AJ3468" s="21" t="s">
        <v>1148</v>
      </c>
      <c r="AK3468">
        <v>33</v>
      </c>
      <c r="AN3468" s="21">
        <v>4</v>
      </c>
      <c r="AO3468" s="21">
        <v>25</v>
      </c>
      <c r="AP3468">
        <v>28</v>
      </c>
      <c r="AQ3468" s="22" t="s">
        <v>1283</v>
      </c>
      <c r="AR3468" s="21" t="s">
        <v>3130</v>
      </c>
    </row>
    <row r="3469" spans="1:44" ht="11" customHeight="1" x14ac:dyDescent="0.2">
      <c r="A3469" s="21" t="s">
        <v>1775</v>
      </c>
      <c r="B3469" s="21" t="s">
        <v>1146</v>
      </c>
      <c r="C3469" s="21" t="s">
        <v>1149</v>
      </c>
      <c r="D3469" s="21" t="s">
        <v>1774</v>
      </c>
      <c r="E3469" s="21" t="s">
        <v>3152</v>
      </c>
      <c r="G3469" s="21" t="s">
        <v>1165</v>
      </c>
      <c r="H3469" s="21" t="s">
        <v>1165</v>
      </c>
      <c r="I3469" s="21" t="s">
        <v>3154</v>
      </c>
      <c r="L3469">
        <v>2460</v>
      </c>
      <c r="M3469" s="21" t="s">
        <v>3034</v>
      </c>
      <c r="O3469">
        <v>1988</v>
      </c>
      <c r="S3469" s="9" t="s">
        <v>3128</v>
      </c>
      <c r="T3469" t="s">
        <v>3127</v>
      </c>
      <c r="U3469" s="21" t="s">
        <v>1218</v>
      </c>
      <c r="V3469" s="9" t="s">
        <v>3132</v>
      </c>
      <c r="W3469">
        <f>7*16</f>
        <v>112</v>
      </c>
      <c r="X3469" s="9" t="s">
        <v>3129</v>
      </c>
      <c r="Z3469">
        <v>12</v>
      </c>
      <c r="AD3469" t="s">
        <v>1165</v>
      </c>
      <c r="AF3469" t="s">
        <v>1165</v>
      </c>
      <c r="AI3469" s="21" t="s">
        <v>1165</v>
      </c>
      <c r="AJ3469" s="21" t="s">
        <v>1148</v>
      </c>
      <c r="AK3469">
        <v>71</v>
      </c>
      <c r="AN3469" s="21">
        <v>4</v>
      </c>
      <c r="AO3469" s="21">
        <v>25</v>
      </c>
      <c r="AP3469">
        <v>28</v>
      </c>
      <c r="AQ3469" s="22" t="s">
        <v>1283</v>
      </c>
      <c r="AR3469" s="21" t="s">
        <v>3130</v>
      </c>
    </row>
    <row r="3470" spans="1:44" ht="30" customHeight="1" x14ac:dyDescent="0.2">
      <c r="A3470" s="21" t="s">
        <v>1775</v>
      </c>
      <c r="B3470" s="21" t="s">
        <v>1146</v>
      </c>
      <c r="C3470" s="21" t="s">
        <v>1149</v>
      </c>
      <c r="D3470" s="21" t="s">
        <v>1774</v>
      </c>
      <c r="E3470" s="21" t="s">
        <v>3152</v>
      </c>
      <c r="G3470" s="21" t="s">
        <v>1165</v>
      </c>
      <c r="H3470" s="21" t="s">
        <v>1165</v>
      </c>
      <c r="I3470" s="21" t="s">
        <v>3154</v>
      </c>
      <c r="L3470">
        <v>2460</v>
      </c>
      <c r="M3470" s="21" t="s">
        <v>3034</v>
      </c>
      <c r="O3470">
        <v>1988</v>
      </c>
      <c r="S3470" s="9" t="s">
        <v>3128</v>
      </c>
      <c r="T3470" t="s">
        <v>3127</v>
      </c>
      <c r="U3470" s="21" t="s">
        <v>1218</v>
      </c>
      <c r="V3470" s="9" t="s">
        <v>3132</v>
      </c>
      <c r="W3470">
        <f>7*24</f>
        <v>168</v>
      </c>
      <c r="X3470" s="9" t="s">
        <v>3129</v>
      </c>
      <c r="Z3470">
        <v>12</v>
      </c>
      <c r="AD3470" t="s">
        <v>1165</v>
      </c>
      <c r="AF3470" t="s">
        <v>1165</v>
      </c>
      <c r="AI3470" s="21" t="s">
        <v>1165</v>
      </c>
      <c r="AJ3470" s="21" t="s">
        <v>1148</v>
      </c>
      <c r="AK3470">
        <v>84</v>
      </c>
      <c r="AN3470" s="21">
        <v>4</v>
      </c>
      <c r="AO3470" s="21">
        <v>25</v>
      </c>
      <c r="AP3470">
        <v>28</v>
      </c>
      <c r="AQ3470" s="22" t="s">
        <v>1283</v>
      </c>
      <c r="AR3470" s="21" t="s">
        <v>3130</v>
      </c>
    </row>
    <row r="3471" spans="1:44" ht="14" customHeight="1" x14ac:dyDescent="0.2">
      <c r="A3471" s="21" t="s">
        <v>1775</v>
      </c>
      <c r="B3471" s="21" t="s">
        <v>1146</v>
      </c>
      <c r="C3471" s="21" t="s">
        <v>1149</v>
      </c>
      <c r="D3471" s="21" t="s">
        <v>1774</v>
      </c>
      <c r="E3471" s="21" t="s">
        <v>3152</v>
      </c>
      <c r="G3471" s="21" t="s">
        <v>1165</v>
      </c>
      <c r="H3471" s="21" t="s">
        <v>1165</v>
      </c>
      <c r="I3471" s="21" t="s">
        <v>3154</v>
      </c>
      <c r="L3471">
        <v>2460</v>
      </c>
      <c r="M3471" s="21" t="s">
        <v>3034</v>
      </c>
      <c r="O3471">
        <v>1988</v>
      </c>
      <c r="S3471" s="9" t="s">
        <v>3128</v>
      </c>
      <c r="T3471" t="s">
        <v>3127</v>
      </c>
      <c r="U3471" s="21" t="s">
        <v>1218</v>
      </c>
      <c r="V3471" s="9" t="s">
        <v>3132</v>
      </c>
      <c r="W3471">
        <f>7*12</f>
        <v>84</v>
      </c>
      <c r="X3471" s="9" t="s">
        <v>3129</v>
      </c>
      <c r="Y3471" t="s">
        <v>3133</v>
      </c>
      <c r="Z3471">
        <v>12</v>
      </c>
      <c r="AD3471" t="s">
        <v>1165</v>
      </c>
      <c r="AF3471" t="s">
        <v>1165</v>
      </c>
      <c r="AI3471" s="21" t="s">
        <v>1165</v>
      </c>
      <c r="AJ3471" s="21" t="s">
        <v>1148</v>
      </c>
      <c r="AK3471">
        <v>23</v>
      </c>
      <c r="AN3471" s="21">
        <v>4</v>
      </c>
      <c r="AO3471" s="21">
        <v>25</v>
      </c>
      <c r="AP3471">
        <v>28</v>
      </c>
      <c r="AQ3471" s="22" t="s">
        <v>1283</v>
      </c>
      <c r="AR3471" s="21" t="s">
        <v>3130</v>
      </c>
    </row>
    <row r="3472" spans="1:44" ht="12" customHeight="1" x14ac:dyDescent="0.2">
      <c r="A3472" s="21" t="s">
        <v>1775</v>
      </c>
      <c r="B3472" s="21" t="s">
        <v>1146</v>
      </c>
      <c r="C3472" s="21" t="s">
        <v>1149</v>
      </c>
      <c r="D3472" s="21" t="s">
        <v>1774</v>
      </c>
      <c r="E3472" s="21" t="s">
        <v>3152</v>
      </c>
      <c r="G3472" s="21" t="s">
        <v>1165</v>
      </c>
      <c r="H3472" s="21" t="s">
        <v>1165</v>
      </c>
      <c r="I3472" s="21" t="s">
        <v>3154</v>
      </c>
      <c r="L3472">
        <v>2460</v>
      </c>
      <c r="M3472" s="21" t="s">
        <v>3034</v>
      </c>
      <c r="O3472">
        <v>1988</v>
      </c>
      <c r="S3472" s="9" t="s">
        <v>3128</v>
      </c>
      <c r="T3472" t="s">
        <v>3127</v>
      </c>
      <c r="U3472" s="21" t="s">
        <v>1218</v>
      </c>
      <c r="V3472" s="9" t="s">
        <v>3132</v>
      </c>
      <c r="W3472">
        <f>7*12</f>
        <v>84</v>
      </c>
      <c r="X3472" s="9" t="s">
        <v>3129</v>
      </c>
      <c r="Y3472" t="s">
        <v>3134</v>
      </c>
      <c r="Z3472">
        <v>12</v>
      </c>
      <c r="AD3472" t="s">
        <v>1165</v>
      </c>
      <c r="AF3472" t="s">
        <v>1165</v>
      </c>
      <c r="AI3472" s="21" t="s">
        <v>1165</v>
      </c>
      <c r="AJ3472" s="21" t="s">
        <v>1148</v>
      </c>
      <c r="AK3472">
        <v>23</v>
      </c>
      <c r="AN3472" s="21">
        <v>4</v>
      </c>
      <c r="AO3472" s="21">
        <v>25</v>
      </c>
      <c r="AP3472">
        <v>28</v>
      </c>
      <c r="AQ3472" s="22" t="s">
        <v>1283</v>
      </c>
      <c r="AR3472" s="21" t="s">
        <v>3130</v>
      </c>
    </row>
    <row r="3473" spans="1:44" x14ac:dyDescent="0.2">
      <c r="A3473" s="21" t="s">
        <v>1775</v>
      </c>
      <c r="B3473" s="21" t="s">
        <v>1146</v>
      </c>
      <c r="C3473" s="21" t="s">
        <v>1149</v>
      </c>
      <c r="D3473" s="21" t="s">
        <v>1774</v>
      </c>
      <c r="E3473" s="21" t="s">
        <v>3152</v>
      </c>
      <c r="G3473" s="21" t="s">
        <v>1165</v>
      </c>
      <c r="H3473" s="21" t="s">
        <v>1165</v>
      </c>
      <c r="I3473" s="21" t="s">
        <v>3154</v>
      </c>
      <c r="L3473">
        <v>2460</v>
      </c>
      <c r="M3473" s="21" t="s">
        <v>3034</v>
      </c>
      <c r="O3473">
        <v>1988</v>
      </c>
      <c r="S3473" s="9" t="s">
        <v>3128</v>
      </c>
      <c r="T3473" t="s">
        <v>3127</v>
      </c>
      <c r="U3473" s="21" t="s">
        <v>1218</v>
      </c>
      <c r="V3473" s="9" t="s">
        <v>3132</v>
      </c>
      <c r="W3473">
        <f>7*12</f>
        <v>84</v>
      </c>
      <c r="X3473" s="9" t="s">
        <v>3129</v>
      </c>
      <c r="Y3473" t="s">
        <v>3135</v>
      </c>
      <c r="Z3473">
        <v>12</v>
      </c>
      <c r="AD3473" t="s">
        <v>1165</v>
      </c>
      <c r="AF3473" t="s">
        <v>1165</v>
      </c>
      <c r="AI3473" s="21" t="s">
        <v>1165</v>
      </c>
      <c r="AJ3473" s="21" t="s">
        <v>1148</v>
      </c>
      <c r="AK3473">
        <v>19</v>
      </c>
      <c r="AN3473" s="21">
        <v>4</v>
      </c>
      <c r="AO3473" s="21">
        <v>25</v>
      </c>
      <c r="AP3473">
        <v>28</v>
      </c>
      <c r="AQ3473" s="22" t="s">
        <v>1283</v>
      </c>
      <c r="AR3473" s="21" t="s">
        <v>3130</v>
      </c>
    </row>
    <row r="3474" spans="1:44" x14ac:dyDescent="0.2">
      <c r="A3474" s="21" t="s">
        <v>1775</v>
      </c>
      <c r="B3474" s="21" t="s">
        <v>1146</v>
      </c>
      <c r="C3474" s="21" t="s">
        <v>1149</v>
      </c>
      <c r="D3474" s="21" t="s">
        <v>1774</v>
      </c>
      <c r="E3474" s="21" t="s">
        <v>3152</v>
      </c>
      <c r="G3474" s="21" t="s">
        <v>1165</v>
      </c>
      <c r="H3474" s="21" t="s">
        <v>1165</v>
      </c>
      <c r="I3474" s="21" t="s">
        <v>3153</v>
      </c>
      <c r="L3474">
        <v>2980</v>
      </c>
      <c r="M3474" s="21" t="s">
        <v>3034</v>
      </c>
      <c r="O3474">
        <v>1988</v>
      </c>
      <c r="S3474" s="9" t="s">
        <v>3128</v>
      </c>
      <c r="T3474" t="s">
        <v>3127</v>
      </c>
      <c r="U3474" s="21" t="s">
        <v>1147</v>
      </c>
      <c r="X3474" s="9" t="s">
        <v>3129</v>
      </c>
      <c r="Z3474">
        <v>12</v>
      </c>
      <c r="AD3474" t="s">
        <v>1165</v>
      </c>
      <c r="AF3474" t="s">
        <v>1165</v>
      </c>
      <c r="AI3474" s="21" t="s">
        <v>1165</v>
      </c>
      <c r="AJ3474" s="21" t="s">
        <v>1148</v>
      </c>
      <c r="AK3474">
        <v>1</v>
      </c>
      <c r="AN3474" s="21">
        <v>4</v>
      </c>
      <c r="AO3474" s="21">
        <v>25</v>
      </c>
      <c r="AP3474">
        <v>28</v>
      </c>
      <c r="AQ3474" s="22" t="s">
        <v>1283</v>
      </c>
      <c r="AR3474" s="21" t="s">
        <v>3130</v>
      </c>
    </row>
    <row r="3475" spans="1:44" x14ac:dyDescent="0.2">
      <c r="A3475" s="21" t="s">
        <v>1775</v>
      </c>
      <c r="B3475" s="21" t="s">
        <v>1146</v>
      </c>
      <c r="C3475" s="21" t="s">
        <v>1149</v>
      </c>
      <c r="D3475" s="21" t="s">
        <v>1774</v>
      </c>
      <c r="E3475" s="21" t="s">
        <v>3152</v>
      </c>
      <c r="G3475" s="21" t="s">
        <v>1165</v>
      </c>
      <c r="H3475" s="21" t="s">
        <v>1165</v>
      </c>
      <c r="I3475" s="21" t="s">
        <v>3153</v>
      </c>
      <c r="L3475">
        <v>2980</v>
      </c>
      <c r="M3475" s="21" t="s">
        <v>3034</v>
      </c>
      <c r="O3475">
        <v>1988</v>
      </c>
      <c r="S3475" s="9" t="s">
        <v>3128</v>
      </c>
      <c r="T3475" t="s">
        <v>3127</v>
      </c>
      <c r="U3475" s="21" t="s">
        <v>1218</v>
      </c>
      <c r="V3475" s="9" t="s">
        <v>3132</v>
      </c>
      <c r="W3475">
        <f>4*7</f>
        <v>28</v>
      </c>
      <c r="X3475" s="9" t="s">
        <v>3129</v>
      </c>
      <c r="Z3475">
        <v>12</v>
      </c>
      <c r="AD3475" t="s">
        <v>1165</v>
      </c>
      <c r="AF3475" t="s">
        <v>1165</v>
      </c>
      <c r="AI3475" s="21" t="s">
        <v>1165</v>
      </c>
      <c r="AJ3475" s="21" t="s">
        <v>1148</v>
      </c>
      <c r="AK3475">
        <v>0</v>
      </c>
      <c r="AN3475" s="21">
        <v>4</v>
      </c>
      <c r="AO3475" s="21">
        <v>25</v>
      </c>
      <c r="AP3475">
        <v>28</v>
      </c>
      <c r="AQ3475" s="22" t="s">
        <v>1283</v>
      </c>
      <c r="AR3475" s="21" t="s">
        <v>3130</v>
      </c>
    </row>
    <row r="3476" spans="1:44" x14ac:dyDescent="0.2">
      <c r="A3476" s="21" t="s">
        <v>1775</v>
      </c>
      <c r="B3476" s="21" t="s">
        <v>1146</v>
      </c>
      <c r="C3476" s="21" t="s">
        <v>1149</v>
      </c>
      <c r="D3476" s="21" t="s">
        <v>1774</v>
      </c>
      <c r="E3476" s="21" t="s">
        <v>3152</v>
      </c>
      <c r="G3476" s="21" t="s">
        <v>1165</v>
      </c>
      <c r="H3476" s="21" t="s">
        <v>1165</v>
      </c>
      <c r="I3476" s="21" t="s">
        <v>3153</v>
      </c>
      <c r="L3476">
        <v>2980</v>
      </c>
      <c r="M3476" s="21" t="s">
        <v>3034</v>
      </c>
      <c r="O3476">
        <v>1988</v>
      </c>
      <c r="S3476" s="9" t="s">
        <v>3128</v>
      </c>
      <c r="T3476" t="s">
        <v>3127</v>
      </c>
      <c r="U3476" s="21" t="s">
        <v>1218</v>
      </c>
      <c r="V3476" s="9" t="s">
        <v>3132</v>
      </c>
      <c r="W3476">
        <v>56</v>
      </c>
      <c r="X3476" s="9" t="s">
        <v>3129</v>
      </c>
      <c r="Z3476">
        <v>12</v>
      </c>
      <c r="AD3476" t="s">
        <v>1165</v>
      </c>
      <c r="AF3476" t="s">
        <v>1165</v>
      </c>
      <c r="AI3476" s="21" t="s">
        <v>1165</v>
      </c>
      <c r="AJ3476" s="21" t="s">
        <v>1148</v>
      </c>
      <c r="AK3476">
        <v>16</v>
      </c>
      <c r="AN3476" s="21">
        <v>4</v>
      </c>
      <c r="AO3476" s="21">
        <v>25</v>
      </c>
      <c r="AP3476">
        <v>28</v>
      </c>
      <c r="AQ3476" s="22" t="s">
        <v>1283</v>
      </c>
      <c r="AR3476" s="21" t="s">
        <v>3130</v>
      </c>
    </row>
    <row r="3477" spans="1:44" x14ac:dyDescent="0.2">
      <c r="A3477" s="21" t="s">
        <v>1775</v>
      </c>
      <c r="B3477" s="21" t="s">
        <v>1146</v>
      </c>
      <c r="C3477" s="21" t="s">
        <v>1149</v>
      </c>
      <c r="D3477" s="21" t="s">
        <v>1774</v>
      </c>
      <c r="E3477" s="21" t="s">
        <v>3152</v>
      </c>
      <c r="G3477" s="21" t="s">
        <v>1165</v>
      </c>
      <c r="H3477" s="21" t="s">
        <v>1165</v>
      </c>
      <c r="I3477" s="21" t="s">
        <v>3153</v>
      </c>
      <c r="L3477">
        <v>2980</v>
      </c>
      <c r="M3477" s="21" t="s">
        <v>3034</v>
      </c>
      <c r="O3477">
        <v>1988</v>
      </c>
      <c r="S3477" s="9" t="s">
        <v>3128</v>
      </c>
      <c r="T3477" t="s">
        <v>3127</v>
      </c>
      <c r="U3477" s="21" t="s">
        <v>1218</v>
      </c>
      <c r="V3477" s="9" t="s">
        <v>3132</v>
      </c>
      <c r="W3477">
        <f>7*12</f>
        <v>84</v>
      </c>
      <c r="X3477" s="9" t="s">
        <v>3129</v>
      </c>
      <c r="Z3477">
        <v>12</v>
      </c>
      <c r="AD3477" t="s">
        <v>1165</v>
      </c>
      <c r="AF3477" t="s">
        <v>1165</v>
      </c>
      <c r="AI3477" s="21" t="s">
        <v>1165</v>
      </c>
      <c r="AJ3477" s="21" t="s">
        <v>1148</v>
      </c>
      <c r="AK3477">
        <v>48</v>
      </c>
      <c r="AN3477" s="21">
        <v>4</v>
      </c>
      <c r="AO3477" s="21">
        <v>25</v>
      </c>
      <c r="AP3477">
        <v>28</v>
      </c>
      <c r="AQ3477" s="22" t="s">
        <v>1283</v>
      </c>
      <c r="AR3477" s="21" t="s">
        <v>3130</v>
      </c>
    </row>
    <row r="3478" spans="1:44" x14ac:dyDescent="0.2">
      <c r="A3478" s="21" t="s">
        <v>1775</v>
      </c>
      <c r="B3478" s="21" t="s">
        <v>1146</v>
      </c>
      <c r="C3478" s="21" t="s">
        <v>1149</v>
      </c>
      <c r="D3478" s="21" t="s">
        <v>1774</v>
      </c>
      <c r="E3478" s="21" t="s">
        <v>3152</v>
      </c>
      <c r="G3478" s="21" t="s">
        <v>1165</v>
      </c>
      <c r="H3478" s="21" t="s">
        <v>1165</v>
      </c>
      <c r="I3478" s="21" t="s">
        <v>3153</v>
      </c>
      <c r="L3478">
        <v>2980</v>
      </c>
      <c r="M3478" s="21" t="s">
        <v>3034</v>
      </c>
      <c r="O3478">
        <v>1988</v>
      </c>
      <c r="S3478" s="9" t="s">
        <v>3128</v>
      </c>
      <c r="T3478" t="s">
        <v>3127</v>
      </c>
      <c r="U3478" s="21" t="s">
        <v>1218</v>
      </c>
      <c r="V3478" s="9" t="s">
        <v>3132</v>
      </c>
      <c r="W3478">
        <f>7*16</f>
        <v>112</v>
      </c>
      <c r="X3478" s="9" t="s">
        <v>3129</v>
      </c>
      <c r="Z3478">
        <v>12</v>
      </c>
      <c r="AD3478" t="s">
        <v>1165</v>
      </c>
      <c r="AF3478" t="s">
        <v>1165</v>
      </c>
      <c r="AI3478" s="21" t="s">
        <v>1165</v>
      </c>
      <c r="AJ3478" s="21" t="s">
        <v>1148</v>
      </c>
      <c r="AK3478">
        <v>75</v>
      </c>
      <c r="AN3478" s="21">
        <v>4</v>
      </c>
      <c r="AO3478" s="21">
        <v>25</v>
      </c>
      <c r="AP3478">
        <v>28</v>
      </c>
      <c r="AQ3478" s="22" t="s">
        <v>1283</v>
      </c>
      <c r="AR3478" s="21" t="s">
        <v>3130</v>
      </c>
    </row>
    <row r="3479" spans="1:44" x14ac:dyDescent="0.2">
      <c r="A3479" s="21" t="s">
        <v>1775</v>
      </c>
      <c r="B3479" s="21" t="s">
        <v>1146</v>
      </c>
      <c r="C3479" s="21" t="s">
        <v>1149</v>
      </c>
      <c r="D3479" s="21" t="s">
        <v>1774</v>
      </c>
      <c r="E3479" s="21" t="s">
        <v>3152</v>
      </c>
      <c r="G3479" s="21" t="s">
        <v>1165</v>
      </c>
      <c r="H3479" s="21" t="s">
        <v>1165</v>
      </c>
      <c r="I3479" s="21" t="s">
        <v>3153</v>
      </c>
      <c r="L3479">
        <v>2980</v>
      </c>
      <c r="M3479" s="21" t="s">
        <v>3034</v>
      </c>
      <c r="O3479">
        <v>1988</v>
      </c>
      <c r="S3479" s="9" t="s">
        <v>3128</v>
      </c>
      <c r="T3479" t="s">
        <v>3127</v>
      </c>
      <c r="U3479" s="21" t="s">
        <v>1218</v>
      </c>
      <c r="V3479" s="9" t="s">
        <v>3132</v>
      </c>
      <c r="W3479">
        <f>7*24</f>
        <v>168</v>
      </c>
      <c r="X3479" s="9" t="s">
        <v>3129</v>
      </c>
      <c r="Z3479">
        <v>12</v>
      </c>
      <c r="AD3479" t="s">
        <v>1165</v>
      </c>
      <c r="AF3479" t="s">
        <v>1165</v>
      </c>
      <c r="AI3479" s="21" t="s">
        <v>1165</v>
      </c>
      <c r="AJ3479" s="21" t="s">
        <v>1148</v>
      </c>
      <c r="AK3479">
        <v>88</v>
      </c>
      <c r="AN3479" s="21">
        <v>4</v>
      </c>
      <c r="AO3479" s="21">
        <v>25</v>
      </c>
      <c r="AP3479">
        <v>28</v>
      </c>
      <c r="AQ3479" s="22" t="s">
        <v>1283</v>
      </c>
      <c r="AR3479" s="21" t="s">
        <v>3130</v>
      </c>
    </row>
    <row r="3480" spans="1:44" x14ac:dyDescent="0.2">
      <c r="A3480" s="21" t="s">
        <v>1775</v>
      </c>
      <c r="B3480" s="21" t="s">
        <v>1146</v>
      </c>
      <c r="C3480" s="21" t="s">
        <v>1149</v>
      </c>
      <c r="D3480" s="21" t="s">
        <v>1774</v>
      </c>
      <c r="E3480" s="21" t="s">
        <v>3152</v>
      </c>
      <c r="G3480" s="21" t="s">
        <v>1165</v>
      </c>
      <c r="H3480" s="21" t="s">
        <v>1165</v>
      </c>
      <c r="I3480" s="21" t="s">
        <v>3153</v>
      </c>
      <c r="L3480">
        <v>2980</v>
      </c>
      <c r="M3480" s="21" t="s">
        <v>3034</v>
      </c>
      <c r="O3480">
        <v>1988</v>
      </c>
      <c r="S3480" s="9" t="s">
        <v>3128</v>
      </c>
      <c r="T3480" t="s">
        <v>3127</v>
      </c>
      <c r="U3480" s="21" t="s">
        <v>1218</v>
      </c>
      <c r="V3480" s="9" t="s">
        <v>3132</v>
      </c>
      <c r="W3480">
        <f>7*12</f>
        <v>84</v>
      </c>
      <c r="X3480" s="9" t="s">
        <v>3129</v>
      </c>
      <c r="Y3480" t="s">
        <v>3133</v>
      </c>
      <c r="Z3480">
        <v>12</v>
      </c>
      <c r="AD3480" t="s">
        <v>1165</v>
      </c>
      <c r="AF3480" t="s">
        <v>1165</v>
      </c>
      <c r="AI3480" s="21" t="s">
        <v>1165</v>
      </c>
      <c r="AJ3480" s="21" t="s">
        <v>1148</v>
      </c>
      <c r="AK3480">
        <v>33</v>
      </c>
      <c r="AN3480" s="21">
        <v>4</v>
      </c>
      <c r="AO3480" s="21">
        <v>25</v>
      </c>
      <c r="AP3480">
        <v>28</v>
      </c>
      <c r="AQ3480" s="22" t="s">
        <v>1283</v>
      </c>
      <c r="AR3480" s="21" t="s">
        <v>3130</v>
      </c>
    </row>
    <row r="3481" spans="1:44" x14ac:dyDescent="0.2">
      <c r="A3481" s="21" t="s">
        <v>1775</v>
      </c>
      <c r="B3481" s="21" t="s">
        <v>1146</v>
      </c>
      <c r="C3481" s="21" t="s">
        <v>1149</v>
      </c>
      <c r="D3481" s="21" t="s">
        <v>1774</v>
      </c>
      <c r="E3481" s="21" t="s">
        <v>3152</v>
      </c>
      <c r="G3481" s="21" t="s">
        <v>1165</v>
      </c>
      <c r="H3481" s="21" t="s">
        <v>1165</v>
      </c>
      <c r="I3481" s="21" t="s">
        <v>3153</v>
      </c>
      <c r="L3481">
        <v>2980</v>
      </c>
      <c r="M3481" s="21" t="s">
        <v>3034</v>
      </c>
      <c r="O3481">
        <v>1988</v>
      </c>
      <c r="S3481" s="9" t="s">
        <v>3128</v>
      </c>
      <c r="T3481" t="s">
        <v>3127</v>
      </c>
      <c r="U3481" s="21" t="s">
        <v>1218</v>
      </c>
      <c r="V3481" s="9" t="s">
        <v>3132</v>
      </c>
      <c r="W3481">
        <f>7*12</f>
        <v>84</v>
      </c>
      <c r="X3481" s="9" t="s">
        <v>3129</v>
      </c>
      <c r="Y3481" t="s">
        <v>3134</v>
      </c>
      <c r="Z3481">
        <v>12</v>
      </c>
      <c r="AD3481" t="s">
        <v>1165</v>
      </c>
      <c r="AF3481" t="s">
        <v>1165</v>
      </c>
      <c r="AI3481" s="21" t="s">
        <v>1165</v>
      </c>
      <c r="AJ3481" s="21" t="s">
        <v>1148</v>
      </c>
      <c r="AK3481">
        <v>20</v>
      </c>
      <c r="AN3481" s="21">
        <v>4</v>
      </c>
      <c r="AO3481" s="21">
        <v>25</v>
      </c>
      <c r="AP3481">
        <v>28</v>
      </c>
      <c r="AQ3481" s="22" t="s">
        <v>1283</v>
      </c>
      <c r="AR3481" s="21" t="s">
        <v>3130</v>
      </c>
    </row>
    <row r="3482" spans="1:44" x14ac:dyDescent="0.2">
      <c r="A3482" s="21" t="s">
        <v>1775</v>
      </c>
      <c r="B3482" s="21" t="s">
        <v>1146</v>
      </c>
      <c r="C3482" s="21" t="s">
        <v>1149</v>
      </c>
      <c r="D3482" s="21" t="s">
        <v>1774</v>
      </c>
      <c r="E3482" s="21" t="s">
        <v>3152</v>
      </c>
      <c r="G3482" s="21" t="s">
        <v>1165</v>
      </c>
      <c r="H3482" s="21" t="s">
        <v>1165</v>
      </c>
      <c r="I3482" s="21" t="s">
        <v>3153</v>
      </c>
      <c r="L3482">
        <v>2980</v>
      </c>
      <c r="M3482" s="21" t="s">
        <v>3034</v>
      </c>
      <c r="O3482">
        <v>1988</v>
      </c>
      <c r="S3482" s="9" t="s">
        <v>3128</v>
      </c>
      <c r="T3482" t="s">
        <v>3127</v>
      </c>
      <c r="U3482" s="21" t="s">
        <v>1218</v>
      </c>
      <c r="V3482" s="9" t="s">
        <v>3132</v>
      </c>
      <c r="W3482">
        <f>7*12</f>
        <v>84</v>
      </c>
      <c r="X3482" s="9" t="s">
        <v>3129</v>
      </c>
      <c r="Y3482" t="s">
        <v>3135</v>
      </c>
      <c r="Z3482">
        <v>12</v>
      </c>
      <c r="AD3482" t="s">
        <v>1165</v>
      </c>
      <c r="AF3482" t="s">
        <v>1165</v>
      </c>
      <c r="AI3482" s="21" t="s">
        <v>1165</v>
      </c>
      <c r="AJ3482" s="21" t="s">
        <v>1148</v>
      </c>
      <c r="AK3482">
        <v>29</v>
      </c>
      <c r="AN3482" s="21">
        <v>4</v>
      </c>
      <c r="AO3482" s="21">
        <v>25</v>
      </c>
      <c r="AP3482">
        <v>28</v>
      </c>
      <c r="AQ3482" s="22" t="s">
        <v>1283</v>
      </c>
      <c r="AR3482" s="21" t="s">
        <v>3130</v>
      </c>
    </row>
    <row r="3483" spans="1:44" x14ac:dyDescent="0.2">
      <c r="A3483" s="21" t="s">
        <v>1775</v>
      </c>
      <c r="B3483" s="21" t="s">
        <v>1146</v>
      </c>
      <c r="C3483" s="21" t="s">
        <v>1149</v>
      </c>
      <c r="D3483" s="21" t="s">
        <v>1774</v>
      </c>
      <c r="E3483" s="21" t="s">
        <v>3155</v>
      </c>
      <c r="G3483" s="21" t="s">
        <v>1165</v>
      </c>
      <c r="H3483" s="21" t="s">
        <v>1165</v>
      </c>
      <c r="I3483" s="21" t="s">
        <v>3157</v>
      </c>
      <c r="L3483">
        <v>550</v>
      </c>
      <c r="M3483" s="21" t="s">
        <v>3034</v>
      </c>
      <c r="O3483">
        <v>1988</v>
      </c>
      <c r="S3483" s="9" t="s">
        <v>3128</v>
      </c>
      <c r="T3483" t="s">
        <v>3127</v>
      </c>
      <c r="U3483" s="21" t="s">
        <v>1147</v>
      </c>
      <c r="X3483" s="9" t="s">
        <v>3129</v>
      </c>
      <c r="Z3483">
        <v>12</v>
      </c>
      <c r="AD3483" t="s">
        <v>1165</v>
      </c>
      <c r="AF3483" t="s">
        <v>1165</v>
      </c>
      <c r="AI3483" s="21" t="s">
        <v>1165</v>
      </c>
      <c r="AJ3483" s="21" t="s">
        <v>1148</v>
      </c>
      <c r="AK3483">
        <v>11</v>
      </c>
      <c r="AN3483" s="21">
        <v>4</v>
      </c>
      <c r="AO3483" s="21">
        <v>25</v>
      </c>
      <c r="AP3483">
        <v>28</v>
      </c>
      <c r="AQ3483" s="22" t="s">
        <v>1283</v>
      </c>
      <c r="AR3483" s="21" t="s">
        <v>3130</v>
      </c>
    </row>
    <row r="3484" spans="1:44" x14ac:dyDescent="0.2">
      <c r="A3484" s="21" t="s">
        <v>1775</v>
      </c>
      <c r="B3484" s="21" t="s">
        <v>1146</v>
      </c>
      <c r="C3484" s="21" t="s">
        <v>1149</v>
      </c>
      <c r="D3484" s="21" t="s">
        <v>1774</v>
      </c>
      <c r="E3484" s="21" t="s">
        <v>3155</v>
      </c>
      <c r="G3484" s="21" t="s">
        <v>1165</v>
      </c>
      <c r="H3484" s="21" t="s">
        <v>1165</v>
      </c>
      <c r="I3484" s="21" t="s">
        <v>3157</v>
      </c>
      <c r="L3484">
        <v>550</v>
      </c>
      <c r="M3484" s="21" t="s">
        <v>3034</v>
      </c>
      <c r="O3484">
        <v>1988</v>
      </c>
      <c r="S3484" s="9" t="s">
        <v>3128</v>
      </c>
      <c r="T3484" t="s">
        <v>3127</v>
      </c>
      <c r="U3484" s="21" t="s">
        <v>1218</v>
      </c>
      <c r="V3484" s="9" t="s">
        <v>3132</v>
      </c>
      <c r="W3484">
        <f>4*7</f>
        <v>28</v>
      </c>
      <c r="X3484" s="9" t="s">
        <v>3129</v>
      </c>
      <c r="Z3484">
        <v>12</v>
      </c>
      <c r="AD3484" t="s">
        <v>1165</v>
      </c>
      <c r="AF3484" t="s">
        <v>1165</v>
      </c>
      <c r="AI3484" s="21" t="s">
        <v>1165</v>
      </c>
      <c r="AJ3484" s="21" t="s">
        <v>1148</v>
      </c>
      <c r="AK3484">
        <v>26</v>
      </c>
      <c r="AN3484" s="21">
        <v>4</v>
      </c>
      <c r="AO3484" s="21">
        <v>25</v>
      </c>
      <c r="AP3484">
        <v>28</v>
      </c>
      <c r="AQ3484" s="22" t="s">
        <v>1283</v>
      </c>
      <c r="AR3484" s="21" t="s">
        <v>3130</v>
      </c>
    </row>
    <row r="3485" spans="1:44" x14ac:dyDescent="0.2">
      <c r="A3485" s="21" t="s">
        <v>1775</v>
      </c>
      <c r="B3485" s="21" t="s">
        <v>1146</v>
      </c>
      <c r="C3485" s="21" t="s">
        <v>1149</v>
      </c>
      <c r="D3485" s="21" t="s">
        <v>1774</v>
      </c>
      <c r="E3485" s="21" t="s">
        <v>3155</v>
      </c>
      <c r="G3485" s="21" t="s">
        <v>1165</v>
      </c>
      <c r="H3485" s="21" t="s">
        <v>1165</v>
      </c>
      <c r="I3485" s="21" t="s">
        <v>3157</v>
      </c>
      <c r="L3485">
        <v>550</v>
      </c>
      <c r="M3485" s="21" t="s">
        <v>3034</v>
      </c>
      <c r="O3485">
        <v>1988</v>
      </c>
      <c r="S3485" s="9" t="s">
        <v>3128</v>
      </c>
      <c r="T3485" t="s">
        <v>3127</v>
      </c>
      <c r="U3485" s="21" t="s">
        <v>1218</v>
      </c>
      <c r="V3485" s="9" t="s">
        <v>3132</v>
      </c>
      <c r="W3485">
        <v>56</v>
      </c>
      <c r="X3485" s="9" t="s">
        <v>3129</v>
      </c>
      <c r="Z3485">
        <v>12</v>
      </c>
      <c r="AD3485" t="s">
        <v>1165</v>
      </c>
      <c r="AF3485" t="s">
        <v>1165</v>
      </c>
      <c r="AI3485" s="21" t="s">
        <v>1165</v>
      </c>
      <c r="AJ3485" s="21" t="s">
        <v>1148</v>
      </c>
      <c r="AK3485">
        <v>81</v>
      </c>
      <c r="AN3485" s="21">
        <v>4</v>
      </c>
      <c r="AO3485" s="21">
        <v>25</v>
      </c>
      <c r="AP3485">
        <v>28</v>
      </c>
      <c r="AQ3485" s="22" t="s">
        <v>1283</v>
      </c>
      <c r="AR3485" s="21" t="s">
        <v>3130</v>
      </c>
    </row>
    <row r="3486" spans="1:44" x14ac:dyDescent="0.2">
      <c r="A3486" s="21" t="s">
        <v>1775</v>
      </c>
      <c r="B3486" s="21" t="s">
        <v>1146</v>
      </c>
      <c r="C3486" s="21" t="s">
        <v>1149</v>
      </c>
      <c r="D3486" s="21" t="s">
        <v>1774</v>
      </c>
      <c r="E3486" s="21" t="s">
        <v>3155</v>
      </c>
      <c r="G3486" s="21" t="s">
        <v>1165</v>
      </c>
      <c r="H3486" s="21" t="s">
        <v>1165</v>
      </c>
      <c r="I3486" s="21" t="s">
        <v>3157</v>
      </c>
      <c r="L3486">
        <v>550</v>
      </c>
      <c r="M3486" s="21" t="s">
        <v>3034</v>
      </c>
      <c r="O3486">
        <v>1988</v>
      </c>
      <c r="S3486" s="9" t="s">
        <v>3128</v>
      </c>
      <c r="T3486" t="s">
        <v>3127</v>
      </c>
      <c r="U3486" s="21" t="s">
        <v>1218</v>
      </c>
      <c r="V3486" s="9" t="s">
        <v>3132</v>
      </c>
      <c r="W3486">
        <f>7*12</f>
        <v>84</v>
      </c>
      <c r="X3486" s="9" t="s">
        <v>3129</v>
      </c>
      <c r="Z3486">
        <v>12</v>
      </c>
      <c r="AD3486" t="s">
        <v>1165</v>
      </c>
      <c r="AF3486" t="s">
        <v>1165</v>
      </c>
      <c r="AI3486" s="21" t="s">
        <v>1165</v>
      </c>
      <c r="AJ3486" s="21" t="s">
        <v>1148</v>
      </c>
      <c r="AK3486">
        <v>96</v>
      </c>
      <c r="AN3486" s="21">
        <v>4</v>
      </c>
      <c r="AO3486" s="21">
        <v>25</v>
      </c>
      <c r="AP3486">
        <v>28</v>
      </c>
      <c r="AQ3486" s="22" t="s">
        <v>1283</v>
      </c>
      <c r="AR3486" s="21" t="s">
        <v>3130</v>
      </c>
    </row>
    <row r="3487" spans="1:44" x14ac:dyDescent="0.2">
      <c r="A3487" s="21" t="s">
        <v>1775</v>
      </c>
      <c r="B3487" s="21" t="s">
        <v>1146</v>
      </c>
      <c r="C3487" s="21" t="s">
        <v>1149</v>
      </c>
      <c r="D3487" s="21" t="s">
        <v>1774</v>
      </c>
      <c r="E3487" s="21" t="s">
        <v>3155</v>
      </c>
      <c r="G3487" s="21" t="s">
        <v>1165</v>
      </c>
      <c r="H3487" s="21" t="s">
        <v>1165</v>
      </c>
      <c r="I3487" s="21" t="s">
        <v>3157</v>
      </c>
      <c r="L3487">
        <v>550</v>
      </c>
      <c r="M3487" s="21" t="s">
        <v>3034</v>
      </c>
      <c r="O3487">
        <v>1988</v>
      </c>
      <c r="S3487" s="9" t="s">
        <v>3128</v>
      </c>
      <c r="T3487" t="s">
        <v>3127</v>
      </c>
      <c r="U3487" s="21" t="s">
        <v>1218</v>
      </c>
      <c r="V3487" s="9" t="s">
        <v>3132</v>
      </c>
      <c r="W3487">
        <f>7*16</f>
        <v>112</v>
      </c>
      <c r="X3487" s="9" t="s">
        <v>3129</v>
      </c>
      <c r="Z3487">
        <v>12</v>
      </c>
      <c r="AD3487" t="s">
        <v>1165</v>
      </c>
      <c r="AF3487" t="s">
        <v>1165</v>
      </c>
      <c r="AI3487" s="21" t="s">
        <v>1165</v>
      </c>
      <c r="AJ3487" s="21" t="s">
        <v>1148</v>
      </c>
      <c r="AK3487">
        <v>97</v>
      </c>
      <c r="AN3487" s="21">
        <v>4</v>
      </c>
      <c r="AO3487" s="21">
        <v>25</v>
      </c>
      <c r="AP3487">
        <v>28</v>
      </c>
      <c r="AQ3487" s="22" t="s">
        <v>1283</v>
      </c>
      <c r="AR3487" s="21" t="s">
        <v>3130</v>
      </c>
    </row>
    <row r="3488" spans="1:44" x14ac:dyDescent="0.2">
      <c r="A3488" s="21" t="s">
        <v>1775</v>
      </c>
      <c r="B3488" s="21" t="s">
        <v>1146</v>
      </c>
      <c r="C3488" s="21" t="s">
        <v>1149</v>
      </c>
      <c r="D3488" s="21" t="s">
        <v>1774</v>
      </c>
      <c r="E3488" s="21" t="s">
        <v>3155</v>
      </c>
      <c r="G3488" s="21" t="s">
        <v>1165</v>
      </c>
      <c r="H3488" s="21" t="s">
        <v>1165</v>
      </c>
      <c r="I3488" s="21" t="s">
        <v>3157</v>
      </c>
      <c r="L3488">
        <v>550</v>
      </c>
      <c r="M3488" s="21" t="s">
        <v>3034</v>
      </c>
      <c r="O3488">
        <v>1988</v>
      </c>
      <c r="S3488" s="9" t="s">
        <v>3128</v>
      </c>
      <c r="T3488" t="s">
        <v>3127</v>
      </c>
      <c r="U3488" s="21" t="s">
        <v>1218</v>
      </c>
      <c r="V3488" s="9" t="s">
        <v>3132</v>
      </c>
      <c r="W3488">
        <f>7*24</f>
        <v>168</v>
      </c>
      <c r="X3488" s="9" t="s">
        <v>3129</v>
      </c>
      <c r="Z3488">
        <v>12</v>
      </c>
      <c r="AD3488" t="s">
        <v>1165</v>
      </c>
      <c r="AF3488" t="s">
        <v>1165</v>
      </c>
      <c r="AI3488" s="21" t="s">
        <v>1165</v>
      </c>
      <c r="AJ3488" s="21" t="s">
        <v>1148</v>
      </c>
      <c r="AK3488">
        <v>100</v>
      </c>
      <c r="AN3488" s="21">
        <v>4</v>
      </c>
      <c r="AO3488" s="21">
        <v>25</v>
      </c>
      <c r="AP3488">
        <v>28</v>
      </c>
      <c r="AQ3488" s="22" t="s">
        <v>1283</v>
      </c>
      <c r="AR3488" s="21" t="s">
        <v>3130</v>
      </c>
    </row>
    <row r="3489" spans="1:44" x14ac:dyDescent="0.2">
      <c r="A3489" s="21" t="s">
        <v>1775</v>
      </c>
      <c r="B3489" s="21" t="s">
        <v>1146</v>
      </c>
      <c r="C3489" s="21" t="s">
        <v>1149</v>
      </c>
      <c r="D3489" s="21" t="s">
        <v>1774</v>
      </c>
      <c r="E3489" s="21" t="s">
        <v>3155</v>
      </c>
      <c r="G3489" s="21" t="s">
        <v>1165</v>
      </c>
      <c r="H3489" s="21" t="s">
        <v>1165</v>
      </c>
      <c r="I3489" s="21" t="s">
        <v>3157</v>
      </c>
      <c r="L3489">
        <v>550</v>
      </c>
      <c r="M3489" s="21" t="s">
        <v>3034</v>
      </c>
      <c r="O3489">
        <v>1988</v>
      </c>
      <c r="S3489" s="9" t="s">
        <v>3128</v>
      </c>
      <c r="T3489" t="s">
        <v>3127</v>
      </c>
      <c r="U3489" s="21" t="s">
        <v>1218</v>
      </c>
      <c r="V3489" s="9" t="s">
        <v>3132</v>
      </c>
      <c r="W3489">
        <f>7*12</f>
        <v>84</v>
      </c>
      <c r="X3489" s="9" t="s">
        <v>3129</v>
      </c>
      <c r="Y3489" t="s">
        <v>3133</v>
      </c>
      <c r="Z3489">
        <v>12</v>
      </c>
      <c r="AD3489" t="s">
        <v>1165</v>
      </c>
      <c r="AF3489" t="s">
        <v>1165</v>
      </c>
      <c r="AI3489" s="21" t="s">
        <v>1165</v>
      </c>
      <c r="AJ3489" s="21" t="s">
        <v>1148</v>
      </c>
      <c r="AK3489">
        <v>100</v>
      </c>
      <c r="AN3489" s="21">
        <v>4</v>
      </c>
      <c r="AO3489" s="21">
        <v>25</v>
      </c>
      <c r="AP3489">
        <v>28</v>
      </c>
      <c r="AQ3489" s="22" t="s">
        <v>1283</v>
      </c>
      <c r="AR3489" s="21" t="s">
        <v>3130</v>
      </c>
    </row>
    <row r="3490" spans="1:44" x14ac:dyDescent="0.2">
      <c r="A3490" s="21" t="s">
        <v>1775</v>
      </c>
      <c r="B3490" s="21" t="s">
        <v>1146</v>
      </c>
      <c r="C3490" s="21" t="s">
        <v>1149</v>
      </c>
      <c r="D3490" s="21" t="s">
        <v>1774</v>
      </c>
      <c r="E3490" s="21" t="s">
        <v>3155</v>
      </c>
      <c r="G3490" s="21" t="s">
        <v>1165</v>
      </c>
      <c r="H3490" s="21" t="s">
        <v>1165</v>
      </c>
      <c r="I3490" s="21" t="s">
        <v>3157</v>
      </c>
      <c r="L3490">
        <v>550</v>
      </c>
      <c r="M3490" s="21" t="s">
        <v>3034</v>
      </c>
      <c r="O3490">
        <v>1988</v>
      </c>
      <c r="S3490" s="9" t="s">
        <v>3128</v>
      </c>
      <c r="T3490" t="s">
        <v>3127</v>
      </c>
      <c r="U3490" s="21" t="s">
        <v>1218</v>
      </c>
      <c r="V3490" s="9" t="s">
        <v>3132</v>
      </c>
      <c r="W3490">
        <f>7*12</f>
        <v>84</v>
      </c>
      <c r="X3490" s="9" t="s">
        <v>3129</v>
      </c>
      <c r="Y3490" t="s">
        <v>3134</v>
      </c>
      <c r="Z3490">
        <v>12</v>
      </c>
      <c r="AD3490" t="s">
        <v>1165</v>
      </c>
      <c r="AF3490" t="s">
        <v>1165</v>
      </c>
      <c r="AI3490" s="21" t="s">
        <v>1165</v>
      </c>
      <c r="AJ3490" s="21" t="s">
        <v>1148</v>
      </c>
      <c r="AK3490">
        <v>72</v>
      </c>
      <c r="AN3490" s="21">
        <v>4</v>
      </c>
      <c r="AO3490" s="21">
        <v>25</v>
      </c>
      <c r="AP3490">
        <v>28</v>
      </c>
      <c r="AQ3490" s="22" t="s">
        <v>1283</v>
      </c>
      <c r="AR3490" s="21" t="s">
        <v>3130</v>
      </c>
    </row>
    <row r="3491" spans="1:44" x14ac:dyDescent="0.2">
      <c r="A3491" s="21" t="s">
        <v>1775</v>
      </c>
      <c r="B3491" s="21" t="s">
        <v>1146</v>
      </c>
      <c r="C3491" s="21" t="s">
        <v>1149</v>
      </c>
      <c r="D3491" s="21" t="s">
        <v>1774</v>
      </c>
      <c r="E3491" s="21" t="s">
        <v>3155</v>
      </c>
      <c r="G3491" s="21" t="s">
        <v>1165</v>
      </c>
      <c r="H3491" s="21" t="s">
        <v>1165</v>
      </c>
      <c r="I3491" s="21" t="s">
        <v>3157</v>
      </c>
      <c r="L3491">
        <v>550</v>
      </c>
      <c r="M3491" s="21" t="s">
        <v>3034</v>
      </c>
      <c r="O3491">
        <v>1988</v>
      </c>
      <c r="S3491" s="9" t="s">
        <v>3128</v>
      </c>
      <c r="T3491" t="s">
        <v>3127</v>
      </c>
      <c r="U3491" s="21" t="s">
        <v>1218</v>
      </c>
      <c r="V3491" s="9" t="s">
        <v>3132</v>
      </c>
      <c r="W3491">
        <f>7*12</f>
        <v>84</v>
      </c>
      <c r="X3491" s="9" t="s">
        <v>3129</v>
      </c>
      <c r="Y3491" t="s">
        <v>3135</v>
      </c>
      <c r="Z3491">
        <v>12</v>
      </c>
      <c r="AD3491" t="s">
        <v>1165</v>
      </c>
      <c r="AF3491" t="s">
        <v>1165</v>
      </c>
      <c r="AI3491" s="21" t="s">
        <v>1165</v>
      </c>
      <c r="AJ3491" s="21" t="s">
        <v>1148</v>
      </c>
      <c r="AK3491">
        <v>83</v>
      </c>
      <c r="AN3491" s="21">
        <v>4</v>
      </c>
      <c r="AO3491" s="21">
        <v>25</v>
      </c>
      <c r="AP3491">
        <v>28</v>
      </c>
      <c r="AQ3491" s="22" t="s">
        <v>1283</v>
      </c>
      <c r="AR3491" s="21" t="s">
        <v>3130</v>
      </c>
    </row>
    <row r="3492" spans="1:44" x14ac:dyDescent="0.2">
      <c r="A3492" s="21" t="s">
        <v>1775</v>
      </c>
      <c r="B3492" s="21" t="s">
        <v>1146</v>
      </c>
      <c r="C3492" s="21" t="s">
        <v>1149</v>
      </c>
      <c r="D3492" s="21" t="s">
        <v>1774</v>
      </c>
      <c r="E3492" s="21" t="s">
        <v>3156</v>
      </c>
      <c r="G3492" s="21" t="s">
        <v>1165</v>
      </c>
      <c r="H3492" s="21" t="s">
        <v>1165</v>
      </c>
      <c r="I3492" s="21" t="s">
        <v>3158</v>
      </c>
      <c r="L3492">
        <v>1970</v>
      </c>
      <c r="M3492" s="21" t="s">
        <v>3034</v>
      </c>
      <c r="O3492">
        <v>1988</v>
      </c>
      <c r="S3492" s="9" t="s">
        <v>3128</v>
      </c>
      <c r="T3492" t="s">
        <v>3127</v>
      </c>
      <c r="U3492" s="21" t="s">
        <v>1147</v>
      </c>
      <c r="X3492" s="9" t="s">
        <v>3129</v>
      </c>
      <c r="Z3492">
        <v>12</v>
      </c>
      <c r="AD3492" t="s">
        <v>1165</v>
      </c>
      <c r="AF3492" t="s">
        <v>1165</v>
      </c>
      <c r="AI3492" s="21" t="s">
        <v>1165</v>
      </c>
      <c r="AJ3492" s="21" t="s">
        <v>1148</v>
      </c>
      <c r="AK3492">
        <v>0</v>
      </c>
      <c r="AN3492" s="21">
        <v>4</v>
      </c>
      <c r="AO3492" s="21">
        <v>25</v>
      </c>
      <c r="AP3492">
        <v>28</v>
      </c>
      <c r="AQ3492" s="22" t="s">
        <v>1283</v>
      </c>
      <c r="AR3492" s="21" t="s">
        <v>3130</v>
      </c>
    </row>
    <row r="3493" spans="1:44" x14ac:dyDescent="0.2">
      <c r="A3493" s="21" t="s">
        <v>1775</v>
      </c>
      <c r="B3493" s="21" t="s">
        <v>1146</v>
      </c>
      <c r="C3493" s="21" t="s">
        <v>1149</v>
      </c>
      <c r="D3493" s="21" t="s">
        <v>1774</v>
      </c>
      <c r="E3493" s="21" t="s">
        <v>3156</v>
      </c>
      <c r="G3493" s="21" t="s">
        <v>1165</v>
      </c>
      <c r="H3493" s="21" t="s">
        <v>1165</v>
      </c>
      <c r="I3493" s="21" t="s">
        <v>3158</v>
      </c>
      <c r="L3493">
        <v>1970</v>
      </c>
      <c r="M3493" s="21" t="s">
        <v>3034</v>
      </c>
      <c r="O3493">
        <v>1988</v>
      </c>
      <c r="S3493" s="9" t="s">
        <v>3128</v>
      </c>
      <c r="T3493" t="s">
        <v>3127</v>
      </c>
      <c r="U3493" s="21" t="s">
        <v>1218</v>
      </c>
      <c r="V3493" s="9" t="s">
        <v>3132</v>
      </c>
      <c r="W3493">
        <f>4*7</f>
        <v>28</v>
      </c>
      <c r="X3493" s="9" t="s">
        <v>3129</v>
      </c>
      <c r="Z3493">
        <v>12</v>
      </c>
      <c r="AD3493" t="s">
        <v>1165</v>
      </c>
      <c r="AF3493" t="s">
        <v>1165</v>
      </c>
      <c r="AI3493" s="21" t="s">
        <v>1165</v>
      </c>
      <c r="AJ3493" s="21" t="s">
        <v>1148</v>
      </c>
      <c r="AK3493">
        <v>3</v>
      </c>
      <c r="AN3493" s="21">
        <v>4</v>
      </c>
      <c r="AO3493" s="21">
        <v>25</v>
      </c>
      <c r="AP3493">
        <v>28</v>
      </c>
      <c r="AQ3493" s="22" t="s">
        <v>1283</v>
      </c>
      <c r="AR3493" s="21" t="s">
        <v>3130</v>
      </c>
    </row>
    <row r="3494" spans="1:44" x14ac:dyDescent="0.2">
      <c r="A3494" s="21" t="s">
        <v>1775</v>
      </c>
      <c r="B3494" s="21" t="s">
        <v>1146</v>
      </c>
      <c r="C3494" s="21" t="s">
        <v>1149</v>
      </c>
      <c r="D3494" s="21" t="s">
        <v>1774</v>
      </c>
      <c r="E3494" s="21" t="s">
        <v>3156</v>
      </c>
      <c r="G3494" s="21" t="s">
        <v>1165</v>
      </c>
      <c r="H3494" s="21" t="s">
        <v>1165</v>
      </c>
      <c r="I3494" s="21" t="s">
        <v>3158</v>
      </c>
      <c r="L3494">
        <v>1970</v>
      </c>
      <c r="M3494" s="21" t="s">
        <v>3034</v>
      </c>
      <c r="O3494">
        <v>1988</v>
      </c>
      <c r="S3494" s="9" t="s">
        <v>3128</v>
      </c>
      <c r="T3494" t="s">
        <v>3127</v>
      </c>
      <c r="U3494" s="21" t="s">
        <v>1218</v>
      </c>
      <c r="V3494" s="9" t="s">
        <v>3132</v>
      </c>
      <c r="W3494">
        <v>56</v>
      </c>
      <c r="X3494" s="9" t="s">
        <v>3129</v>
      </c>
      <c r="Z3494">
        <v>12</v>
      </c>
      <c r="AD3494" t="s">
        <v>1165</v>
      </c>
      <c r="AF3494" t="s">
        <v>1165</v>
      </c>
      <c r="AI3494" s="21" t="s">
        <v>1165</v>
      </c>
      <c r="AJ3494" s="21" t="s">
        <v>1148</v>
      </c>
      <c r="AK3494">
        <v>6</v>
      </c>
      <c r="AN3494" s="21">
        <v>4</v>
      </c>
      <c r="AO3494" s="21">
        <v>25</v>
      </c>
      <c r="AP3494">
        <v>28</v>
      </c>
      <c r="AQ3494" s="22" t="s">
        <v>1283</v>
      </c>
      <c r="AR3494" s="21" t="s">
        <v>3130</v>
      </c>
    </row>
    <row r="3495" spans="1:44" x14ac:dyDescent="0.2">
      <c r="A3495" s="21" t="s">
        <v>1775</v>
      </c>
      <c r="B3495" s="21" t="s">
        <v>1146</v>
      </c>
      <c r="C3495" s="21" t="s">
        <v>1149</v>
      </c>
      <c r="D3495" s="21" t="s">
        <v>1774</v>
      </c>
      <c r="E3495" s="21" t="s">
        <v>3156</v>
      </c>
      <c r="G3495" s="21" t="s">
        <v>1165</v>
      </c>
      <c r="H3495" s="21" t="s">
        <v>1165</v>
      </c>
      <c r="I3495" s="21" t="s">
        <v>3158</v>
      </c>
      <c r="L3495">
        <v>1970</v>
      </c>
      <c r="M3495" s="21" t="s">
        <v>3034</v>
      </c>
      <c r="O3495">
        <v>1988</v>
      </c>
      <c r="S3495" s="9" t="s">
        <v>3128</v>
      </c>
      <c r="T3495" t="s">
        <v>3127</v>
      </c>
      <c r="U3495" s="21" t="s">
        <v>1218</v>
      </c>
      <c r="V3495" s="9" t="s">
        <v>3132</v>
      </c>
      <c r="W3495">
        <f>7*12</f>
        <v>84</v>
      </c>
      <c r="X3495" s="9" t="s">
        <v>3129</v>
      </c>
      <c r="Z3495">
        <v>12</v>
      </c>
      <c r="AD3495" t="s">
        <v>1165</v>
      </c>
      <c r="AF3495" t="s">
        <v>1165</v>
      </c>
      <c r="AI3495" s="21" t="s">
        <v>1165</v>
      </c>
      <c r="AJ3495" s="21" t="s">
        <v>1148</v>
      </c>
      <c r="AK3495">
        <v>10</v>
      </c>
      <c r="AN3495" s="21">
        <v>4</v>
      </c>
      <c r="AO3495" s="21">
        <v>25</v>
      </c>
      <c r="AP3495">
        <v>28</v>
      </c>
      <c r="AQ3495" s="22" t="s">
        <v>1283</v>
      </c>
      <c r="AR3495" s="21" t="s">
        <v>3130</v>
      </c>
    </row>
    <row r="3496" spans="1:44" x14ac:dyDescent="0.2">
      <c r="A3496" s="21" t="s">
        <v>1775</v>
      </c>
      <c r="B3496" s="21" t="s">
        <v>1146</v>
      </c>
      <c r="C3496" s="21" t="s">
        <v>1149</v>
      </c>
      <c r="D3496" s="21" t="s">
        <v>1774</v>
      </c>
      <c r="E3496" s="21" t="s">
        <v>3156</v>
      </c>
      <c r="G3496" s="21" t="s">
        <v>1165</v>
      </c>
      <c r="H3496" s="21" t="s">
        <v>1165</v>
      </c>
      <c r="I3496" s="21" t="s">
        <v>3158</v>
      </c>
      <c r="L3496">
        <v>1970</v>
      </c>
      <c r="M3496" s="21" t="s">
        <v>3034</v>
      </c>
      <c r="O3496">
        <v>1988</v>
      </c>
      <c r="S3496" s="9" t="s">
        <v>3128</v>
      </c>
      <c r="T3496" t="s">
        <v>3127</v>
      </c>
      <c r="U3496" s="21" t="s">
        <v>1218</v>
      </c>
      <c r="V3496" s="9" t="s">
        <v>3132</v>
      </c>
      <c r="W3496">
        <f>7*16</f>
        <v>112</v>
      </c>
      <c r="X3496" s="9" t="s">
        <v>3129</v>
      </c>
      <c r="Z3496">
        <v>12</v>
      </c>
      <c r="AD3496" t="s">
        <v>1165</v>
      </c>
      <c r="AF3496" t="s">
        <v>1165</v>
      </c>
      <c r="AI3496" s="21" t="s">
        <v>1165</v>
      </c>
      <c r="AJ3496" s="21" t="s">
        <v>1148</v>
      </c>
      <c r="AK3496">
        <v>37</v>
      </c>
      <c r="AN3496" s="21">
        <v>4</v>
      </c>
      <c r="AO3496" s="21">
        <v>25</v>
      </c>
      <c r="AP3496">
        <v>28</v>
      </c>
      <c r="AQ3496" s="22" t="s">
        <v>1283</v>
      </c>
      <c r="AR3496" s="21" t="s">
        <v>3130</v>
      </c>
    </row>
    <row r="3497" spans="1:44" x14ac:dyDescent="0.2">
      <c r="A3497" s="21" t="s">
        <v>1775</v>
      </c>
      <c r="B3497" s="21" t="s">
        <v>1146</v>
      </c>
      <c r="C3497" s="21" t="s">
        <v>1149</v>
      </c>
      <c r="D3497" s="21" t="s">
        <v>1774</v>
      </c>
      <c r="E3497" s="21" t="s">
        <v>3156</v>
      </c>
      <c r="G3497" s="21" t="s">
        <v>1165</v>
      </c>
      <c r="H3497" s="21" t="s">
        <v>1165</v>
      </c>
      <c r="I3497" s="21" t="s">
        <v>3158</v>
      </c>
      <c r="L3497">
        <v>1970</v>
      </c>
      <c r="M3497" s="21" t="s">
        <v>3034</v>
      </c>
      <c r="O3497">
        <v>1988</v>
      </c>
      <c r="S3497" s="9" t="s">
        <v>3128</v>
      </c>
      <c r="T3497" t="s">
        <v>3127</v>
      </c>
      <c r="U3497" s="21" t="s">
        <v>1218</v>
      </c>
      <c r="V3497" s="9" t="s">
        <v>3132</v>
      </c>
      <c r="W3497">
        <f>7*24</f>
        <v>168</v>
      </c>
      <c r="X3497" s="9" t="s">
        <v>3129</v>
      </c>
      <c r="Z3497">
        <v>12</v>
      </c>
      <c r="AD3497" t="s">
        <v>1165</v>
      </c>
      <c r="AF3497" t="s">
        <v>1165</v>
      </c>
      <c r="AI3497" s="21" t="s">
        <v>1165</v>
      </c>
      <c r="AJ3497" s="21" t="s">
        <v>1148</v>
      </c>
      <c r="AK3497">
        <v>44</v>
      </c>
      <c r="AN3497" s="21">
        <v>4</v>
      </c>
      <c r="AO3497" s="21">
        <v>25</v>
      </c>
      <c r="AP3497">
        <v>28</v>
      </c>
      <c r="AQ3497" s="22" t="s">
        <v>1283</v>
      </c>
      <c r="AR3497" s="21" t="s">
        <v>3130</v>
      </c>
    </row>
    <row r="3498" spans="1:44" x14ac:dyDescent="0.2">
      <c r="A3498" s="21" t="s">
        <v>1775</v>
      </c>
      <c r="B3498" s="21" t="s">
        <v>1146</v>
      </c>
      <c r="C3498" s="21" t="s">
        <v>1149</v>
      </c>
      <c r="D3498" s="21" t="s">
        <v>1774</v>
      </c>
      <c r="E3498" s="21" t="s">
        <v>3156</v>
      </c>
      <c r="G3498" s="21" t="s">
        <v>1165</v>
      </c>
      <c r="H3498" s="21" t="s">
        <v>1165</v>
      </c>
      <c r="I3498" s="21" t="s">
        <v>3158</v>
      </c>
      <c r="L3498">
        <v>1970</v>
      </c>
      <c r="M3498" s="21" t="s">
        <v>3034</v>
      </c>
      <c r="O3498">
        <v>1988</v>
      </c>
      <c r="S3498" s="9" t="s">
        <v>3128</v>
      </c>
      <c r="T3498" t="s">
        <v>3127</v>
      </c>
      <c r="U3498" s="21" t="s">
        <v>1218</v>
      </c>
      <c r="V3498" s="9" t="s">
        <v>3132</v>
      </c>
      <c r="W3498">
        <f>7*12</f>
        <v>84</v>
      </c>
      <c r="X3498" s="9" t="s">
        <v>3129</v>
      </c>
      <c r="Y3498" t="s">
        <v>3133</v>
      </c>
      <c r="Z3498">
        <v>12</v>
      </c>
      <c r="AD3498" t="s">
        <v>1165</v>
      </c>
      <c r="AF3498" t="s">
        <v>1165</v>
      </c>
      <c r="AI3498" s="21" t="s">
        <v>1165</v>
      </c>
      <c r="AJ3498" s="21" t="s">
        <v>1148</v>
      </c>
      <c r="AK3498">
        <v>22</v>
      </c>
      <c r="AN3498" s="21">
        <v>4</v>
      </c>
      <c r="AO3498" s="21">
        <v>25</v>
      </c>
      <c r="AP3498">
        <v>28</v>
      </c>
      <c r="AQ3498" s="22" t="s">
        <v>1283</v>
      </c>
      <c r="AR3498" s="21" t="s">
        <v>3130</v>
      </c>
    </row>
    <row r="3499" spans="1:44" x14ac:dyDescent="0.2">
      <c r="A3499" s="21" t="s">
        <v>1775</v>
      </c>
      <c r="B3499" s="21" t="s">
        <v>1146</v>
      </c>
      <c r="C3499" s="21" t="s">
        <v>1149</v>
      </c>
      <c r="D3499" s="21" t="s">
        <v>1774</v>
      </c>
      <c r="E3499" s="21" t="s">
        <v>3156</v>
      </c>
      <c r="G3499" s="21" t="s">
        <v>1165</v>
      </c>
      <c r="H3499" s="21" t="s">
        <v>1165</v>
      </c>
      <c r="I3499" s="21" t="s">
        <v>3158</v>
      </c>
      <c r="L3499">
        <v>1970</v>
      </c>
      <c r="M3499" s="21" t="s">
        <v>3034</v>
      </c>
      <c r="O3499">
        <v>1988</v>
      </c>
      <c r="S3499" s="9" t="s">
        <v>3128</v>
      </c>
      <c r="T3499" t="s">
        <v>3127</v>
      </c>
      <c r="U3499" s="21" t="s">
        <v>1218</v>
      </c>
      <c r="V3499" s="9" t="s">
        <v>3132</v>
      </c>
      <c r="W3499">
        <f>7*12</f>
        <v>84</v>
      </c>
      <c r="X3499" s="9" t="s">
        <v>3129</v>
      </c>
      <c r="Y3499" t="s">
        <v>3134</v>
      </c>
      <c r="Z3499">
        <v>12</v>
      </c>
      <c r="AD3499" t="s">
        <v>1165</v>
      </c>
      <c r="AF3499" t="s">
        <v>1165</v>
      </c>
      <c r="AI3499" s="21" t="s">
        <v>1165</v>
      </c>
      <c r="AJ3499" s="21" t="s">
        <v>1148</v>
      </c>
      <c r="AK3499">
        <v>15</v>
      </c>
      <c r="AN3499" s="21">
        <v>4</v>
      </c>
      <c r="AO3499" s="21">
        <v>25</v>
      </c>
      <c r="AP3499">
        <v>28</v>
      </c>
      <c r="AQ3499" s="22" t="s">
        <v>1283</v>
      </c>
      <c r="AR3499" s="21" t="s">
        <v>3130</v>
      </c>
    </row>
    <row r="3500" spans="1:44" x14ac:dyDescent="0.2">
      <c r="A3500" s="21" t="s">
        <v>1775</v>
      </c>
      <c r="B3500" s="21" t="s">
        <v>1146</v>
      </c>
      <c r="C3500" s="21" t="s">
        <v>1149</v>
      </c>
      <c r="D3500" s="21" t="s">
        <v>1774</v>
      </c>
      <c r="E3500" s="21" t="s">
        <v>3156</v>
      </c>
      <c r="G3500" s="21" t="s">
        <v>1165</v>
      </c>
      <c r="H3500" s="21" t="s">
        <v>1165</v>
      </c>
      <c r="I3500" s="21" t="s">
        <v>3158</v>
      </c>
      <c r="L3500">
        <v>1970</v>
      </c>
      <c r="M3500" s="21" t="s">
        <v>3034</v>
      </c>
      <c r="O3500">
        <v>1988</v>
      </c>
      <c r="S3500" s="9" t="s">
        <v>3128</v>
      </c>
      <c r="T3500" t="s">
        <v>3127</v>
      </c>
      <c r="U3500" s="21" t="s">
        <v>1218</v>
      </c>
      <c r="V3500" s="9" t="s">
        <v>3132</v>
      </c>
      <c r="W3500">
        <f>7*12</f>
        <v>84</v>
      </c>
      <c r="X3500" s="9" t="s">
        <v>3129</v>
      </c>
      <c r="Y3500" t="s">
        <v>3135</v>
      </c>
      <c r="Z3500">
        <v>12</v>
      </c>
      <c r="AD3500" t="s">
        <v>1165</v>
      </c>
      <c r="AF3500" t="s">
        <v>1165</v>
      </c>
      <c r="AI3500" s="21" t="s">
        <v>1165</v>
      </c>
      <c r="AJ3500" s="21" t="s">
        <v>1148</v>
      </c>
      <c r="AK3500">
        <v>15</v>
      </c>
      <c r="AN3500" s="21">
        <v>4</v>
      </c>
      <c r="AO3500" s="21">
        <v>25</v>
      </c>
      <c r="AP3500">
        <v>28</v>
      </c>
      <c r="AQ3500" s="22" t="s">
        <v>1283</v>
      </c>
      <c r="AR3500" s="21" t="s">
        <v>3130</v>
      </c>
    </row>
    <row r="3501" spans="1:44" x14ac:dyDescent="0.2">
      <c r="A3501" s="21" t="s">
        <v>1775</v>
      </c>
      <c r="B3501" s="21" t="s">
        <v>1146</v>
      </c>
      <c r="C3501" s="21" t="s">
        <v>1149</v>
      </c>
      <c r="D3501" s="21" t="s">
        <v>1774</v>
      </c>
      <c r="E3501" s="21" t="s">
        <v>3159</v>
      </c>
      <c r="G3501" s="21" t="s">
        <v>1165</v>
      </c>
      <c r="H3501" s="21" t="s">
        <v>1165</v>
      </c>
      <c r="I3501" s="21" t="s">
        <v>3162</v>
      </c>
      <c r="L3501">
        <v>1810</v>
      </c>
      <c r="M3501" s="21" t="s">
        <v>3034</v>
      </c>
      <c r="O3501">
        <v>1988</v>
      </c>
      <c r="S3501" s="9" t="s">
        <v>3128</v>
      </c>
      <c r="T3501" t="s">
        <v>3127</v>
      </c>
      <c r="U3501" s="21" t="s">
        <v>1147</v>
      </c>
      <c r="X3501" s="9" t="s">
        <v>3129</v>
      </c>
      <c r="Z3501">
        <v>12</v>
      </c>
      <c r="AD3501" t="s">
        <v>1165</v>
      </c>
      <c r="AF3501" t="s">
        <v>1165</v>
      </c>
      <c r="AI3501" s="21" t="s">
        <v>1165</v>
      </c>
      <c r="AJ3501" s="21" t="s">
        <v>1148</v>
      </c>
      <c r="AK3501">
        <v>1</v>
      </c>
      <c r="AN3501" s="21">
        <v>4</v>
      </c>
      <c r="AO3501" s="21">
        <v>25</v>
      </c>
      <c r="AP3501">
        <v>28</v>
      </c>
      <c r="AQ3501" s="22" t="s">
        <v>1283</v>
      </c>
      <c r="AR3501" s="21" t="s">
        <v>3130</v>
      </c>
    </row>
    <row r="3502" spans="1:44" x14ac:dyDescent="0.2">
      <c r="A3502" s="21" t="s">
        <v>1775</v>
      </c>
      <c r="B3502" s="21" t="s">
        <v>1146</v>
      </c>
      <c r="C3502" s="21" t="s">
        <v>1149</v>
      </c>
      <c r="D3502" s="21" t="s">
        <v>1774</v>
      </c>
      <c r="E3502" s="21" t="s">
        <v>3159</v>
      </c>
      <c r="G3502" s="21" t="s">
        <v>1165</v>
      </c>
      <c r="H3502" s="21" t="s">
        <v>1165</v>
      </c>
      <c r="I3502" s="21" t="s">
        <v>3162</v>
      </c>
      <c r="L3502">
        <v>1810</v>
      </c>
      <c r="M3502" s="21" t="s">
        <v>3034</v>
      </c>
      <c r="O3502">
        <v>1988</v>
      </c>
      <c r="S3502" s="9" t="s">
        <v>3128</v>
      </c>
      <c r="T3502" t="s">
        <v>3127</v>
      </c>
      <c r="U3502" s="21" t="s">
        <v>1218</v>
      </c>
      <c r="V3502" s="9" t="s">
        <v>3132</v>
      </c>
      <c r="W3502">
        <f>4*7</f>
        <v>28</v>
      </c>
      <c r="X3502" s="9" t="s">
        <v>3129</v>
      </c>
      <c r="Z3502">
        <v>12</v>
      </c>
      <c r="AD3502" t="s">
        <v>1165</v>
      </c>
      <c r="AF3502" t="s">
        <v>1165</v>
      </c>
      <c r="AI3502" s="21" t="s">
        <v>1165</v>
      </c>
      <c r="AJ3502" s="21" t="s">
        <v>1148</v>
      </c>
      <c r="AK3502">
        <v>3</v>
      </c>
      <c r="AN3502" s="21">
        <v>4</v>
      </c>
      <c r="AO3502" s="21">
        <v>25</v>
      </c>
      <c r="AP3502">
        <v>28</v>
      </c>
      <c r="AQ3502" s="22" t="s">
        <v>1283</v>
      </c>
      <c r="AR3502" s="21" t="s">
        <v>3130</v>
      </c>
    </row>
    <row r="3503" spans="1:44" x14ac:dyDescent="0.2">
      <c r="A3503" s="21" t="s">
        <v>1775</v>
      </c>
      <c r="B3503" s="21" t="s">
        <v>1146</v>
      </c>
      <c r="C3503" s="21" t="s">
        <v>1149</v>
      </c>
      <c r="D3503" s="21" t="s">
        <v>1774</v>
      </c>
      <c r="E3503" s="21" t="s">
        <v>3159</v>
      </c>
      <c r="G3503" s="21" t="s">
        <v>1165</v>
      </c>
      <c r="H3503" s="21" t="s">
        <v>1165</v>
      </c>
      <c r="I3503" s="21" t="s">
        <v>3162</v>
      </c>
      <c r="L3503">
        <v>1810</v>
      </c>
      <c r="M3503" s="21" t="s">
        <v>3034</v>
      </c>
      <c r="O3503">
        <v>1988</v>
      </c>
      <c r="S3503" s="9" t="s">
        <v>3128</v>
      </c>
      <c r="T3503" t="s">
        <v>3127</v>
      </c>
      <c r="U3503" s="21" t="s">
        <v>1218</v>
      </c>
      <c r="V3503" s="9" t="s">
        <v>3132</v>
      </c>
      <c r="W3503">
        <v>56</v>
      </c>
      <c r="X3503" s="9" t="s">
        <v>3129</v>
      </c>
      <c r="Z3503">
        <v>12</v>
      </c>
      <c r="AD3503" t="s">
        <v>1165</v>
      </c>
      <c r="AF3503" t="s">
        <v>1165</v>
      </c>
      <c r="AI3503" s="21" t="s">
        <v>1165</v>
      </c>
      <c r="AJ3503" s="21" t="s">
        <v>1148</v>
      </c>
      <c r="AK3503">
        <v>13</v>
      </c>
      <c r="AN3503" s="21">
        <v>4</v>
      </c>
      <c r="AO3503" s="21">
        <v>25</v>
      </c>
      <c r="AP3503">
        <v>28</v>
      </c>
      <c r="AQ3503" s="22" t="s">
        <v>1283</v>
      </c>
      <c r="AR3503" s="21" t="s">
        <v>3130</v>
      </c>
    </row>
    <row r="3504" spans="1:44" x14ac:dyDescent="0.2">
      <c r="A3504" s="21" t="s">
        <v>1775</v>
      </c>
      <c r="B3504" s="21" t="s">
        <v>1146</v>
      </c>
      <c r="C3504" s="21" t="s">
        <v>1149</v>
      </c>
      <c r="D3504" s="21" t="s">
        <v>1774</v>
      </c>
      <c r="E3504" s="21" t="s">
        <v>3159</v>
      </c>
      <c r="G3504" s="21" t="s">
        <v>1165</v>
      </c>
      <c r="H3504" s="21" t="s">
        <v>1165</v>
      </c>
      <c r="I3504" s="21" t="s">
        <v>3162</v>
      </c>
      <c r="L3504">
        <v>1810</v>
      </c>
      <c r="M3504" s="21" t="s">
        <v>3034</v>
      </c>
      <c r="O3504">
        <v>1988</v>
      </c>
      <c r="S3504" s="9" t="s">
        <v>3128</v>
      </c>
      <c r="T3504" t="s">
        <v>3127</v>
      </c>
      <c r="U3504" s="21" t="s">
        <v>1218</v>
      </c>
      <c r="V3504" s="9" t="s">
        <v>3132</v>
      </c>
      <c r="W3504">
        <f>7*12</f>
        <v>84</v>
      </c>
      <c r="X3504" s="9" t="s">
        <v>3129</v>
      </c>
      <c r="Z3504">
        <v>12</v>
      </c>
      <c r="AD3504" t="s">
        <v>1165</v>
      </c>
      <c r="AF3504" t="s">
        <v>1165</v>
      </c>
      <c r="AI3504" s="21" t="s">
        <v>1165</v>
      </c>
      <c r="AJ3504" s="21" t="s">
        <v>1148</v>
      </c>
      <c r="AK3504">
        <v>70</v>
      </c>
      <c r="AN3504" s="21">
        <v>4</v>
      </c>
      <c r="AO3504" s="21">
        <v>25</v>
      </c>
      <c r="AP3504">
        <v>28</v>
      </c>
      <c r="AQ3504" s="22" t="s">
        <v>1283</v>
      </c>
      <c r="AR3504" s="21" t="s">
        <v>3130</v>
      </c>
    </row>
    <row r="3505" spans="1:44" x14ac:dyDescent="0.2">
      <c r="A3505" s="21" t="s">
        <v>1775</v>
      </c>
      <c r="B3505" s="21" t="s">
        <v>1146</v>
      </c>
      <c r="C3505" s="21" t="s">
        <v>1149</v>
      </c>
      <c r="D3505" s="21" t="s">
        <v>1774</v>
      </c>
      <c r="E3505" s="21" t="s">
        <v>3159</v>
      </c>
      <c r="G3505" s="21" t="s">
        <v>1165</v>
      </c>
      <c r="H3505" s="21" t="s">
        <v>1165</v>
      </c>
      <c r="I3505" s="21" t="s">
        <v>3162</v>
      </c>
      <c r="L3505">
        <v>1810</v>
      </c>
      <c r="M3505" s="21" t="s">
        <v>3034</v>
      </c>
      <c r="O3505">
        <v>1988</v>
      </c>
      <c r="S3505" s="9" t="s">
        <v>3128</v>
      </c>
      <c r="T3505" t="s">
        <v>3127</v>
      </c>
      <c r="U3505" s="21" t="s">
        <v>1218</v>
      </c>
      <c r="V3505" s="9" t="s">
        <v>3132</v>
      </c>
      <c r="W3505">
        <f>7*16</f>
        <v>112</v>
      </c>
      <c r="X3505" s="9" t="s">
        <v>3129</v>
      </c>
      <c r="Z3505">
        <v>12</v>
      </c>
      <c r="AD3505" t="s">
        <v>1165</v>
      </c>
      <c r="AF3505" t="s">
        <v>1165</v>
      </c>
      <c r="AI3505" s="21" t="s">
        <v>1165</v>
      </c>
      <c r="AJ3505" s="21" t="s">
        <v>1148</v>
      </c>
      <c r="AK3505">
        <v>79</v>
      </c>
      <c r="AN3505" s="21">
        <v>4</v>
      </c>
      <c r="AO3505" s="21">
        <v>25</v>
      </c>
      <c r="AP3505">
        <v>28</v>
      </c>
      <c r="AQ3505" s="22" t="s">
        <v>1283</v>
      </c>
      <c r="AR3505" s="21" t="s">
        <v>3130</v>
      </c>
    </row>
    <row r="3506" spans="1:44" x14ac:dyDescent="0.2">
      <c r="A3506" s="21" t="s">
        <v>1775</v>
      </c>
      <c r="B3506" s="21" t="s">
        <v>1146</v>
      </c>
      <c r="C3506" s="21" t="s">
        <v>1149</v>
      </c>
      <c r="D3506" s="21" t="s">
        <v>1774</v>
      </c>
      <c r="E3506" s="21" t="s">
        <v>3159</v>
      </c>
      <c r="G3506" s="21" t="s">
        <v>1165</v>
      </c>
      <c r="H3506" s="21" t="s">
        <v>1165</v>
      </c>
      <c r="I3506" s="21" t="s">
        <v>3162</v>
      </c>
      <c r="L3506">
        <v>1810</v>
      </c>
      <c r="M3506" s="21" t="s">
        <v>3034</v>
      </c>
      <c r="O3506">
        <v>1988</v>
      </c>
      <c r="S3506" s="9" t="s">
        <v>3128</v>
      </c>
      <c r="T3506" t="s">
        <v>3127</v>
      </c>
      <c r="U3506" s="21" t="s">
        <v>1218</v>
      </c>
      <c r="V3506" s="9" t="s">
        <v>3132</v>
      </c>
      <c r="W3506">
        <f>7*24</f>
        <v>168</v>
      </c>
      <c r="X3506" s="9" t="s">
        <v>3129</v>
      </c>
      <c r="Z3506">
        <v>12</v>
      </c>
      <c r="AD3506" t="s">
        <v>1165</v>
      </c>
      <c r="AF3506" t="s">
        <v>1165</v>
      </c>
      <c r="AI3506" s="21" t="s">
        <v>1165</v>
      </c>
      <c r="AJ3506" s="21" t="s">
        <v>1148</v>
      </c>
      <c r="AK3506">
        <v>90</v>
      </c>
      <c r="AN3506" s="21">
        <v>4</v>
      </c>
      <c r="AO3506" s="21">
        <v>25</v>
      </c>
      <c r="AP3506">
        <v>28</v>
      </c>
      <c r="AQ3506" s="22" t="s">
        <v>1283</v>
      </c>
      <c r="AR3506" s="21" t="s">
        <v>3130</v>
      </c>
    </row>
    <row r="3507" spans="1:44" x14ac:dyDescent="0.2">
      <c r="A3507" s="21" t="s">
        <v>1775</v>
      </c>
      <c r="B3507" s="21" t="s">
        <v>1146</v>
      </c>
      <c r="C3507" s="21" t="s">
        <v>1149</v>
      </c>
      <c r="D3507" s="21" t="s">
        <v>1774</v>
      </c>
      <c r="E3507" s="21" t="s">
        <v>3159</v>
      </c>
      <c r="G3507" s="21" t="s">
        <v>1165</v>
      </c>
      <c r="H3507" s="21" t="s">
        <v>1165</v>
      </c>
      <c r="I3507" s="21" t="s">
        <v>3162</v>
      </c>
      <c r="L3507">
        <v>1810</v>
      </c>
      <c r="M3507" s="21" t="s">
        <v>3034</v>
      </c>
      <c r="O3507">
        <v>1988</v>
      </c>
      <c r="S3507" s="9" t="s">
        <v>3128</v>
      </c>
      <c r="T3507" t="s">
        <v>3127</v>
      </c>
      <c r="U3507" s="21" t="s">
        <v>1218</v>
      </c>
      <c r="V3507" s="9" t="s">
        <v>3132</v>
      </c>
      <c r="W3507">
        <f>7*12</f>
        <v>84</v>
      </c>
      <c r="X3507" s="9" t="s">
        <v>3129</v>
      </c>
      <c r="Y3507" t="s">
        <v>3133</v>
      </c>
      <c r="Z3507">
        <v>12</v>
      </c>
      <c r="AD3507" t="s">
        <v>1165</v>
      </c>
      <c r="AF3507" t="s">
        <v>1165</v>
      </c>
      <c r="AI3507" s="21" t="s">
        <v>1165</v>
      </c>
      <c r="AJ3507" s="21" t="s">
        <v>1148</v>
      </c>
      <c r="AK3507">
        <v>91</v>
      </c>
      <c r="AN3507" s="21">
        <v>4</v>
      </c>
      <c r="AO3507" s="21">
        <v>25</v>
      </c>
      <c r="AP3507">
        <v>28</v>
      </c>
      <c r="AQ3507" s="22" t="s">
        <v>1283</v>
      </c>
      <c r="AR3507" s="21" t="s">
        <v>3130</v>
      </c>
    </row>
    <row r="3508" spans="1:44" x14ac:dyDescent="0.2">
      <c r="A3508" s="21" t="s">
        <v>1775</v>
      </c>
      <c r="B3508" s="21" t="s">
        <v>1146</v>
      </c>
      <c r="C3508" s="21" t="s">
        <v>1149</v>
      </c>
      <c r="D3508" s="21" t="s">
        <v>1774</v>
      </c>
      <c r="E3508" s="21" t="s">
        <v>3159</v>
      </c>
      <c r="G3508" s="21" t="s">
        <v>1165</v>
      </c>
      <c r="H3508" s="21" t="s">
        <v>1165</v>
      </c>
      <c r="I3508" s="21" t="s">
        <v>3162</v>
      </c>
      <c r="L3508">
        <v>1810</v>
      </c>
      <c r="M3508" s="21" t="s">
        <v>3034</v>
      </c>
      <c r="O3508">
        <v>1988</v>
      </c>
      <c r="S3508" s="9" t="s">
        <v>3128</v>
      </c>
      <c r="T3508" t="s">
        <v>3127</v>
      </c>
      <c r="U3508" s="21" t="s">
        <v>1218</v>
      </c>
      <c r="V3508" s="9" t="s">
        <v>3132</v>
      </c>
      <c r="W3508">
        <f>7*12</f>
        <v>84</v>
      </c>
      <c r="X3508" s="9" t="s">
        <v>3129</v>
      </c>
      <c r="Y3508" t="s">
        <v>3134</v>
      </c>
      <c r="Z3508">
        <v>12</v>
      </c>
      <c r="AD3508" t="s">
        <v>1165</v>
      </c>
      <c r="AF3508" t="s">
        <v>1165</v>
      </c>
      <c r="AI3508" s="21" t="s">
        <v>1165</v>
      </c>
      <c r="AJ3508" s="21" t="s">
        <v>1148</v>
      </c>
      <c r="AK3508">
        <v>47</v>
      </c>
      <c r="AN3508" s="21">
        <v>4</v>
      </c>
      <c r="AO3508" s="21">
        <v>25</v>
      </c>
      <c r="AP3508">
        <v>28</v>
      </c>
      <c r="AQ3508" s="22" t="s">
        <v>1283</v>
      </c>
      <c r="AR3508" s="21" t="s">
        <v>3130</v>
      </c>
    </row>
    <row r="3509" spans="1:44" x14ac:dyDescent="0.2">
      <c r="A3509" s="21" t="s">
        <v>1775</v>
      </c>
      <c r="B3509" s="21" t="s">
        <v>1146</v>
      </c>
      <c r="C3509" s="21" t="s">
        <v>1149</v>
      </c>
      <c r="D3509" s="21" t="s">
        <v>1774</v>
      </c>
      <c r="E3509" s="21" t="s">
        <v>3159</v>
      </c>
      <c r="G3509" s="21" t="s">
        <v>1165</v>
      </c>
      <c r="H3509" s="21" t="s">
        <v>1165</v>
      </c>
      <c r="I3509" s="21" t="s">
        <v>3162</v>
      </c>
      <c r="L3509">
        <v>1810</v>
      </c>
      <c r="M3509" s="21" t="s">
        <v>3034</v>
      </c>
      <c r="O3509">
        <v>1988</v>
      </c>
      <c r="S3509" s="9" t="s">
        <v>3128</v>
      </c>
      <c r="T3509" t="s">
        <v>3127</v>
      </c>
      <c r="U3509" s="21" t="s">
        <v>1218</v>
      </c>
      <c r="V3509" s="9" t="s">
        <v>3132</v>
      </c>
      <c r="W3509">
        <f>7*12</f>
        <v>84</v>
      </c>
      <c r="X3509" s="9" t="s">
        <v>3129</v>
      </c>
      <c r="Y3509" t="s">
        <v>3135</v>
      </c>
      <c r="Z3509">
        <v>12</v>
      </c>
      <c r="AD3509" t="s">
        <v>1165</v>
      </c>
      <c r="AF3509" t="s">
        <v>1165</v>
      </c>
      <c r="AI3509" s="21" t="s">
        <v>1165</v>
      </c>
      <c r="AJ3509" s="21" t="s">
        <v>1148</v>
      </c>
      <c r="AK3509">
        <v>49</v>
      </c>
      <c r="AN3509" s="21">
        <v>4</v>
      </c>
      <c r="AO3509" s="21">
        <v>25</v>
      </c>
      <c r="AP3509">
        <v>28</v>
      </c>
      <c r="AQ3509" s="22" t="s">
        <v>1283</v>
      </c>
      <c r="AR3509" s="21" t="s">
        <v>3130</v>
      </c>
    </row>
    <row r="3510" spans="1:44" x14ac:dyDescent="0.2">
      <c r="A3510" s="21" t="s">
        <v>1775</v>
      </c>
      <c r="B3510" s="21" t="s">
        <v>1146</v>
      </c>
      <c r="C3510" s="21" t="s">
        <v>1149</v>
      </c>
      <c r="D3510" s="21" t="s">
        <v>1774</v>
      </c>
      <c r="E3510" s="21" t="s">
        <v>3160</v>
      </c>
      <c r="G3510" s="21" t="s">
        <v>1165</v>
      </c>
      <c r="H3510" s="21" t="s">
        <v>1165</v>
      </c>
      <c r="I3510" s="21" t="s">
        <v>3163</v>
      </c>
      <c r="L3510">
        <v>2400</v>
      </c>
      <c r="M3510" s="21" t="s">
        <v>3034</v>
      </c>
      <c r="O3510">
        <v>1988</v>
      </c>
      <c r="S3510" s="9" t="s">
        <v>3128</v>
      </c>
      <c r="T3510" t="s">
        <v>3127</v>
      </c>
      <c r="U3510" s="21" t="s">
        <v>1147</v>
      </c>
      <c r="X3510" s="9" t="s">
        <v>3129</v>
      </c>
      <c r="Z3510">
        <v>12</v>
      </c>
      <c r="AD3510" t="s">
        <v>1165</v>
      </c>
      <c r="AF3510" t="s">
        <v>1165</v>
      </c>
      <c r="AI3510" s="21" t="s">
        <v>1165</v>
      </c>
      <c r="AJ3510" s="21" t="s">
        <v>1148</v>
      </c>
      <c r="AK3510">
        <v>1</v>
      </c>
      <c r="AN3510" s="21">
        <v>4</v>
      </c>
      <c r="AO3510" s="21">
        <v>25</v>
      </c>
      <c r="AP3510">
        <v>28</v>
      </c>
      <c r="AQ3510" s="22" t="s">
        <v>1283</v>
      </c>
      <c r="AR3510" s="21" t="s">
        <v>3130</v>
      </c>
    </row>
    <row r="3511" spans="1:44" x14ac:dyDescent="0.2">
      <c r="A3511" s="21" t="s">
        <v>1775</v>
      </c>
      <c r="B3511" s="21" t="s">
        <v>1146</v>
      </c>
      <c r="C3511" s="21" t="s">
        <v>1149</v>
      </c>
      <c r="D3511" s="21" t="s">
        <v>1774</v>
      </c>
      <c r="E3511" s="21" t="s">
        <v>3160</v>
      </c>
      <c r="G3511" s="21" t="s">
        <v>1165</v>
      </c>
      <c r="H3511" s="21" t="s">
        <v>1165</v>
      </c>
      <c r="I3511" s="21" t="s">
        <v>3163</v>
      </c>
      <c r="L3511">
        <v>2400</v>
      </c>
      <c r="M3511" s="21" t="s">
        <v>3034</v>
      </c>
      <c r="O3511">
        <v>1988</v>
      </c>
      <c r="S3511" s="9" t="s">
        <v>3128</v>
      </c>
      <c r="T3511" t="s">
        <v>3127</v>
      </c>
      <c r="U3511" s="21" t="s">
        <v>1218</v>
      </c>
      <c r="V3511" s="9" t="s">
        <v>3132</v>
      </c>
      <c r="W3511">
        <f>4*7</f>
        <v>28</v>
      </c>
      <c r="X3511" s="9" t="s">
        <v>3129</v>
      </c>
      <c r="Z3511">
        <v>12</v>
      </c>
      <c r="AD3511" t="s">
        <v>1165</v>
      </c>
      <c r="AF3511" t="s">
        <v>1165</v>
      </c>
      <c r="AI3511" s="21" t="s">
        <v>1165</v>
      </c>
      <c r="AJ3511" s="21" t="s">
        <v>1148</v>
      </c>
      <c r="AK3511">
        <v>4</v>
      </c>
      <c r="AN3511" s="21">
        <v>4</v>
      </c>
      <c r="AO3511" s="21">
        <v>25</v>
      </c>
      <c r="AP3511">
        <v>28</v>
      </c>
      <c r="AQ3511" s="22" t="s">
        <v>1283</v>
      </c>
      <c r="AR3511" s="21" t="s">
        <v>3130</v>
      </c>
    </row>
    <row r="3512" spans="1:44" x14ac:dyDescent="0.2">
      <c r="A3512" s="21" t="s">
        <v>1775</v>
      </c>
      <c r="B3512" s="21" t="s">
        <v>1146</v>
      </c>
      <c r="C3512" s="21" t="s">
        <v>1149</v>
      </c>
      <c r="D3512" s="21" t="s">
        <v>1774</v>
      </c>
      <c r="E3512" s="21" t="s">
        <v>3160</v>
      </c>
      <c r="G3512" s="21" t="s">
        <v>1165</v>
      </c>
      <c r="H3512" s="21" t="s">
        <v>1165</v>
      </c>
      <c r="I3512" s="21" t="s">
        <v>3163</v>
      </c>
      <c r="L3512">
        <v>2400</v>
      </c>
      <c r="M3512" s="21" t="s">
        <v>3034</v>
      </c>
      <c r="O3512">
        <v>1988</v>
      </c>
      <c r="S3512" s="9" t="s">
        <v>3128</v>
      </c>
      <c r="T3512" t="s">
        <v>3127</v>
      </c>
      <c r="U3512" s="21" t="s">
        <v>1218</v>
      </c>
      <c r="V3512" s="9" t="s">
        <v>3132</v>
      </c>
      <c r="W3512">
        <v>56</v>
      </c>
      <c r="X3512" s="9" t="s">
        <v>3129</v>
      </c>
      <c r="Z3512">
        <v>12</v>
      </c>
      <c r="AD3512" t="s">
        <v>1165</v>
      </c>
      <c r="AF3512" t="s">
        <v>1165</v>
      </c>
      <c r="AI3512" s="21" t="s">
        <v>1165</v>
      </c>
      <c r="AJ3512" s="21" t="s">
        <v>1148</v>
      </c>
      <c r="AK3512">
        <v>5</v>
      </c>
      <c r="AN3512" s="21">
        <v>4</v>
      </c>
      <c r="AO3512" s="21">
        <v>25</v>
      </c>
      <c r="AP3512">
        <v>28</v>
      </c>
      <c r="AQ3512" s="22" t="s">
        <v>1283</v>
      </c>
      <c r="AR3512" s="21" t="s">
        <v>3130</v>
      </c>
    </row>
    <row r="3513" spans="1:44" x14ac:dyDescent="0.2">
      <c r="A3513" s="21" t="s">
        <v>1775</v>
      </c>
      <c r="B3513" s="21" t="s">
        <v>1146</v>
      </c>
      <c r="C3513" s="21" t="s">
        <v>1149</v>
      </c>
      <c r="D3513" s="21" t="s">
        <v>1774</v>
      </c>
      <c r="E3513" s="21" t="s">
        <v>3160</v>
      </c>
      <c r="G3513" s="21" t="s">
        <v>1165</v>
      </c>
      <c r="H3513" s="21" t="s">
        <v>1165</v>
      </c>
      <c r="I3513" s="21" t="s">
        <v>3163</v>
      </c>
      <c r="L3513">
        <v>2400</v>
      </c>
      <c r="M3513" s="21" t="s">
        <v>3034</v>
      </c>
      <c r="O3513">
        <v>1988</v>
      </c>
      <c r="S3513" s="9" t="s">
        <v>3128</v>
      </c>
      <c r="T3513" t="s">
        <v>3127</v>
      </c>
      <c r="U3513" s="21" t="s">
        <v>1218</v>
      </c>
      <c r="V3513" s="9" t="s">
        <v>3132</v>
      </c>
      <c r="W3513">
        <f>7*12</f>
        <v>84</v>
      </c>
      <c r="X3513" s="9" t="s">
        <v>3129</v>
      </c>
      <c r="Z3513">
        <v>12</v>
      </c>
      <c r="AD3513" t="s">
        <v>1165</v>
      </c>
      <c r="AF3513" t="s">
        <v>1165</v>
      </c>
      <c r="AI3513" s="21" t="s">
        <v>1165</v>
      </c>
      <c r="AJ3513" s="21" t="s">
        <v>1148</v>
      </c>
      <c r="AK3513">
        <v>7</v>
      </c>
      <c r="AN3513" s="21">
        <v>4</v>
      </c>
      <c r="AO3513" s="21">
        <v>25</v>
      </c>
      <c r="AP3513">
        <v>28</v>
      </c>
      <c r="AQ3513" s="22" t="s">
        <v>1283</v>
      </c>
      <c r="AR3513" s="21" t="s">
        <v>3130</v>
      </c>
    </row>
    <row r="3514" spans="1:44" x14ac:dyDescent="0.2">
      <c r="A3514" s="21" t="s">
        <v>1775</v>
      </c>
      <c r="B3514" s="21" t="s">
        <v>1146</v>
      </c>
      <c r="C3514" s="21" t="s">
        <v>1149</v>
      </c>
      <c r="D3514" s="21" t="s">
        <v>1774</v>
      </c>
      <c r="E3514" s="21" t="s">
        <v>3160</v>
      </c>
      <c r="G3514" s="21" t="s">
        <v>1165</v>
      </c>
      <c r="H3514" s="21" t="s">
        <v>1165</v>
      </c>
      <c r="I3514" s="21" t="s">
        <v>3163</v>
      </c>
      <c r="L3514">
        <v>2400</v>
      </c>
      <c r="M3514" s="21" t="s">
        <v>3034</v>
      </c>
      <c r="O3514">
        <v>1988</v>
      </c>
      <c r="S3514" s="9" t="s">
        <v>3128</v>
      </c>
      <c r="T3514" t="s">
        <v>3127</v>
      </c>
      <c r="U3514" s="21" t="s">
        <v>1218</v>
      </c>
      <c r="V3514" s="9" t="s">
        <v>3132</v>
      </c>
      <c r="W3514">
        <f>7*16</f>
        <v>112</v>
      </c>
      <c r="X3514" s="9" t="s">
        <v>3129</v>
      </c>
      <c r="Z3514">
        <v>12</v>
      </c>
      <c r="AD3514" t="s">
        <v>1165</v>
      </c>
      <c r="AF3514" t="s">
        <v>1165</v>
      </c>
      <c r="AI3514" s="21" t="s">
        <v>1165</v>
      </c>
      <c r="AJ3514" s="21" t="s">
        <v>1148</v>
      </c>
      <c r="AK3514">
        <v>21</v>
      </c>
      <c r="AN3514" s="21">
        <v>4</v>
      </c>
      <c r="AO3514" s="21">
        <v>25</v>
      </c>
      <c r="AP3514">
        <v>28</v>
      </c>
      <c r="AQ3514" s="22" t="s">
        <v>1283</v>
      </c>
      <c r="AR3514" s="21" t="s">
        <v>3130</v>
      </c>
    </row>
    <row r="3515" spans="1:44" x14ac:dyDescent="0.2">
      <c r="A3515" s="21" t="s">
        <v>1775</v>
      </c>
      <c r="B3515" s="21" t="s">
        <v>1146</v>
      </c>
      <c r="C3515" s="21" t="s">
        <v>1149</v>
      </c>
      <c r="D3515" s="21" t="s">
        <v>1774</v>
      </c>
      <c r="E3515" s="21" t="s">
        <v>3160</v>
      </c>
      <c r="G3515" s="21" t="s">
        <v>1165</v>
      </c>
      <c r="H3515" s="21" t="s">
        <v>1165</v>
      </c>
      <c r="I3515" s="21" t="s">
        <v>3163</v>
      </c>
      <c r="L3515">
        <v>2400</v>
      </c>
      <c r="M3515" s="21" t="s">
        <v>3034</v>
      </c>
      <c r="O3515">
        <v>1988</v>
      </c>
      <c r="S3515" s="9" t="s">
        <v>3128</v>
      </c>
      <c r="T3515" t="s">
        <v>3127</v>
      </c>
      <c r="U3515" s="21" t="s">
        <v>1218</v>
      </c>
      <c r="V3515" s="9" t="s">
        <v>3132</v>
      </c>
      <c r="W3515">
        <f>7*24</f>
        <v>168</v>
      </c>
      <c r="X3515" s="9" t="s">
        <v>3129</v>
      </c>
      <c r="Z3515">
        <v>12</v>
      </c>
      <c r="AD3515" t="s">
        <v>1165</v>
      </c>
      <c r="AF3515" t="s">
        <v>1165</v>
      </c>
      <c r="AI3515" s="21" t="s">
        <v>1165</v>
      </c>
      <c r="AJ3515" s="21" t="s">
        <v>1148</v>
      </c>
      <c r="AK3515">
        <v>61</v>
      </c>
      <c r="AN3515" s="21">
        <v>4</v>
      </c>
      <c r="AO3515" s="21">
        <v>25</v>
      </c>
      <c r="AP3515">
        <v>28</v>
      </c>
      <c r="AQ3515" s="22" t="s">
        <v>1283</v>
      </c>
      <c r="AR3515" s="21" t="s">
        <v>3130</v>
      </c>
    </row>
    <row r="3516" spans="1:44" x14ac:dyDescent="0.2">
      <c r="A3516" s="21" t="s">
        <v>1775</v>
      </c>
      <c r="B3516" s="21" t="s">
        <v>1146</v>
      </c>
      <c r="C3516" s="21" t="s">
        <v>1149</v>
      </c>
      <c r="D3516" s="21" t="s">
        <v>1774</v>
      </c>
      <c r="E3516" s="21" t="s">
        <v>3160</v>
      </c>
      <c r="G3516" s="21" t="s">
        <v>1165</v>
      </c>
      <c r="H3516" s="21" t="s">
        <v>1165</v>
      </c>
      <c r="I3516" s="21" t="s">
        <v>3163</v>
      </c>
      <c r="L3516">
        <v>2400</v>
      </c>
      <c r="M3516" s="21" t="s">
        <v>3034</v>
      </c>
      <c r="O3516">
        <v>1988</v>
      </c>
      <c r="S3516" s="9" t="s">
        <v>3128</v>
      </c>
      <c r="T3516" t="s">
        <v>3127</v>
      </c>
      <c r="U3516" s="21" t="s">
        <v>1218</v>
      </c>
      <c r="V3516" s="9" t="s">
        <v>3132</v>
      </c>
      <c r="W3516">
        <f>7*12</f>
        <v>84</v>
      </c>
      <c r="X3516" s="9" t="s">
        <v>3129</v>
      </c>
      <c r="Y3516" t="s">
        <v>3133</v>
      </c>
      <c r="Z3516">
        <v>12</v>
      </c>
      <c r="AD3516" t="s">
        <v>1165</v>
      </c>
      <c r="AF3516" t="s">
        <v>1165</v>
      </c>
      <c r="AI3516" s="21" t="s">
        <v>1165</v>
      </c>
      <c r="AJ3516" s="21" t="s">
        <v>1148</v>
      </c>
      <c r="AK3516">
        <v>36</v>
      </c>
      <c r="AN3516" s="21">
        <v>4</v>
      </c>
      <c r="AO3516" s="21">
        <v>25</v>
      </c>
      <c r="AP3516">
        <v>28</v>
      </c>
      <c r="AQ3516" s="22" t="s">
        <v>1283</v>
      </c>
      <c r="AR3516" s="21" t="s">
        <v>3130</v>
      </c>
    </row>
    <row r="3517" spans="1:44" x14ac:dyDescent="0.2">
      <c r="A3517" s="21" t="s">
        <v>1775</v>
      </c>
      <c r="B3517" s="21" t="s">
        <v>1146</v>
      </c>
      <c r="C3517" s="21" t="s">
        <v>1149</v>
      </c>
      <c r="D3517" s="21" t="s">
        <v>1774</v>
      </c>
      <c r="E3517" s="21" t="s">
        <v>3160</v>
      </c>
      <c r="G3517" s="21" t="s">
        <v>1165</v>
      </c>
      <c r="H3517" s="21" t="s">
        <v>1165</v>
      </c>
      <c r="I3517" s="21" t="s">
        <v>3163</v>
      </c>
      <c r="L3517">
        <v>2400</v>
      </c>
      <c r="M3517" s="21" t="s">
        <v>3034</v>
      </c>
      <c r="O3517">
        <v>1988</v>
      </c>
      <c r="S3517" s="9" t="s">
        <v>3128</v>
      </c>
      <c r="T3517" t="s">
        <v>3127</v>
      </c>
      <c r="U3517" s="21" t="s">
        <v>1218</v>
      </c>
      <c r="V3517" s="9" t="s">
        <v>3132</v>
      </c>
      <c r="W3517">
        <f>7*12</f>
        <v>84</v>
      </c>
      <c r="X3517" s="9" t="s">
        <v>3129</v>
      </c>
      <c r="Y3517" t="s">
        <v>3134</v>
      </c>
      <c r="Z3517">
        <v>12</v>
      </c>
      <c r="AD3517" t="s">
        <v>1165</v>
      </c>
      <c r="AF3517" t="s">
        <v>1165</v>
      </c>
      <c r="AI3517" s="21" t="s">
        <v>1165</v>
      </c>
      <c r="AJ3517" s="21" t="s">
        <v>1148</v>
      </c>
      <c r="AK3517">
        <v>29</v>
      </c>
      <c r="AN3517" s="21">
        <v>4</v>
      </c>
      <c r="AO3517" s="21">
        <v>25</v>
      </c>
      <c r="AP3517">
        <v>28</v>
      </c>
      <c r="AQ3517" s="22" t="s">
        <v>1283</v>
      </c>
      <c r="AR3517" s="21" t="s">
        <v>3130</v>
      </c>
    </row>
    <row r="3518" spans="1:44" x14ac:dyDescent="0.2">
      <c r="A3518" s="21" t="s">
        <v>1775</v>
      </c>
      <c r="B3518" s="21" t="s">
        <v>1146</v>
      </c>
      <c r="C3518" s="21" t="s">
        <v>1149</v>
      </c>
      <c r="D3518" s="21" t="s">
        <v>1774</v>
      </c>
      <c r="E3518" s="21" t="s">
        <v>3160</v>
      </c>
      <c r="G3518" s="21" t="s">
        <v>1165</v>
      </c>
      <c r="H3518" s="21" t="s">
        <v>1165</v>
      </c>
      <c r="I3518" s="21" t="s">
        <v>3163</v>
      </c>
      <c r="L3518">
        <v>2400</v>
      </c>
      <c r="M3518" s="21" t="s">
        <v>3034</v>
      </c>
      <c r="O3518">
        <v>1988</v>
      </c>
      <c r="S3518" s="9" t="s">
        <v>3128</v>
      </c>
      <c r="T3518" t="s">
        <v>3127</v>
      </c>
      <c r="U3518" s="21" t="s">
        <v>1218</v>
      </c>
      <c r="V3518" s="9" t="s">
        <v>3132</v>
      </c>
      <c r="W3518">
        <f>7*12</f>
        <v>84</v>
      </c>
      <c r="X3518" s="9" t="s">
        <v>3129</v>
      </c>
      <c r="Y3518" t="s">
        <v>3135</v>
      </c>
      <c r="Z3518">
        <v>12</v>
      </c>
      <c r="AD3518" t="s">
        <v>1165</v>
      </c>
      <c r="AF3518" t="s">
        <v>1165</v>
      </c>
      <c r="AI3518" s="21" t="s">
        <v>1165</v>
      </c>
      <c r="AJ3518" s="21" t="s">
        <v>1148</v>
      </c>
      <c r="AK3518">
        <v>15</v>
      </c>
      <c r="AN3518" s="21">
        <v>4</v>
      </c>
      <c r="AO3518" s="21">
        <v>25</v>
      </c>
      <c r="AP3518">
        <v>28</v>
      </c>
      <c r="AQ3518" s="22" t="s">
        <v>1283</v>
      </c>
      <c r="AR3518" s="21" t="s">
        <v>3130</v>
      </c>
    </row>
    <row r="3519" spans="1:44" x14ac:dyDescent="0.2">
      <c r="A3519" s="21" t="s">
        <v>1775</v>
      </c>
      <c r="B3519" s="21" t="s">
        <v>1146</v>
      </c>
      <c r="C3519" s="21" t="s">
        <v>1149</v>
      </c>
      <c r="D3519" s="21" t="s">
        <v>1774</v>
      </c>
      <c r="E3519" s="21" t="s">
        <v>3161</v>
      </c>
      <c r="G3519" s="21" t="s">
        <v>1165</v>
      </c>
      <c r="H3519" s="21" t="s">
        <v>1165</v>
      </c>
      <c r="I3519" s="21" t="s">
        <v>3164</v>
      </c>
      <c r="L3519">
        <v>2650</v>
      </c>
      <c r="M3519" s="21" t="s">
        <v>3034</v>
      </c>
      <c r="O3519">
        <v>1988</v>
      </c>
      <c r="S3519" s="9" t="s">
        <v>3128</v>
      </c>
      <c r="T3519" t="s">
        <v>3127</v>
      </c>
      <c r="U3519" s="21" t="s">
        <v>1147</v>
      </c>
      <c r="X3519" s="9" t="s">
        <v>3129</v>
      </c>
      <c r="Z3519">
        <v>12</v>
      </c>
      <c r="AD3519" t="s">
        <v>1165</v>
      </c>
      <c r="AF3519" t="s">
        <v>1165</v>
      </c>
      <c r="AI3519" s="21" t="s">
        <v>1165</v>
      </c>
      <c r="AJ3519" s="21" t="s">
        <v>1148</v>
      </c>
      <c r="AK3519">
        <v>7</v>
      </c>
      <c r="AN3519" s="21">
        <v>4</v>
      </c>
      <c r="AO3519" s="21">
        <v>25</v>
      </c>
      <c r="AP3519">
        <v>28</v>
      </c>
      <c r="AQ3519" s="22" t="s">
        <v>1283</v>
      </c>
      <c r="AR3519" s="21" t="s">
        <v>3130</v>
      </c>
    </row>
    <row r="3520" spans="1:44" x14ac:dyDescent="0.2">
      <c r="A3520" s="21" t="s">
        <v>1775</v>
      </c>
      <c r="B3520" s="21" t="s">
        <v>1146</v>
      </c>
      <c r="C3520" s="21" t="s">
        <v>1149</v>
      </c>
      <c r="D3520" s="21" t="s">
        <v>1774</v>
      </c>
      <c r="E3520" s="21" t="s">
        <v>3161</v>
      </c>
      <c r="G3520" s="21" t="s">
        <v>1165</v>
      </c>
      <c r="H3520" s="21" t="s">
        <v>1165</v>
      </c>
      <c r="I3520" s="21" t="s">
        <v>3164</v>
      </c>
      <c r="L3520">
        <v>2650</v>
      </c>
      <c r="M3520" s="21" t="s">
        <v>3034</v>
      </c>
      <c r="O3520">
        <v>1988</v>
      </c>
      <c r="S3520" s="9" t="s">
        <v>3128</v>
      </c>
      <c r="T3520" t="s">
        <v>3127</v>
      </c>
      <c r="U3520" s="21" t="s">
        <v>1218</v>
      </c>
      <c r="V3520" s="9" t="s">
        <v>3132</v>
      </c>
      <c r="W3520">
        <f>4*7</f>
        <v>28</v>
      </c>
      <c r="X3520" s="9" t="s">
        <v>3129</v>
      </c>
      <c r="Z3520">
        <v>12</v>
      </c>
      <c r="AD3520" t="s">
        <v>1165</v>
      </c>
      <c r="AF3520" t="s">
        <v>1165</v>
      </c>
      <c r="AI3520" s="21" t="s">
        <v>1165</v>
      </c>
      <c r="AJ3520" s="21" t="s">
        <v>1148</v>
      </c>
      <c r="AK3520">
        <v>11</v>
      </c>
      <c r="AN3520" s="21">
        <v>4</v>
      </c>
      <c r="AO3520" s="21">
        <v>25</v>
      </c>
      <c r="AP3520">
        <v>28</v>
      </c>
      <c r="AQ3520" s="22" t="s">
        <v>1283</v>
      </c>
      <c r="AR3520" s="21" t="s">
        <v>3130</v>
      </c>
    </row>
    <row r="3521" spans="1:44" x14ac:dyDescent="0.2">
      <c r="A3521" s="21" t="s">
        <v>1775</v>
      </c>
      <c r="B3521" s="21" t="s">
        <v>1146</v>
      </c>
      <c r="C3521" s="21" t="s">
        <v>1149</v>
      </c>
      <c r="D3521" s="21" t="s">
        <v>1774</v>
      </c>
      <c r="E3521" s="21" t="s">
        <v>3161</v>
      </c>
      <c r="G3521" s="21" t="s">
        <v>1165</v>
      </c>
      <c r="H3521" s="21" t="s">
        <v>1165</v>
      </c>
      <c r="I3521" s="21" t="s">
        <v>3164</v>
      </c>
      <c r="L3521">
        <v>2650</v>
      </c>
      <c r="M3521" s="21" t="s">
        <v>3034</v>
      </c>
      <c r="O3521">
        <v>1988</v>
      </c>
      <c r="S3521" s="9" t="s">
        <v>3128</v>
      </c>
      <c r="T3521" t="s">
        <v>3127</v>
      </c>
      <c r="U3521" s="21" t="s">
        <v>1218</v>
      </c>
      <c r="V3521" s="9" t="s">
        <v>3132</v>
      </c>
      <c r="W3521">
        <v>56</v>
      </c>
      <c r="X3521" s="9" t="s">
        <v>3129</v>
      </c>
      <c r="Z3521">
        <v>12</v>
      </c>
      <c r="AD3521" t="s">
        <v>1165</v>
      </c>
      <c r="AF3521" t="s">
        <v>1165</v>
      </c>
      <c r="AI3521" s="21" t="s">
        <v>1165</v>
      </c>
      <c r="AJ3521" s="21" t="s">
        <v>1148</v>
      </c>
      <c r="AK3521">
        <v>3</v>
      </c>
      <c r="AN3521" s="21">
        <v>4</v>
      </c>
      <c r="AO3521" s="21">
        <v>25</v>
      </c>
      <c r="AP3521">
        <v>28</v>
      </c>
      <c r="AQ3521" s="22" t="s">
        <v>1283</v>
      </c>
      <c r="AR3521" s="21" t="s">
        <v>3130</v>
      </c>
    </row>
    <row r="3522" spans="1:44" x14ac:dyDescent="0.2">
      <c r="A3522" s="21" t="s">
        <v>1775</v>
      </c>
      <c r="B3522" s="21" t="s">
        <v>1146</v>
      </c>
      <c r="C3522" s="21" t="s">
        <v>1149</v>
      </c>
      <c r="D3522" s="21" t="s">
        <v>1774</v>
      </c>
      <c r="E3522" s="21" t="s">
        <v>3161</v>
      </c>
      <c r="G3522" s="21" t="s">
        <v>1165</v>
      </c>
      <c r="H3522" s="21" t="s">
        <v>1165</v>
      </c>
      <c r="I3522" s="21" t="s">
        <v>3164</v>
      </c>
      <c r="L3522">
        <v>2650</v>
      </c>
      <c r="M3522" s="21" t="s">
        <v>3034</v>
      </c>
      <c r="O3522">
        <v>1988</v>
      </c>
      <c r="S3522" s="9" t="s">
        <v>3128</v>
      </c>
      <c r="T3522" t="s">
        <v>3127</v>
      </c>
      <c r="U3522" s="21" t="s">
        <v>1218</v>
      </c>
      <c r="V3522" s="9" t="s">
        <v>3132</v>
      </c>
      <c r="W3522">
        <f>7*12</f>
        <v>84</v>
      </c>
      <c r="X3522" s="9" t="s">
        <v>3129</v>
      </c>
      <c r="Z3522">
        <v>12</v>
      </c>
      <c r="AD3522" t="s">
        <v>1165</v>
      </c>
      <c r="AF3522" t="s">
        <v>1165</v>
      </c>
      <c r="AI3522" s="21" t="s">
        <v>1165</v>
      </c>
      <c r="AJ3522" s="21" t="s">
        <v>1148</v>
      </c>
      <c r="AK3522">
        <v>5</v>
      </c>
      <c r="AN3522" s="21">
        <v>4</v>
      </c>
      <c r="AO3522" s="21">
        <v>25</v>
      </c>
      <c r="AP3522">
        <v>28</v>
      </c>
      <c r="AQ3522" s="22" t="s">
        <v>1283</v>
      </c>
      <c r="AR3522" s="21" t="s">
        <v>3130</v>
      </c>
    </row>
    <row r="3523" spans="1:44" x14ac:dyDescent="0.2">
      <c r="A3523" s="21" t="s">
        <v>1775</v>
      </c>
      <c r="B3523" s="21" t="s">
        <v>1146</v>
      </c>
      <c r="C3523" s="21" t="s">
        <v>1149</v>
      </c>
      <c r="D3523" s="21" t="s">
        <v>1774</v>
      </c>
      <c r="E3523" s="21" t="s">
        <v>3161</v>
      </c>
      <c r="G3523" s="21" t="s">
        <v>1165</v>
      </c>
      <c r="H3523" s="21" t="s">
        <v>1165</v>
      </c>
      <c r="I3523" s="21" t="s">
        <v>3164</v>
      </c>
      <c r="L3523">
        <v>2650</v>
      </c>
      <c r="M3523" s="21" t="s">
        <v>3034</v>
      </c>
      <c r="O3523">
        <v>1988</v>
      </c>
      <c r="S3523" s="9" t="s">
        <v>3128</v>
      </c>
      <c r="T3523" t="s">
        <v>3127</v>
      </c>
      <c r="U3523" s="21" t="s">
        <v>1218</v>
      </c>
      <c r="V3523" s="9" t="s">
        <v>3132</v>
      </c>
      <c r="W3523">
        <f>7*16</f>
        <v>112</v>
      </c>
      <c r="X3523" s="9" t="s">
        <v>3129</v>
      </c>
      <c r="Z3523">
        <v>12</v>
      </c>
      <c r="AD3523" t="s">
        <v>1165</v>
      </c>
      <c r="AF3523" t="s">
        <v>1165</v>
      </c>
      <c r="AI3523" s="21" t="s">
        <v>1165</v>
      </c>
      <c r="AJ3523" s="21" t="s">
        <v>1148</v>
      </c>
      <c r="AK3523">
        <v>19</v>
      </c>
      <c r="AN3523" s="21">
        <v>4</v>
      </c>
      <c r="AO3523" s="21">
        <v>25</v>
      </c>
      <c r="AP3523">
        <v>28</v>
      </c>
      <c r="AQ3523" s="22" t="s">
        <v>1283</v>
      </c>
      <c r="AR3523" s="21" t="s">
        <v>3130</v>
      </c>
    </row>
    <row r="3524" spans="1:44" x14ac:dyDescent="0.2">
      <c r="A3524" s="21" t="s">
        <v>1775</v>
      </c>
      <c r="B3524" s="21" t="s">
        <v>1146</v>
      </c>
      <c r="C3524" s="21" t="s">
        <v>1149</v>
      </c>
      <c r="D3524" s="21" t="s">
        <v>1774</v>
      </c>
      <c r="E3524" s="21" t="s">
        <v>3161</v>
      </c>
      <c r="G3524" s="21" t="s">
        <v>1165</v>
      </c>
      <c r="H3524" s="21" t="s">
        <v>1165</v>
      </c>
      <c r="I3524" s="21" t="s">
        <v>3164</v>
      </c>
      <c r="L3524">
        <v>2650</v>
      </c>
      <c r="M3524" s="21" t="s">
        <v>3034</v>
      </c>
      <c r="O3524">
        <v>1988</v>
      </c>
      <c r="S3524" s="9" t="s">
        <v>3128</v>
      </c>
      <c r="T3524" t="s">
        <v>3127</v>
      </c>
      <c r="U3524" s="21" t="s">
        <v>1218</v>
      </c>
      <c r="V3524" s="9" t="s">
        <v>3132</v>
      </c>
      <c r="W3524">
        <f>7*24</f>
        <v>168</v>
      </c>
      <c r="X3524" s="9" t="s">
        <v>3129</v>
      </c>
      <c r="Z3524">
        <v>12</v>
      </c>
      <c r="AD3524" t="s">
        <v>1165</v>
      </c>
      <c r="AF3524" t="s">
        <v>1165</v>
      </c>
      <c r="AI3524" s="21" t="s">
        <v>1165</v>
      </c>
      <c r="AJ3524" s="21" t="s">
        <v>1148</v>
      </c>
      <c r="AK3524">
        <v>76</v>
      </c>
      <c r="AN3524" s="21">
        <v>4</v>
      </c>
      <c r="AO3524" s="21">
        <v>25</v>
      </c>
      <c r="AP3524">
        <v>28</v>
      </c>
      <c r="AQ3524" s="22" t="s">
        <v>1283</v>
      </c>
      <c r="AR3524" s="21" t="s">
        <v>3130</v>
      </c>
    </row>
    <row r="3525" spans="1:44" x14ac:dyDescent="0.2">
      <c r="A3525" s="21" t="s">
        <v>1775</v>
      </c>
      <c r="B3525" s="21" t="s">
        <v>1146</v>
      </c>
      <c r="C3525" s="21" t="s">
        <v>1149</v>
      </c>
      <c r="D3525" s="21" t="s">
        <v>1774</v>
      </c>
      <c r="E3525" s="21" t="s">
        <v>3161</v>
      </c>
      <c r="G3525" s="21" t="s">
        <v>1165</v>
      </c>
      <c r="H3525" s="21" t="s">
        <v>1165</v>
      </c>
      <c r="I3525" s="21" t="s">
        <v>3164</v>
      </c>
      <c r="L3525">
        <v>2650</v>
      </c>
      <c r="M3525" s="21" t="s">
        <v>3034</v>
      </c>
      <c r="O3525">
        <v>1988</v>
      </c>
      <c r="S3525" s="9" t="s">
        <v>3128</v>
      </c>
      <c r="T3525" t="s">
        <v>3127</v>
      </c>
      <c r="U3525" s="21" t="s">
        <v>1218</v>
      </c>
      <c r="V3525" s="9" t="s">
        <v>3132</v>
      </c>
      <c r="W3525">
        <f>7*12</f>
        <v>84</v>
      </c>
      <c r="X3525" s="9" t="s">
        <v>3129</v>
      </c>
      <c r="Y3525" t="s">
        <v>3133</v>
      </c>
      <c r="Z3525">
        <v>12</v>
      </c>
      <c r="AD3525" t="s">
        <v>1165</v>
      </c>
      <c r="AF3525" t="s">
        <v>1165</v>
      </c>
      <c r="AI3525" s="21" t="s">
        <v>1165</v>
      </c>
      <c r="AJ3525" s="21" t="s">
        <v>1148</v>
      </c>
      <c r="AK3525">
        <v>17</v>
      </c>
      <c r="AN3525" s="21">
        <v>4</v>
      </c>
      <c r="AO3525" s="21">
        <v>25</v>
      </c>
      <c r="AP3525">
        <v>28</v>
      </c>
      <c r="AQ3525" s="22" t="s">
        <v>1283</v>
      </c>
      <c r="AR3525" s="21" t="s">
        <v>3130</v>
      </c>
    </row>
    <row r="3526" spans="1:44" x14ac:dyDescent="0.2">
      <c r="A3526" s="21" t="s">
        <v>1775</v>
      </c>
      <c r="B3526" s="21" t="s">
        <v>1146</v>
      </c>
      <c r="C3526" s="21" t="s">
        <v>1149</v>
      </c>
      <c r="D3526" s="21" t="s">
        <v>1774</v>
      </c>
      <c r="E3526" s="21" t="s">
        <v>3161</v>
      </c>
      <c r="G3526" s="21" t="s">
        <v>1165</v>
      </c>
      <c r="H3526" s="21" t="s">
        <v>1165</v>
      </c>
      <c r="I3526" s="21" t="s">
        <v>3164</v>
      </c>
      <c r="L3526">
        <v>2650</v>
      </c>
      <c r="M3526" s="21" t="s">
        <v>3034</v>
      </c>
      <c r="O3526">
        <v>1988</v>
      </c>
      <c r="S3526" s="9" t="s">
        <v>3128</v>
      </c>
      <c r="T3526" t="s">
        <v>3127</v>
      </c>
      <c r="U3526" s="21" t="s">
        <v>1218</v>
      </c>
      <c r="V3526" s="9" t="s">
        <v>3132</v>
      </c>
      <c r="W3526">
        <f>7*12</f>
        <v>84</v>
      </c>
      <c r="X3526" s="9" t="s">
        <v>3129</v>
      </c>
      <c r="Y3526" t="s">
        <v>3134</v>
      </c>
      <c r="Z3526">
        <v>12</v>
      </c>
      <c r="AD3526" t="s">
        <v>1165</v>
      </c>
      <c r="AF3526" t="s">
        <v>1165</v>
      </c>
      <c r="AI3526" s="21" t="s">
        <v>1165</v>
      </c>
      <c r="AJ3526" s="21" t="s">
        <v>1148</v>
      </c>
      <c r="AK3526">
        <v>16</v>
      </c>
      <c r="AN3526" s="21">
        <v>4</v>
      </c>
      <c r="AO3526" s="21">
        <v>25</v>
      </c>
      <c r="AP3526">
        <v>28</v>
      </c>
      <c r="AQ3526" s="22" t="s">
        <v>1283</v>
      </c>
      <c r="AR3526" s="21" t="s">
        <v>3130</v>
      </c>
    </row>
    <row r="3527" spans="1:44" x14ac:dyDescent="0.2">
      <c r="A3527" s="21" t="s">
        <v>1775</v>
      </c>
      <c r="B3527" s="21" t="s">
        <v>1146</v>
      </c>
      <c r="C3527" s="21" t="s">
        <v>1149</v>
      </c>
      <c r="D3527" s="21" t="s">
        <v>1774</v>
      </c>
      <c r="E3527" s="21" t="s">
        <v>3161</v>
      </c>
      <c r="G3527" s="21" t="s">
        <v>1165</v>
      </c>
      <c r="H3527" s="21" t="s">
        <v>1165</v>
      </c>
      <c r="I3527" s="21" t="s">
        <v>3164</v>
      </c>
      <c r="L3527">
        <v>2650</v>
      </c>
      <c r="M3527" s="21" t="s">
        <v>3034</v>
      </c>
      <c r="O3527">
        <v>1988</v>
      </c>
      <c r="S3527" s="9" t="s">
        <v>3128</v>
      </c>
      <c r="T3527" t="s">
        <v>3127</v>
      </c>
      <c r="U3527" s="21" t="s">
        <v>1218</v>
      </c>
      <c r="V3527" s="9" t="s">
        <v>3132</v>
      </c>
      <c r="W3527">
        <f>7*12</f>
        <v>84</v>
      </c>
      <c r="X3527" s="9" t="s">
        <v>3129</v>
      </c>
      <c r="Y3527" t="s">
        <v>3135</v>
      </c>
      <c r="Z3527">
        <v>12</v>
      </c>
      <c r="AD3527" t="s">
        <v>1165</v>
      </c>
      <c r="AF3527" t="s">
        <v>1165</v>
      </c>
      <c r="AI3527" s="21" t="s">
        <v>1165</v>
      </c>
      <c r="AJ3527" s="21" t="s">
        <v>1148</v>
      </c>
      <c r="AK3527">
        <v>21</v>
      </c>
      <c r="AN3527" s="21">
        <v>4</v>
      </c>
      <c r="AO3527" s="21">
        <v>25</v>
      </c>
      <c r="AP3527">
        <v>28</v>
      </c>
      <c r="AQ3527" s="22" t="s">
        <v>1283</v>
      </c>
      <c r="AR3527" s="21" t="s">
        <v>3130</v>
      </c>
    </row>
    <row r="3528" spans="1:44" x14ac:dyDescent="0.2">
      <c r="A3528" s="21" t="s">
        <v>1775</v>
      </c>
      <c r="B3528" s="21" t="s">
        <v>1146</v>
      </c>
      <c r="C3528" s="21" t="s">
        <v>1149</v>
      </c>
      <c r="D3528" s="21" t="s">
        <v>1774</v>
      </c>
      <c r="E3528" s="21" t="s">
        <v>3161</v>
      </c>
      <c r="G3528" s="21" t="s">
        <v>1165</v>
      </c>
      <c r="H3528" s="21" t="s">
        <v>1165</v>
      </c>
      <c r="I3528" s="21" t="s">
        <v>3165</v>
      </c>
      <c r="L3528">
        <v>1660</v>
      </c>
      <c r="M3528" s="21" t="s">
        <v>3034</v>
      </c>
      <c r="O3528">
        <v>1988</v>
      </c>
      <c r="S3528" s="9" t="s">
        <v>3128</v>
      </c>
      <c r="T3528" t="s">
        <v>3127</v>
      </c>
      <c r="U3528" s="21" t="s">
        <v>1147</v>
      </c>
      <c r="X3528" s="9" t="s">
        <v>3129</v>
      </c>
      <c r="Z3528">
        <v>12</v>
      </c>
      <c r="AD3528" t="s">
        <v>1165</v>
      </c>
      <c r="AF3528" t="s">
        <v>1165</v>
      </c>
      <c r="AI3528" s="21" t="s">
        <v>1165</v>
      </c>
      <c r="AJ3528" s="21" t="s">
        <v>1148</v>
      </c>
      <c r="AK3528">
        <v>0</v>
      </c>
      <c r="AN3528" s="21">
        <v>4</v>
      </c>
      <c r="AO3528" s="21">
        <v>25</v>
      </c>
      <c r="AP3528">
        <v>28</v>
      </c>
      <c r="AQ3528" s="22" t="s">
        <v>1283</v>
      </c>
      <c r="AR3528" s="21" t="s">
        <v>3130</v>
      </c>
    </row>
    <row r="3529" spans="1:44" x14ac:dyDescent="0.2">
      <c r="A3529" s="21" t="s">
        <v>1775</v>
      </c>
      <c r="B3529" s="21" t="s">
        <v>1146</v>
      </c>
      <c r="C3529" s="21" t="s">
        <v>1149</v>
      </c>
      <c r="D3529" s="21" t="s">
        <v>1774</v>
      </c>
      <c r="E3529" s="21" t="s">
        <v>3161</v>
      </c>
      <c r="G3529" s="21" t="s">
        <v>1165</v>
      </c>
      <c r="H3529" s="21" t="s">
        <v>1165</v>
      </c>
      <c r="I3529" s="21" t="s">
        <v>3165</v>
      </c>
      <c r="L3529">
        <v>1660</v>
      </c>
      <c r="M3529" s="21" t="s">
        <v>3034</v>
      </c>
      <c r="O3529">
        <v>1988</v>
      </c>
      <c r="S3529" s="9" t="s">
        <v>3128</v>
      </c>
      <c r="T3529" t="s">
        <v>3127</v>
      </c>
      <c r="U3529" s="21" t="s">
        <v>1218</v>
      </c>
      <c r="V3529" s="9" t="s">
        <v>3132</v>
      </c>
      <c r="W3529">
        <f>4*7</f>
        <v>28</v>
      </c>
      <c r="X3529" s="9" t="s">
        <v>3129</v>
      </c>
      <c r="Z3529">
        <v>12</v>
      </c>
      <c r="AD3529" t="s">
        <v>1165</v>
      </c>
      <c r="AF3529" t="s">
        <v>1165</v>
      </c>
      <c r="AI3529" s="21" t="s">
        <v>1165</v>
      </c>
      <c r="AJ3529" s="21" t="s">
        <v>1148</v>
      </c>
      <c r="AK3529">
        <v>7</v>
      </c>
      <c r="AN3529" s="21">
        <v>4</v>
      </c>
      <c r="AO3529" s="21">
        <v>25</v>
      </c>
      <c r="AP3529">
        <v>28</v>
      </c>
      <c r="AQ3529" s="22" t="s">
        <v>1283</v>
      </c>
      <c r="AR3529" s="21" t="s">
        <v>3130</v>
      </c>
    </row>
    <row r="3530" spans="1:44" x14ac:dyDescent="0.2">
      <c r="A3530" s="21" t="s">
        <v>1775</v>
      </c>
      <c r="B3530" s="21" t="s">
        <v>1146</v>
      </c>
      <c r="C3530" s="21" t="s">
        <v>1149</v>
      </c>
      <c r="D3530" s="21" t="s">
        <v>1774</v>
      </c>
      <c r="E3530" s="21" t="s">
        <v>3161</v>
      </c>
      <c r="G3530" s="21" t="s">
        <v>1165</v>
      </c>
      <c r="H3530" s="21" t="s">
        <v>1165</v>
      </c>
      <c r="I3530" s="21" t="s">
        <v>3165</v>
      </c>
      <c r="L3530">
        <v>1660</v>
      </c>
      <c r="M3530" s="21" t="s">
        <v>3034</v>
      </c>
      <c r="O3530">
        <v>1988</v>
      </c>
      <c r="S3530" s="9" t="s">
        <v>3128</v>
      </c>
      <c r="T3530" t="s">
        <v>3127</v>
      </c>
      <c r="U3530" s="21" t="s">
        <v>1218</v>
      </c>
      <c r="V3530" s="9" t="s">
        <v>3132</v>
      </c>
      <c r="W3530">
        <v>56</v>
      </c>
      <c r="X3530" s="9" t="s">
        <v>3129</v>
      </c>
      <c r="Z3530">
        <v>12</v>
      </c>
      <c r="AD3530" t="s">
        <v>1165</v>
      </c>
      <c r="AF3530" t="s">
        <v>1165</v>
      </c>
      <c r="AI3530" s="21" t="s">
        <v>1165</v>
      </c>
      <c r="AJ3530" s="21" t="s">
        <v>1148</v>
      </c>
      <c r="AK3530">
        <v>2</v>
      </c>
      <c r="AN3530" s="21">
        <v>4</v>
      </c>
      <c r="AO3530" s="21">
        <v>25</v>
      </c>
      <c r="AP3530">
        <v>28</v>
      </c>
      <c r="AQ3530" s="22" t="s">
        <v>1283</v>
      </c>
      <c r="AR3530" s="21" t="s">
        <v>3130</v>
      </c>
    </row>
    <row r="3531" spans="1:44" x14ac:dyDescent="0.2">
      <c r="A3531" s="21" t="s">
        <v>1775</v>
      </c>
      <c r="B3531" s="21" t="s">
        <v>1146</v>
      </c>
      <c r="C3531" s="21" t="s">
        <v>1149</v>
      </c>
      <c r="D3531" s="21" t="s">
        <v>1774</v>
      </c>
      <c r="E3531" s="21" t="s">
        <v>3161</v>
      </c>
      <c r="G3531" s="21" t="s">
        <v>1165</v>
      </c>
      <c r="H3531" s="21" t="s">
        <v>1165</v>
      </c>
      <c r="I3531" s="21" t="s">
        <v>3165</v>
      </c>
      <c r="L3531">
        <v>1660</v>
      </c>
      <c r="M3531" s="21" t="s">
        <v>3034</v>
      </c>
      <c r="O3531">
        <v>1988</v>
      </c>
      <c r="S3531" s="9" t="s">
        <v>3128</v>
      </c>
      <c r="T3531" t="s">
        <v>3127</v>
      </c>
      <c r="U3531" s="21" t="s">
        <v>1218</v>
      </c>
      <c r="V3531" s="9" t="s">
        <v>3132</v>
      </c>
      <c r="W3531">
        <f>7*12</f>
        <v>84</v>
      </c>
      <c r="X3531" s="9" t="s">
        <v>3129</v>
      </c>
      <c r="Z3531">
        <v>12</v>
      </c>
      <c r="AD3531" t="s">
        <v>1165</v>
      </c>
      <c r="AF3531" t="s">
        <v>1165</v>
      </c>
      <c r="AI3531" s="21" t="s">
        <v>1165</v>
      </c>
      <c r="AJ3531" s="21" t="s">
        <v>1148</v>
      </c>
      <c r="AK3531">
        <v>2</v>
      </c>
      <c r="AN3531" s="21">
        <v>4</v>
      </c>
      <c r="AO3531" s="21">
        <v>25</v>
      </c>
      <c r="AP3531">
        <v>28</v>
      </c>
      <c r="AQ3531" s="22" t="s">
        <v>1283</v>
      </c>
      <c r="AR3531" s="21" t="s">
        <v>3130</v>
      </c>
    </row>
    <row r="3532" spans="1:44" x14ac:dyDescent="0.2">
      <c r="A3532" s="21" t="s">
        <v>1775</v>
      </c>
      <c r="B3532" s="21" t="s">
        <v>1146</v>
      </c>
      <c r="C3532" s="21" t="s">
        <v>1149</v>
      </c>
      <c r="D3532" s="21" t="s">
        <v>1774</v>
      </c>
      <c r="E3532" s="21" t="s">
        <v>3161</v>
      </c>
      <c r="G3532" s="21" t="s">
        <v>1165</v>
      </c>
      <c r="H3532" s="21" t="s">
        <v>1165</v>
      </c>
      <c r="I3532" s="21" t="s">
        <v>3165</v>
      </c>
      <c r="L3532">
        <v>1660</v>
      </c>
      <c r="M3532" s="21" t="s">
        <v>3034</v>
      </c>
      <c r="O3532">
        <v>1988</v>
      </c>
      <c r="S3532" s="9" t="s">
        <v>3128</v>
      </c>
      <c r="T3532" t="s">
        <v>3127</v>
      </c>
      <c r="U3532" s="21" t="s">
        <v>1218</v>
      </c>
      <c r="V3532" s="9" t="s">
        <v>3132</v>
      </c>
      <c r="W3532">
        <f>7*16</f>
        <v>112</v>
      </c>
      <c r="X3532" s="9" t="s">
        <v>3129</v>
      </c>
      <c r="Z3532">
        <v>12</v>
      </c>
      <c r="AD3532" t="s">
        <v>1165</v>
      </c>
      <c r="AF3532" t="s">
        <v>1165</v>
      </c>
      <c r="AI3532" s="21" t="s">
        <v>1165</v>
      </c>
      <c r="AJ3532" s="21" t="s">
        <v>1148</v>
      </c>
      <c r="AK3532">
        <v>37</v>
      </c>
      <c r="AN3532" s="21">
        <v>4</v>
      </c>
      <c r="AO3532" s="21">
        <v>25</v>
      </c>
      <c r="AP3532">
        <v>28</v>
      </c>
      <c r="AQ3532" s="22" t="s">
        <v>1283</v>
      </c>
      <c r="AR3532" s="21" t="s">
        <v>3130</v>
      </c>
    </row>
    <row r="3533" spans="1:44" x14ac:dyDescent="0.2">
      <c r="A3533" s="21" t="s">
        <v>1775</v>
      </c>
      <c r="B3533" s="21" t="s">
        <v>1146</v>
      </c>
      <c r="C3533" s="21" t="s">
        <v>1149</v>
      </c>
      <c r="D3533" s="21" t="s">
        <v>1774</v>
      </c>
      <c r="E3533" s="21" t="s">
        <v>3161</v>
      </c>
      <c r="G3533" s="21" t="s">
        <v>1165</v>
      </c>
      <c r="H3533" s="21" t="s">
        <v>1165</v>
      </c>
      <c r="I3533" s="21" t="s">
        <v>3165</v>
      </c>
      <c r="L3533">
        <v>1660</v>
      </c>
      <c r="M3533" s="21" t="s">
        <v>3034</v>
      </c>
      <c r="O3533">
        <v>1988</v>
      </c>
      <c r="S3533" s="9" t="s">
        <v>3128</v>
      </c>
      <c r="T3533" t="s">
        <v>3127</v>
      </c>
      <c r="U3533" s="21" t="s">
        <v>1218</v>
      </c>
      <c r="V3533" s="9" t="s">
        <v>3132</v>
      </c>
      <c r="W3533">
        <f>7*24</f>
        <v>168</v>
      </c>
      <c r="X3533" s="9" t="s">
        <v>3129</v>
      </c>
      <c r="Z3533">
        <v>12</v>
      </c>
      <c r="AD3533" t="s">
        <v>1165</v>
      </c>
      <c r="AF3533" t="s">
        <v>1165</v>
      </c>
      <c r="AI3533" s="21" t="s">
        <v>1165</v>
      </c>
      <c r="AJ3533" s="21" t="s">
        <v>1148</v>
      </c>
      <c r="AK3533">
        <v>36</v>
      </c>
      <c r="AN3533" s="21">
        <v>4</v>
      </c>
      <c r="AO3533" s="21">
        <v>25</v>
      </c>
      <c r="AP3533">
        <v>28</v>
      </c>
      <c r="AQ3533" s="22" t="s">
        <v>1283</v>
      </c>
      <c r="AR3533" s="21" t="s">
        <v>3130</v>
      </c>
    </row>
    <row r="3534" spans="1:44" x14ac:dyDescent="0.2">
      <c r="A3534" s="21" t="s">
        <v>1775</v>
      </c>
      <c r="B3534" s="21" t="s">
        <v>1146</v>
      </c>
      <c r="C3534" s="21" t="s">
        <v>1149</v>
      </c>
      <c r="D3534" s="21" t="s">
        <v>1774</v>
      </c>
      <c r="E3534" s="21" t="s">
        <v>3161</v>
      </c>
      <c r="G3534" s="21" t="s">
        <v>1165</v>
      </c>
      <c r="H3534" s="21" t="s">
        <v>1165</v>
      </c>
      <c r="I3534" s="21" t="s">
        <v>3165</v>
      </c>
      <c r="L3534">
        <v>1660</v>
      </c>
      <c r="M3534" s="21" t="s">
        <v>3034</v>
      </c>
      <c r="O3534">
        <v>1988</v>
      </c>
      <c r="S3534" s="9" t="s">
        <v>3128</v>
      </c>
      <c r="T3534" t="s">
        <v>3127</v>
      </c>
      <c r="U3534" s="21" t="s">
        <v>1218</v>
      </c>
      <c r="V3534" s="9" t="s">
        <v>3132</v>
      </c>
      <c r="W3534">
        <f>7*12</f>
        <v>84</v>
      </c>
      <c r="X3534" s="9" t="s">
        <v>3129</v>
      </c>
      <c r="Y3534" t="s">
        <v>3133</v>
      </c>
      <c r="Z3534">
        <v>12</v>
      </c>
      <c r="AD3534" t="s">
        <v>1165</v>
      </c>
      <c r="AF3534" t="s">
        <v>1165</v>
      </c>
      <c r="AI3534" s="21" t="s">
        <v>1165</v>
      </c>
      <c r="AJ3534" s="21" t="s">
        <v>1148</v>
      </c>
      <c r="AK3534">
        <v>20</v>
      </c>
      <c r="AN3534" s="21">
        <v>4</v>
      </c>
      <c r="AO3534" s="21">
        <v>25</v>
      </c>
      <c r="AP3534">
        <v>28</v>
      </c>
      <c r="AQ3534" s="22" t="s">
        <v>1283</v>
      </c>
      <c r="AR3534" s="21" t="s">
        <v>3130</v>
      </c>
    </row>
    <row r="3535" spans="1:44" x14ac:dyDescent="0.2">
      <c r="A3535" s="21" t="s">
        <v>1775</v>
      </c>
      <c r="B3535" s="21" t="s">
        <v>1146</v>
      </c>
      <c r="C3535" s="21" t="s">
        <v>1149</v>
      </c>
      <c r="D3535" s="21" t="s">
        <v>1774</v>
      </c>
      <c r="E3535" s="21" t="s">
        <v>3161</v>
      </c>
      <c r="G3535" s="21" t="s">
        <v>1165</v>
      </c>
      <c r="H3535" s="21" t="s">
        <v>1165</v>
      </c>
      <c r="I3535" s="21" t="s">
        <v>3165</v>
      </c>
      <c r="L3535">
        <v>1660</v>
      </c>
      <c r="M3535" s="21" t="s">
        <v>3034</v>
      </c>
      <c r="O3535">
        <v>1988</v>
      </c>
      <c r="S3535" s="9" t="s">
        <v>3128</v>
      </c>
      <c r="T3535" t="s">
        <v>3127</v>
      </c>
      <c r="U3535" s="21" t="s">
        <v>1218</v>
      </c>
      <c r="V3535" s="9" t="s">
        <v>3132</v>
      </c>
      <c r="W3535">
        <f>7*12</f>
        <v>84</v>
      </c>
      <c r="X3535" s="9" t="s">
        <v>3129</v>
      </c>
      <c r="Y3535" t="s">
        <v>3134</v>
      </c>
      <c r="Z3535">
        <v>12</v>
      </c>
      <c r="AD3535" t="s">
        <v>1165</v>
      </c>
      <c r="AF3535" t="s">
        <v>1165</v>
      </c>
      <c r="AI3535" s="21" t="s">
        <v>1165</v>
      </c>
      <c r="AJ3535" s="21" t="s">
        <v>1148</v>
      </c>
      <c r="AK3535">
        <v>14</v>
      </c>
      <c r="AN3535" s="21">
        <v>4</v>
      </c>
      <c r="AO3535" s="21">
        <v>25</v>
      </c>
      <c r="AP3535">
        <v>28</v>
      </c>
      <c r="AQ3535" s="22" t="s">
        <v>1283</v>
      </c>
      <c r="AR3535" s="21" t="s">
        <v>3130</v>
      </c>
    </row>
    <row r="3536" spans="1:44" x14ac:dyDescent="0.2">
      <c r="A3536" s="21" t="s">
        <v>1775</v>
      </c>
      <c r="B3536" s="21" t="s">
        <v>1146</v>
      </c>
      <c r="C3536" s="21" t="s">
        <v>1149</v>
      </c>
      <c r="D3536" s="21" t="s">
        <v>1774</v>
      </c>
      <c r="E3536" s="21" t="s">
        <v>3161</v>
      </c>
      <c r="G3536" s="21" t="s">
        <v>1165</v>
      </c>
      <c r="H3536" s="21" t="s">
        <v>1165</v>
      </c>
      <c r="I3536" s="21" t="s">
        <v>3165</v>
      </c>
      <c r="L3536">
        <v>1660</v>
      </c>
      <c r="M3536" s="21" t="s">
        <v>3034</v>
      </c>
      <c r="O3536">
        <v>1988</v>
      </c>
      <c r="S3536" s="9" t="s">
        <v>3128</v>
      </c>
      <c r="T3536" t="s">
        <v>3127</v>
      </c>
      <c r="U3536" s="21" t="s">
        <v>1218</v>
      </c>
      <c r="V3536" s="9" t="s">
        <v>3132</v>
      </c>
      <c r="W3536">
        <f>7*12</f>
        <v>84</v>
      </c>
      <c r="X3536" s="9" t="s">
        <v>3129</v>
      </c>
      <c r="Y3536" t="s">
        <v>3135</v>
      </c>
      <c r="Z3536">
        <v>12</v>
      </c>
      <c r="AD3536" t="s">
        <v>1165</v>
      </c>
      <c r="AF3536" t="s">
        <v>1165</v>
      </c>
      <c r="AI3536" s="21" t="s">
        <v>1165</v>
      </c>
      <c r="AJ3536" s="21" t="s">
        <v>1148</v>
      </c>
      <c r="AK3536">
        <v>13</v>
      </c>
      <c r="AN3536" s="21">
        <v>4</v>
      </c>
      <c r="AO3536" s="21">
        <v>25</v>
      </c>
      <c r="AP3536">
        <v>28</v>
      </c>
      <c r="AQ3536" s="22" t="s">
        <v>1283</v>
      </c>
      <c r="AR3536" s="21" t="s">
        <v>3130</v>
      </c>
    </row>
    <row r="3537" spans="1:44" x14ac:dyDescent="0.2">
      <c r="A3537" s="21" t="s">
        <v>1775</v>
      </c>
      <c r="B3537" s="21" t="s">
        <v>1146</v>
      </c>
      <c r="C3537" s="21" t="s">
        <v>1149</v>
      </c>
      <c r="D3537" s="21" t="s">
        <v>1774</v>
      </c>
      <c r="E3537" s="21" t="s">
        <v>3161</v>
      </c>
      <c r="G3537" s="21" t="s">
        <v>1165</v>
      </c>
      <c r="H3537" s="21" t="s">
        <v>1165</v>
      </c>
      <c r="I3537" s="21" t="s">
        <v>3166</v>
      </c>
      <c r="L3537">
        <v>2740</v>
      </c>
      <c r="M3537" s="21" t="s">
        <v>3034</v>
      </c>
      <c r="O3537">
        <v>1988</v>
      </c>
      <c r="S3537" s="9" t="s">
        <v>3128</v>
      </c>
      <c r="T3537" t="s">
        <v>3127</v>
      </c>
      <c r="U3537" s="21" t="s">
        <v>1147</v>
      </c>
      <c r="X3537" s="9" t="s">
        <v>3129</v>
      </c>
      <c r="Z3537">
        <v>12</v>
      </c>
      <c r="AD3537" t="s">
        <v>1165</v>
      </c>
      <c r="AF3537" t="s">
        <v>1165</v>
      </c>
      <c r="AI3537" s="21" t="s">
        <v>1165</v>
      </c>
      <c r="AJ3537" s="21" t="s">
        <v>1148</v>
      </c>
      <c r="AK3537">
        <v>1</v>
      </c>
      <c r="AN3537" s="21">
        <v>4</v>
      </c>
      <c r="AO3537" s="21">
        <v>25</v>
      </c>
      <c r="AP3537">
        <v>28</v>
      </c>
      <c r="AQ3537" s="22" t="s">
        <v>1283</v>
      </c>
      <c r="AR3537" s="21" t="s">
        <v>3130</v>
      </c>
    </row>
    <row r="3538" spans="1:44" x14ac:dyDescent="0.2">
      <c r="A3538" s="21" t="s">
        <v>1775</v>
      </c>
      <c r="B3538" s="21" t="s">
        <v>1146</v>
      </c>
      <c r="C3538" s="21" t="s">
        <v>1149</v>
      </c>
      <c r="D3538" s="21" t="s">
        <v>1774</v>
      </c>
      <c r="E3538" s="21" t="s">
        <v>3161</v>
      </c>
      <c r="G3538" s="21" t="s">
        <v>1165</v>
      </c>
      <c r="H3538" s="21" t="s">
        <v>1165</v>
      </c>
      <c r="I3538" s="21" t="s">
        <v>3166</v>
      </c>
      <c r="L3538">
        <v>2740</v>
      </c>
      <c r="M3538" s="21" t="s">
        <v>3034</v>
      </c>
      <c r="O3538">
        <v>1988</v>
      </c>
      <c r="S3538" s="9" t="s">
        <v>3128</v>
      </c>
      <c r="T3538" t="s">
        <v>3127</v>
      </c>
      <c r="U3538" s="21" t="s">
        <v>1218</v>
      </c>
      <c r="V3538" s="9" t="s">
        <v>3132</v>
      </c>
      <c r="W3538">
        <f>4*7</f>
        <v>28</v>
      </c>
      <c r="X3538" s="9" t="s">
        <v>3129</v>
      </c>
      <c r="Z3538">
        <v>12</v>
      </c>
      <c r="AD3538" t="s">
        <v>1165</v>
      </c>
      <c r="AF3538" t="s">
        <v>1165</v>
      </c>
      <c r="AI3538" s="21" t="s">
        <v>1165</v>
      </c>
      <c r="AJ3538" s="21" t="s">
        <v>1148</v>
      </c>
      <c r="AK3538">
        <v>2</v>
      </c>
      <c r="AN3538" s="21">
        <v>4</v>
      </c>
      <c r="AO3538" s="21">
        <v>25</v>
      </c>
      <c r="AP3538">
        <v>28</v>
      </c>
      <c r="AQ3538" s="22" t="s">
        <v>1283</v>
      </c>
      <c r="AR3538" s="21" t="s">
        <v>3130</v>
      </c>
    </row>
    <row r="3539" spans="1:44" x14ac:dyDescent="0.2">
      <c r="A3539" s="21" t="s">
        <v>1775</v>
      </c>
      <c r="B3539" s="21" t="s">
        <v>1146</v>
      </c>
      <c r="C3539" s="21" t="s">
        <v>1149</v>
      </c>
      <c r="D3539" s="21" t="s">
        <v>1774</v>
      </c>
      <c r="E3539" s="21" t="s">
        <v>3161</v>
      </c>
      <c r="G3539" s="21" t="s">
        <v>1165</v>
      </c>
      <c r="H3539" s="21" t="s">
        <v>1165</v>
      </c>
      <c r="I3539" s="21" t="s">
        <v>3166</v>
      </c>
      <c r="L3539">
        <v>2740</v>
      </c>
      <c r="M3539" s="21" t="s">
        <v>3034</v>
      </c>
      <c r="O3539">
        <v>1988</v>
      </c>
      <c r="S3539" s="9" t="s">
        <v>3128</v>
      </c>
      <c r="T3539" t="s">
        <v>3127</v>
      </c>
      <c r="U3539" s="21" t="s">
        <v>1218</v>
      </c>
      <c r="V3539" s="9" t="s">
        <v>3132</v>
      </c>
      <c r="W3539">
        <v>56</v>
      </c>
      <c r="X3539" s="9" t="s">
        <v>3129</v>
      </c>
      <c r="Z3539">
        <v>12</v>
      </c>
      <c r="AD3539" t="s">
        <v>1165</v>
      </c>
      <c r="AF3539" t="s">
        <v>1165</v>
      </c>
      <c r="AI3539" s="21" t="s">
        <v>1165</v>
      </c>
      <c r="AJ3539" s="21" t="s">
        <v>1148</v>
      </c>
      <c r="AK3539">
        <v>3</v>
      </c>
      <c r="AN3539" s="21">
        <v>4</v>
      </c>
      <c r="AO3539" s="21">
        <v>25</v>
      </c>
      <c r="AP3539">
        <v>28</v>
      </c>
      <c r="AQ3539" s="22" t="s">
        <v>1283</v>
      </c>
      <c r="AR3539" s="21" t="s">
        <v>3130</v>
      </c>
    </row>
    <row r="3540" spans="1:44" x14ac:dyDescent="0.2">
      <c r="A3540" s="21" t="s">
        <v>1775</v>
      </c>
      <c r="B3540" s="21" t="s">
        <v>1146</v>
      </c>
      <c r="C3540" s="21" t="s">
        <v>1149</v>
      </c>
      <c r="D3540" s="21" t="s">
        <v>1774</v>
      </c>
      <c r="E3540" s="21" t="s">
        <v>3161</v>
      </c>
      <c r="G3540" s="21" t="s">
        <v>1165</v>
      </c>
      <c r="H3540" s="21" t="s">
        <v>1165</v>
      </c>
      <c r="I3540" s="21" t="s">
        <v>3166</v>
      </c>
      <c r="L3540">
        <v>2740</v>
      </c>
      <c r="M3540" s="21" t="s">
        <v>3034</v>
      </c>
      <c r="O3540">
        <v>1988</v>
      </c>
      <c r="S3540" s="9" t="s">
        <v>3128</v>
      </c>
      <c r="T3540" t="s">
        <v>3127</v>
      </c>
      <c r="U3540" s="21" t="s">
        <v>1218</v>
      </c>
      <c r="V3540" s="9" t="s">
        <v>3132</v>
      </c>
      <c r="W3540">
        <f>7*12</f>
        <v>84</v>
      </c>
      <c r="X3540" s="9" t="s">
        <v>3129</v>
      </c>
      <c r="Z3540">
        <v>12</v>
      </c>
      <c r="AD3540" t="s">
        <v>1165</v>
      </c>
      <c r="AF3540" t="s">
        <v>1165</v>
      </c>
      <c r="AI3540" s="21" t="s">
        <v>1165</v>
      </c>
      <c r="AJ3540" s="21" t="s">
        <v>1148</v>
      </c>
      <c r="AK3540">
        <v>4</v>
      </c>
      <c r="AN3540" s="21">
        <v>4</v>
      </c>
      <c r="AO3540" s="21">
        <v>25</v>
      </c>
      <c r="AP3540">
        <v>28</v>
      </c>
      <c r="AQ3540" s="22" t="s">
        <v>1283</v>
      </c>
      <c r="AR3540" s="21" t="s">
        <v>3130</v>
      </c>
    </row>
    <row r="3541" spans="1:44" x14ac:dyDescent="0.2">
      <c r="A3541" s="21" t="s">
        <v>1775</v>
      </c>
      <c r="B3541" s="21" t="s">
        <v>1146</v>
      </c>
      <c r="C3541" s="21" t="s">
        <v>1149</v>
      </c>
      <c r="D3541" s="21" t="s">
        <v>1774</v>
      </c>
      <c r="E3541" s="21" t="s">
        <v>3161</v>
      </c>
      <c r="G3541" s="21" t="s">
        <v>1165</v>
      </c>
      <c r="H3541" s="21" t="s">
        <v>1165</v>
      </c>
      <c r="I3541" s="21" t="s">
        <v>3166</v>
      </c>
      <c r="L3541">
        <v>2740</v>
      </c>
      <c r="M3541" s="21" t="s">
        <v>3034</v>
      </c>
      <c r="O3541">
        <v>1988</v>
      </c>
      <c r="S3541" s="9" t="s">
        <v>3128</v>
      </c>
      <c r="T3541" t="s">
        <v>3127</v>
      </c>
      <c r="U3541" s="21" t="s">
        <v>1218</v>
      </c>
      <c r="V3541" s="9" t="s">
        <v>3132</v>
      </c>
      <c r="W3541">
        <f>7*16</f>
        <v>112</v>
      </c>
      <c r="X3541" s="9" t="s">
        <v>3129</v>
      </c>
      <c r="Z3541">
        <v>12</v>
      </c>
      <c r="AD3541" t="s">
        <v>1165</v>
      </c>
      <c r="AF3541" t="s">
        <v>1165</v>
      </c>
      <c r="AI3541" s="21" t="s">
        <v>1165</v>
      </c>
      <c r="AJ3541" s="21" t="s">
        <v>1148</v>
      </c>
      <c r="AK3541">
        <v>22</v>
      </c>
      <c r="AN3541" s="21">
        <v>4</v>
      </c>
      <c r="AO3541" s="21">
        <v>25</v>
      </c>
      <c r="AP3541">
        <v>28</v>
      </c>
      <c r="AQ3541" s="22" t="s">
        <v>1283</v>
      </c>
      <c r="AR3541" s="21" t="s">
        <v>3130</v>
      </c>
    </row>
    <row r="3542" spans="1:44" x14ac:dyDescent="0.2">
      <c r="A3542" s="21" t="s">
        <v>1775</v>
      </c>
      <c r="B3542" s="21" t="s">
        <v>1146</v>
      </c>
      <c r="C3542" s="21" t="s">
        <v>1149</v>
      </c>
      <c r="D3542" s="21" t="s">
        <v>1774</v>
      </c>
      <c r="E3542" s="21" t="s">
        <v>3161</v>
      </c>
      <c r="G3542" s="21" t="s">
        <v>1165</v>
      </c>
      <c r="H3542" s="21" t="s">
        <v>1165</v>
      </c>
      <c r="I3542" s="21" t="s">
        <v>3166</v>
      </c>
      <c r="L3542">
        <v>2740</v>
      </c>
      <c r="M3542" s="21" t="s">
        <v>3034</v>
      </c>
      <c r="O3542">
        <v>1988</v>
      </c>
      <c r="S3542" s="9" t="s">
        <v>3128</v>
      </c>
      <c r="T3542" t="s">
        <v>3127</v>
      </c>
      <c r="U3542" s="21" t="s">
        <v>1218</v>
      </c>
      <c r="V3542" s="9" t="s">
        <v>3132</v>
      </c>
      <c r="W3542">
        <f>7*24</f>
        <v>168</v>
      </c>
      <c r="X3542" s="9" t="s">
        <v>3129</v>
      </c>
      <c r="Z3542">
        <v>12</v>
      </c>
      <c r="AD3542" t="s">
        <v>1165</v>
      </c>
      <c r="AF3542" t="s">
        <v>1165</v>
      </c>
      <c r="AI3542" s="21" t="s">
        <v>1165</v>
      </c>
      <c r="AJ3542" s="21" t="s">
        <v>1148</v>
      </c>
      <c r="AK3542">
        <v>68</v>
      </c>
      <c r="AN3542" s="21">
        <v>4</v>
      </c>
      <c r="AO3542" s="21">
        <v>25</v>
      </c>
      <c r="AP3542">
        <v>28</v>
      </c>
      <c r="AQ3542" s="22" t="s">
        <v>1283</v>
      </c>
      <c r="AR3542" s="21" t="s">
        <v>3130</v>
      </c>
    </row>
    <row r="3543" spans="1:44" x14ac:dyDescent="0.2">
      <c r="A3543" s="21" t="s">
        <v>1775</v>
      </c>
      <c r="B3543" s="21" t="s">
        <v>1146</v>
      </c>
      <c r="C3543" s="21" t="s">
        <v>1149</v>
      </c>
      <c r="D3543" s="21" t="s">
        <v>1774</v>
      </c>
      <c r="E3543" s="21" t="s">
        <v>3161</v>
      </c>
      <c r="G3543" s="21" t="s">
        <v>1165</v>
      </c>
      <c r="H3543" s="21" t="s">
        <v>1165</v>
      </c>
      <c r="I3543" s="21" t="s">
        <v>3166</v>
      </c>
      <c r="L3543">
        <v>2740</v>
      </c>
      <c r="M3543" s="21" t="s">
        <v>3034</v>
      </c>
      <c r="O3543">
        <v>1988</v>
      </c>
      <c r="S3543" s="9" t="s">
        <v>3128</v>
      </c>
      <c r="T3543" t="s">
        <v>3127</v>
      </c>
      <c r="U3543" s="21" t="s">
        <v>1218</v>
      </c>
      <c r="V3543" s="9" t="s">
        <v>3132</v>
      </c>
      <c r="W3543">
        <f>7*12</f>
        <v>84</v>
      </c>
      <c r="X3543" s="9" t="s">
        <v>3129</v>
      </c>
      <c r="Y3543" t="s">
        <v>3133</v>
      </c>
      <c r="Z3543">
        <v>12</v>
      </c>
      <c r="AD3543" t="s">
        <v>1165</v>
      </c>
      <c r="AF3543" t="s">
        <v>1165</v>
      </c>
      <c r="AI3543" s="21" t="s">
        <v>1165</v>
      </c>
      <c r="AJ3543" s="21" t="s">
        <v>1148</v>
      </c>
      <c r="AK3543">
        <v>24</v>
      </c>
      <c r="AN3543" s="21">
        <v>4</v>
      </c>
      <c r="AO3543" s="21">
        <v>25</v>
      </c>
      <c r="AP3543">
        <v>28</v>
      </c>
      <c r="AQ3543" s="22" t="s">
        <v>1283</v>
      </c>
      <c r="AR3543" s="21" t="s">
        <v>3130</v>
      </c>
    </row>
    <row r="3544" spans="1:44" x14ac:dyDescent="0.2">
      <c r="A3544" s="21" t="s">
        <v>1775</v>
      </c>
      <c r="B3544" s="21" t="s">
        <v>1146</v>
      </c>
      <c r="C3544" s="21" t="s">
        <v>1149</v>
      </c>
      <c r="D3544" s="21" t="s">
        <v>1774</v>
      </c>
      <c r="E3544" s="21" t="s">
        <v>3161</v>
      </c>
      <c r="G3544" s="21" t="s">
        <v>1165</v>
      </c>
      <c r="H3544" s="21" t="s">
        <v>1165</v>
      </c>
      <c r="I3544" s="21" t="s">
        <v>3166</v>
      </c>
      <c r="L3544">
        <v>2740</v>
      </c>
      <c r="M3544" s="21" t="s">
        <v>3034</v>
      </c>
      <c r="O3544">
        <v>1988</v>
      </c>
      <c r="S3544" s="9" t="s">
        <v>3128</v>
      </c>
      <c r="T3544" t="s">
        <v>3127</v>
      </c>
      <c r="U3544" s="21" t="s">
        <v>1218</v>
      </c>
      <c r="V3544" s="9" t="s">
        <v>3132</v>
      </c>
      <c r="W3544">
        <f>7*12</f>
        <v>84</v>
      </c>
      <c r="X3544" s="9" t="s">
        <v>3129</v>
      </c>
      <c r="Y3544" t="s">
        <v>3134</v>
      </c>
      <c r="Z3544">
        <v>12</v>
      </c>
      <c r="AD3544" t="s">
        <v>1165</v>
      </c>
      <c r="AF3544" t="s">
        <v>1165</v>
      </c>
      <c r="AI3544" s="21" t="s">
        <v>1165</v>
      </c>
      <c r="AJ3544" s="21" t="s">
        <v>1148</v>
      </c>
      <c r="AK3544">
        <v>10</v>
      </c>
      <c r="AN3544" s="21">
        <v>4</v>
      </c>
      <c r="AO3544" s="21">
        <v>25</v>
      </c>
      <c r="AP3544">
        <v>28</v>
      </c>
      <c r="AQ3544" s="22" t="s">
        <v>1283</v>
      </c>
      <c r="AR3544" s="21" t="s">
        <v>3130</v>
      </c>
    </row>
    <row r="3545" spans="1:44" x14ac:dyDescent="0.2">
      <c r="A3545" s="21" t="s">
        <v>1775</v>
      </c>
      <c r="B3545" s="21" t="s">
        <v>1146</v>
      </c>
      <c r="C3545" s="21" t="s">
        <v>1149</v>
      </c>
      <c r="D3545" s="21" t="s">
        <v>1774</v>
      </c>
      <c r="E3545" s="21" t="s">
        <v>3161</v>
      </c>
      <c r="G3545" s="21" t="s">
        <v>1165</v>
      </c>
      <c r="H3545" s="21" t="s">
        <v>1165</v>
      </c>
      <c r="I3545" s="21" t="s">
        <v>3166</v>
      </c>
      <c r="L3545">
        <v>2740</v>
      </c>
      <c r="M3545" s="21" t="s">
        <v>3034</v>
      </c>
      <c r="O3545">
        <v>1988</v>
      </c>
      <c r="S3545" s="9" t="s">
        <v>3128</v>
      </c>
      <c r="T3545" t="s">
        <v>3127</v>
      </c>
      <c r="U3545" s="21" t="s">
        <v>1218</v>
      </c>
      <c r="V3545" s="9" t="s">
        <v>3132</v>
      </c>
      <c r="W3545">
        <f>7*12</f>
        <v>84</v>
      </c>
      <c r="X3545" s="9" t="s">
        <v>3129</v>
      </c>
      <c r="Y3545" t="s">
        <v>3135</v>
      </c>
      <c r="Z3545">
        <v>12</v>
      </c>
      <c r="AD3545" t="s">
        <v>1165</v>
      </c>
      <c r="AF3545" t="s">
        <v>1165</v>
      </c>
      <c r="AI3545" s="21" t="s">
        <v>1165</v>
      </c>
      <c r="AJ3545" s="21" t="s">
        <v>1148</v>
      </c>
      <c r="AK3545">
        <v>9</v>
      </c>
      <c r="AN3545" s="21">
        <v>4</v>
      </c>
      <c r="AO3545" s="21">
        <v>25</v>
      </c>
      <c r="AP3545">
        <v>28</v>
      </c>
      <c r="AQ3545" s="22" t="s">
        <v>1283</v>
      </c>
      <c r="AR3545" s="21" t="s">
        <v>3130</v>
      </c>
    </row>
    <row r="3546" spans="1:44" x14ac:dyDescent="0.2">
      <c r="A3546" s="21" t="s">
        <v>1778</v>
      </c>
      <c r="B3546" s="21" t="s">
        <v>1146</v>
      </c>
      <c r="C3546" s="21" t="s">
        <v>1149</v>
      </c>
      <c r="D3546" s="21" t="s">
        <v>1774</v>
      </c>
      <c r="E3546" s="21" t="s">
        <v>3167</v>
      </c>
      <c r="G3546" s="21" t="s">
        <v>153</v>
      </c>
      <c r="H3546" s="21" t="s">
        <v>1165</v>
      </c>
      <c r="I3546" s="21" t="s">
        <v>3168</v>
      </c>
      <c r="L3546">
        <v>610</v>
      </c>
      <c r="M3546" s="21" t="s">
        <v>3034</v>
      </c>
      <c r="O3546">
        <v>1988</v>
      </c>
      <c r="S3546" s="9" t="s">
        <v>3169</v>
      </c>
      <c r="T3546" t="s">
        <v>3127</v>
      </c>
      <c r="U3546" s="21" t="s">
        <v>1147</v>
      </c>
      <c r="Z3546">
        <v>24</v>
      </c>
      <c r="AD3546" t="s">
        <v>1165</v>
      </c>
      <c r="AF3546" t="s">
        <v>1165</v>
      </c>
      <c r="AI3546" s="21" t="s">
        <v>1165</v>
      </c>
      <c r="AJ3546" s="21" t="s">
        <v>1148</v>
      </c>
      <c r="AK3546">
        <v>84</v>
      </c>
      <c r="AN3546" s="21">
        <v>4</v>
      </c>
      <c r="AO3546" s="21">
        <v>25</v>
      </c>
      <c r="AP3546">
        <v>28</v>
      </c>
      <c r="AQ3546" s="22" t="s">
        <v>1283</v>
      </c>
      <c r="AR3546" s="21" t="s">
        <v>3130</v>
      </c>
    </row>
    <row r="3547" spans="1:44" x14ac:dyDescent="0.2">
      <c r="A3547" s="21" t="s">
        <v>1778</v>
      </c>
      <c r="B3547" s="21" t="s">
        <v>1146</v>
      </c>
      <c r="C3547" s="21" t="s">
        <v>1149</v>
      </c>
      <c r="D3547" s="21" t="s">
        <v>1774</v>
      </c>
      <c r="E3547" s="21" t="s">
        <v>3167</v>
      </c>
      <c r="G3547" s="21" t="s">
        <v>153</v>
      </c>
      <c r="H3547" s="21" t="s">
        <v>1165</v>
      </c>
      <c r="I3547" s="21" t="s">
        <v>3168</v>
      </c>
      <c r="L3547">
        <v>610</v>
      </c>
      <c r="M3547" s="21" t="s">
        <v>3034</v>
      </c>
      <c r="O3547">
        <v>1988</v>
      </c>
      <c r="S3547" s="9" t="s">
        <v>3169</v>
      </c>
      <c r="T3547" t="s">
        <v>3127</v>
      </c>
      <c r="U3547" s="21" t="s">
        <v>1218</v>
      </c>
      <c r="V3547" s="9" t="s">
        <v>3132</v>
      </c>
      <c r="W3547">
        <v>28</v>
      </c>
      <c r="X3547" s="9" t="s">
        <v>1294</v>
      </c>
      <c r="Z3547">
        <v>24</v>
      </c>
      <c r="AD3547" t="s">
        <v>1165</v>
      </c>
      <c r="AF3547" t="s">
        <v>1165</v>
      </c>
      <c r="AI3547" s="21" t="s">
        <v>1165</v>
      </c>
      <c r="AJ3547" s="21" t="s">
        <v>1148</v>
      </c>
      <c r="AK3547">
        <v>48</v>
      </c>
      <c r="AN3547" s="21">
        <v>4</v>
      </c>
      <c r="AO3547" s="21">
        <v>25</v>
      </c>
      <c r="AP3547">
        <v>28</v>
      </c>
      <c r="AQ3547" s="22" t="s">
        <v>1283</v>
      </c>
      <c r="AR3547" s="21" t="s">
        <v>3130</v>
      </c>
    </row>
    <row r="3548" spans="1:44" x14ac:dyDescent="0.2">
      <c r="A3548" s="21" t="s">
        <v>1778</v>
      </c>
      <c r="B3548" s="21" t="s">
        <v>1146</v>
      </c>
      <c r="C3548" s="21" t="s">
        <v>1149</v>
      </c>
      <c r="D3548" s="21" t="s">
        <v>1774</v>
      </c>
      <c r="E3548" s="21" t="s">
        <v>3167</v>
      </c>
      <c r="G3548" s="21" t="s">
        <v>153</v>
      </c>
      <c r="H3548" s="21" t="s">
        <v>1165</v>
      </c>
      <c r="I3548" s="21" t="s">
        <v>3168</v>
      </c>
      <c r="L3548">
        <v>610</v>
      </c>
      <c r="M3548" s="21" t="s">
        <v>3034</v>
      </c>
      <c r="O3548">
        <v>1988</v>
      </c>
      <c r="S3548" s="9" t="s">
        <v>3169</v>
      </c>
      <c r="T3548" t="s">
        <v>3127</v>
      </c>
      <c r="U3548" s="21" t="s">
        <v>1218</v>
      </c>
      <c r="V3548" s="9" t="s">
        <v>3132</v>
      </c>
      <c r="W3548">
        <f>56</f>
        <v>56</v>
      </c>
      <c r="X3548" s="9" t="s">
        <v>1294</v>
      </c>
      <c r="Z3548">
        <v>24</v>
      </c>
      <c r="AD3548" t="s">
        <v>1165</v>
      </c>
      <c r="AF3548" t="s">
        <v>1165</v>
      </c>
      <c r="AI3548" s="21" t="s">
        <v>1165</v>
      </c>
      <c r="AJ3548" s="21" t="s">
        <v>1148</v>
      </c>
      <c r="AK3548">
        <v>46</v>
      </c>
      <c r="AN3548" s="21">
        <v>4</v>
      </c>
      <c r="AO3548" s="21">
        <v>25</v>
      </c>
      <c r="AP3548">
        <v>28</v>
      </c>
      <c r="AQ3548" s="22" t="s">
        <v>1283</v>
      </c>
      <c r="AR3548" s="21" t="s">
        <v>3130</v>
      </c>
    </row>
    <row r="3549" spans="1:44" x14ac:dyDescent="0.2">
      <c r="A3549" s="21" t="s">
        <v>1778</v>
      </c>
      <c r="B3549" s="21" t="s">
        <v>1146</v>
      </c>
      <c r="C3549" s="21" t="s">
        <v>1149</v>
      </c>
      <c r="D3549" s="21" t="s">
        <v>1774</v>
      </c>
      <c r="E3549" s="21" t="s">
        <v>3167</v>
      </c>
      <c r="G3549" s="21" t="s">
        <v>153</v>
      </c>
      <c r="H3549" s="21" t="s">
        <v>1165</v>
      </c>
      <c r="I3549" s="21" t="s">
        <v>3168</v>
      </c>
      <c r="L3549">
        <v>610</v>
      </c>
      <c r="M3549" s="21" t="s">
        <v>3034</v>
      </c>
      <c r="O3549">
        <v>1988</v>
      </c>
      <c r="S3549" s="9" t="s">
        <v>3169</v>
      </c>
      <c r="T3549" t="s">
        <v>3127</v>
      </c>
      <c r="U3549" s="21" t="s">
        <v>1218</v>
      </c>
      <c r="V3549" s="9" t="s">
        <v>3132</v>
      </c>
      <c r="W3549">
        <f>7*12</f>
        <v>84</v>
      </c>
      <c r="X3549" s="9" t="s">
        <v>1294</v>
      </c>
      <c r="Z3549">
        <v>24</v>
      </c>
      <c r="AD3549" t="s">
        <v>1165</v>
      </c>
      <c r="AF3549" t="s">
        <v>1165</v>
      </c>
      <c r="AI3549" s="21" t="s">
        <v>1165</v>
      </c>
      <c r="AJ3549" s="21" t="s">
        <v>1148</v>
      </c>
      <c r="AK3549">
        <v>25</v>
      </c>
      <c r="AN3549" s="21">
        <v>4</v>
      </c>
      <c r="AO3549" s="21">
        <v>25</v>
      </c>
      <c r="AP3549">
        <v>28</v>
      </c>
      <c r="AQ3549" s="22" t="s">
        <v>1283</v>
      </c>
      <c r="AR3549" s="21" t="s">
        <v>3130</v>
      </c>
    </row>
    <row r="3550" spans="1:44" x14ac:dyDescent="0.2">
      <c r="A3550" s="21" t="s">
        <v>1778</v>
      </c>
      <c r="B3550" s="21" t="s">
        <v>1146</v>
      </c>
      <c r="C3550" s="21" t="s">
        <v>1149</v>
      </c>
      <c r="D3550" s="21" t="s">
        <v>1774</v>
      </c>
      <c r="E3550" s="21" t="s">
        <v>3167</v>
      </c>
      <c r="G3550" s="21" t="s">
        <v>153</v>
      </c>
      <c r="H3550" s="21" t="s">
        <v>1165</v>
      </c>
      <c r="I3550" s="21" t="s">
        <v>3168</v>
      </c>
      <c r="L3550">
        <v>610</v>
      </c>
      <c r="M3550" s="21" t="s">
        <v>3034</v>
      </c>
      <c r="O3550">
        <v>1988</v>
      </c>
      <c r="S3550" s="9" t="s">
        <v>3169</v>
      </c>
      <c r="T3550" t="s">
        <v>3127</v>
      </c>
      <c r="U3550" s="21" t="s">
        <v>1218</v>
      </c>
      <c r="V3550" s="9" t="s">
        <v>3132</v>
      </c>
      <c r="W3550">
        <f>7*16</f>
        <v>112</v>
      </c>
      <c r="X3550" s="9" t="s">
        <v>1294</v>
      </c>
      <c r="Z3550">
        <v>24</v>
      </c>
      <c r="AD3550" t="s">
        <v>1165</v>
      </c>
      <c r="AF3550" t="s">
        <v>1165</v>
      </c>
      <c r="AI3550" s="21" t="s">
        <v>1165</v>
      </c>
      <c r="AJ3550" s="21" t="s">
        <v>1148</v>
      </c>
      <c r="AK3550">
        <v>38</v>
      </c>
      <c r="AN3550" s="21">
        <v>4</v>
      </c>
      <c r="AO3550" s="21">
        <v>25</v>
      </c>
      <c r="AP3550">
        <v>28</v>
      </c>
      <c r="AQ3550" s="22" t="s">
        <v>1283</v>
      </c>
      <c r="AR3550" s="21" t="s">
        <v>3130</v>
      </c>
    </row>
    <row r="3551" spans="1:44" x14ac:dyDescent="0.2">
      <c r="A3551" s="21" t="s">
        <v>1778</v>
      </c>
      <c r="B3551" s="21" t="s">
        <v>1146</v>
      </c>
      <c r="C3551" s="21" t="s">
        <v>1149</v>
      </c>
      <c r="D3551" s="21" t="s">
        <v>1774</v>
      </c>
      <c r="E3551" s="21" t="s">
        <v>3167</v>
      </c>
      <c r="G3551" s="21" t="s">
        <v>153</v>
      </c>
      <c r="H3551" s="21" t="s">
        <v>1165</v>
      </c>
      <c r="I3551" s="21" t="s">
        <v>3168</v>
      </c>
      <c r="L3551">
        <v>610</v>
      </c>
      <c r="M3551" s="21" t="s">
        <v>3034</v>
      </c>
      <c r="O3551">
        <v>1988</v>
      </c>
      <c r="S3551" s="9" t="s">
        <v>3169</v>
      </c>
      <c r="T3551" t="s">
        <v>3127</v>
      </c>
      <c r="U3551" s="21" t="s">
        <v>1218</v>
      </c>
      <c r="V3551" s="9" t="s">
        <v>3132</v>
      </c>
      <c r="W3551">
        <f>7*24</f>
        <v>168</v>
      </c>
      <c r="X3551" s="9" t="s">
        <v>1294</v>
      </c>
      <c r="Z3551">
        <v>24</v>
      </c>
      <c r="AD3551" t="s">
        <v>1165</v>
      </c>
      <c r="AF3551" t="s">
        <v>1165</v>
      </c>
      <c r="AI3551" s="21" t="s">
        <v>1165</v>
      </c>
      <c r="AJ3551" s="21" t="s">
        <v>1148</v>
      </c>
      <c r="AK3551">
        <v>65</v>
      </c>
      <c r="AN3551" s="21">
        <v>4</v>
      </c>
      <c r="AO3551" s="21">
        <v>25</v>
      </c>
      <c r="AP3551">
        <v>28</v>
      </c>
      <c r="AQ3551" s="22" t="s">
        <v>1283</v>
      </c>
      <c r="AR3551" s="21" t="s">
        <v>3130</v>
      </c>
    </row>
    <row r="3552" spans="1:44" x14ac:dyDescent="0.2">
      <c r="A3552" s="21" t="s">
        <v>1778</v>
      </c>
      <c r="B3552" s="21" t="s">
        <v>1146</v>
      </c>
      <c r="C3552" s="21" t="s">
        <v>1149</v>
      </c>
      <c r="D3552" s="21" t="s">
        <v>1774</v>
      </c>
      <c r="E3552" s="21" t="s">
        <v>3167</v>
      </c>
      <c r="G3552" s="21" t="s">
        <v>153</v>
      </c>
      <c r="H3552" s="21" t="s">
        <v>1165</v>
      </c>
      <c r="I3552" s="21" t="s">
        <v>3168</v>
      </c>
      <c r="L3552">
        <v>610</v>
      </c>
      <c r="M3552" s="21" t="s">
        <v>3034</v>
      </c>
      <c r="O3552">
        <v>1988</v>
      </c>
      <c r="S3552" s="9" t="s">
        <v>3169</v>
      </c>
      <c r="T3552" t="s">
        <v>3127</v>
      </c>
      <c r="U3552" s="21" t="s">
        <v>1218</v>
      </c>
      <c r="V3552" s="9" t="s">
        <v>3132</v>
      </c>
      <c r="W3552">
        <f>12*7</f>
        <v>84</v>
      </c>
      <c r="X3552" s="9" t="s">
        <v>1294</v>
      </c>
      <c r="Y3552" t="s">
        <v>3170</v>
      </c>
      <c r="Z3552">
        <v>24</v>
      </c>
      <c r="AD3552" t="s">
        <v>1165</v>
      </c>
      <c r="AF3552" t="s">
        <v>1165</v>
      </c>
      <c r="AI3552" s="21" t="s">
        <v>1165</v>
      </c>
      <c r="AJ3552" s="21" t="s">
        <v>1148</v>
      </c>
      <c r="AK3552">
        <v>85</v>
      </c>
      <c r="AN3552" s="21">
        <v>4</v>
      </c>
      <c r="AO3552" s="21">
        <v>25</v>
      </c>
      <c r="AP3552">
        <v>28</v>
      </c>
      <c r="AQ3552" s="22" t="s">
        <v>1283</v>
      </c>
      <c r="AR3552" s="21" t="s">
        <v>3130</v>
      </c>
    </row>
    <row r="3553" spans="1:44" x14ac:dyDescent="0.2">
      <c r="A3553" s="21" t="s">
        <v>1778</v>
      </c>
      <c r="B3553" s="21" t="s">
        <v>1146</v>
      </c>
      <c r="C3553" s="21" t="s">
        <v>1149</v>
      </c>
      <c r="D3553" s="21" t="s">
        <v>1774</v>
      </c>
      <c r="E3553" s="21" t="s">
        <v>3167</v>
      </c>
      <c r="G3553" s="21" t="s">
        <v>153</v>
      </c>
      <c r="H3553" s="21" t="s">
        <v>1165</v>
      </c>
      <c r="I3553" s="21" t="s">
        <v>3168</v>
      </c>
      <c r="L3553">
        <v>610</v>
      </c>
      <c r="M3553" s="21" t="s">
        <v>3034</v>
      </c>
      <c r="O3553">
        <v>1988</v>
      </c>
      <c r="S3553" s="9" t="s">
        <v>3169</v>
      </c>
      <c r="T3553" t="s">
        <v>3127</v>
      </c>
      <c r="U3553" s="21" t="s">
        <v>1218</v>
      </c>
      <c r="V3553" s="9" t="s">
        <v>3132</v>
      </c>
      <c r="W3553">
        <f>12*7</f>
        <v>84</v>
      </c>
      <c r="X3553" s="9" t="s">
        <v>1294</v>
      </c>
      <c r="Y3553" t="s">
        <v>3134</v>
      </c>
      <c r="Z3553">
        <v>24</v>
      </c>
      <c r="AD3553" t="s">
        <v>1165</v>
      </c>
      <c r="AF3553" t="s">
        <v>1165</v>
      </c>
      <c r="AI3553" s="21" t="s">
        <v>1165</v>
      </c>
      <c r="AJ3553" s="21" t="s">
        <v>1148</v>
      </c>
      <c r="AK3553">
        <v>69</v>
      </c>
      <c r="AN3553" s="21">
        <v>4</v>
      </c>
      <c r="AO3553" s="21">
        <v>25</v>
      </c>
      <c r="AP3553">
        <v>28</v>
      </c>
      <c r="AQ3553" s="22" t="s">
        <v>1283</v>
      </c>
      <c r="AR3553" s="21" t="s">
        <v>3130</v>
      </c>
    </row>
    <row r="3554" spans="1:44" x14ac:dyDescent="0.2">
      <c r="A3554" s="21" t="s">
        <v>1778</v>
      </c>
      <c r="B3554" s="21" t="s">
        <v>1146</v>
      </c>
      <c r="C3554" s="21" t="s">
        <v>1149</v>
      </c>
      <c r="D3554" s="21" t="s">
        <v>1774</v>
      </c>
      <c r="E3554" s="21" t="s">
        <v>3167</v>
      </c>
      <c r="G3554" s="21" t="s">
        <v>153</v>
      </c>
      <c r="H3554" s="21" t="s">
        <v>1165</v>
      </c>
      <c r="I3554" s="21" t="s">
        <v>3168</v>
      </c>
      <c r="L3554">
        <v>610</v>
      </c>
      <c r="M3554" s="21" t="s">
        <v>3034</v>
      </c>
      <c r="O3554">
        <v>1988</v>
      </c>
      <c r="S3554" s="9" t="s">
        <v>3169</v>
      </c>
      <c r="T3554" t="s">
        <v>3127</v>
      </c>
      <c r="U3554" s="21" t="s">
        <v>1218</v>
      </c>
      <c r="V3554" s="9" t="s">
        <v>3132</v>
      </c>
      <c r="W3554">
        <f>12*7</f>
        <v>84</v>
      </c>
      <c r="X3554" s="9" t="s">
        <v>1294</v>
      </c>
      <c r="Y3554" t="s">
        <v>3135</v>
      </c>
      <c r="Z3554">
        <v>24</v>
      </c>
      <c r="AD3554" t="s">
        <v>1165</v>
      </c>
      <c r="AF3554" t="s">
        <v>1165</v>
      </c>
      <c r="AI3554" s="21" t="s">
        <v>1165</v>
      </c>
      <c r="AJ3554" s="21" t="s">
        <v>1148</v>
      </c>
      <c r="AK3554">
        <v>73</v>
      </c>
      <c r="AN3554" s="21">
        <v>4</v>
      </c>
      <c r="AO3554" s="21">
        <v>25</v>
      </c>
      <c r="AP3554">
        <v>28</v>
      </c>
      <c r="AQ3554" s="22" t="s">
        <v>1283</v>
      </c>
      <c r="AR3554" s="21" t="s">
        <v>3130</v>
      </c>
    </row>
    <row r="3555" spans="1:44" x14ac:dyDescent="0.2">
      <c r="A3555" s="21" t="s">
        <v>1778</v>
      </c>
      <c r="B3555" s="21" t="s">
        <v>1146</v>
      </c>
      <c r="C3555" s="21" t="s">
        <v>1149</v>
      </c>
      <c r="D3555" s="21" t="s">
        <v>1774</v>
      </c>
      <c r="E3555" s="21" t="s">
        <v>3167</v>
      </c>
      <c r="G3555" s="21" t="s">
        <v>153</v>
      </c>
      <c r="H3555" s="21" t="s">
        <v>1165</v>
      </c>
      <c r="I3555" s="21" t="s">
        <v>3171</v>
      </c>
      <c r="L3555">
        <v>1010</v>
      </c>
      <c r="M3555" s="21" t="s">
        <v>3034</v>
      </c>
      <c r="O3555">
        <v>1988</v>
      </c>
      <c r="S3555" s="9" t="s">
        <v>3169</v>
      </c>
      <c r="T3555" t="s">
        <v>3127</v>
      </c>
      <c r="U3555" s="21" t="s">
        <v>1147</v>
      </c>
      <c r="Z3555">
        <v>24</v>
      </c>
      <c r="AD3555" t="s">
        <v>1165</v>
      </c>
      <c r="AF3555" t="s">
        <v>1165</v>
      </c>
      <c r="AI3555" s="21" t="s">
        <v>1165</v>
      </c>
      <c r="AJ3555" s="21" t="s">
        <v>1148</v>
      </c>
      <c r="AK3555">
        <v>19</v>
      </c>
      <c r="AN3555" s="21">
        <v>4</v>
      </c>
      <c r="AO3555" s="21">
        <v>25</v>
      </c>
      <c r="AP3555">
        <v>28</v>
      </c>
      <c r="AQ3555" s="22" t="s">
        <v>1283</v>
      </c>
      <c r="AR3555" s="21" t="s">
        <v>3130</v>
      </c>
    </row>
    <row r="3556" spans="1:44" x14ac:dyDescent="0.2">
      <c r="A3556" s="21" t="s">
        <v>1778</v>
      </c>
      <c r="B3556" s="21" t="s">
        <v>1146</v>
      </c>
      <c r="C3556" s="21" t="s">
        <v>1149</v>
      </c>
      <c r="D3556" s="21" t="s">
        <v>1774</v>
      </c>
      <c r="E3556" s="21" t="s">
        <v>3167</v>
      </c>
      <c r="G3556" s="21" t="s">
        <v>153</v>
      </c>
      <c r="H3556" s="21" t="s">
        <v>1165</v>
      </c>
      <c r="I3556" s="21" t="s">
        <v>3171</v>
      </c>
      <c r="L3556">
        <v>1010</v>
      </c>
      <c r="M3556" s="21" t="s">
        <v>3034</v>
      </c>
      <c r="O3556">
        <v>1988</v>
      </c>
      <c r="S3556" s="9" t="s">
        <v>3169</v>
      </c>
      <c r="T3556" t="s">
        <v>3127</v>
      </c>
      <c r="U3556" s="21" t="s">
        <v>1218</v>
      </c>
      <c r="V3556" s="9" t="s">
        <v>3132</v>
      </c>
      <c r="W3556">
        <v>28</v>
      </c>
      <c r="X3556" s="9" t="s">
        <v>1294</v>
      </c>
      <c r="Z3556">
        <v>24</v>
      </c>
      <c r="AD3556" t="s">
        <v>1165</v>
      </c>
      <c r="AF3556" t="s">
        <v>1165</v>
      </c>
      <c r="AI3556" s="21" t="s">
        <v>1165</v>
      </c>
      <c r="AJ3556" s="21" t="s">
        <v>1148</v>
      </c>
      <c r="AK3556">
        <v>15</v>
      </c>
      <c r="AN3556" s="21">
        <v>4</v>
      </c>
      <c r="AO3556" s="21">
        <v>25</v>
      </c>
      <c r="AP3556">
        <v>28</v>
      </c>
      <c r="AQ3556" s="22" t="s">
        <v>1283</v>
      </c>
      <c r="AR3556" s="21" t="s">
        <v>3130</v>
      </c>
    </row>
    <row r="3557" spans="1:44" x14ac:dyDescent="0.2">
      <c r="A3557" s="21" t="s">
        <v>1778</v>
      </c>
      <c r="B3557" s="21" t="s">
        <v>1146</v>
      </c>
      <c r="C3557" s="21" t="s">
        <v>1149</v>
      </c>
      <c r="D3557" s="21" t="s">
        <v>1774</v>
      </c>
      <c r="E3557" s="21" t="s">
        <v>3167</v>
      </c>
      <c r="G3557" s="21" t="s">
        <v>153</v>
      </c>
      <c r="H3557" s="21" t="s">
        <v>1165</v>
      </c>
      <c r="I3557" s="21" t="s">
        <v>3171</v>
      </c>
      <c r="L3557">
        <v>1010</v>
      </c>
      <c r="M3557" s="21" t="s">
        <v>3034</v>
      </c>
      <c r="O3557">
        <v>1988</v>
      </c>
      <c r="S3557" s="9" t="s">
        <v>3169</v>
      </c>
      <c r="T3557" t="s">
        <v>3127</v>
      </c>
      <c r="U3557" s="21" t="s">
        <v>1218</v>
      </c>
      <c r="V3557" s="9" t="s">
        <v>3132</v>
      </c>
      <c r="W3557">
        <f>56</f>
        <v>56</v>
      </c>
      <c r="X3557" s="9" t="s">
        <v>1294</v>
      </c>
      <c r="Z3557">
        <v>24</v>
      </c>
      <c r="AD3557" t="s">
        <v>1165</v>
      </c>
      <c r="AF3557" t="s">
        <v>1165</v>
      </c>
      <c r="AI3557" s="21" t="s">
        <v>1165</v>
      </c>
      <c r="AJ3557" s="21" t="s">
        <v>1148</v>
      </c>
      <c r="AK3557">
        <v>9</v>
      </c>
      <c r="AN3557" s="21">
        <v>4</v>
      </c>
      <c r="AO3557" s="21">
        <v>25</v>
      </c>
      <c r="AP3557">
        <v>28</v>
      </c>
      <c r="AQ3557" s="22" t="s">
        <v>1283</v>
      </c>
      <c r="AR3557" s="21" t="s">
        <v>3130</v>
      </c>
    </row>
    <row r="3558" spans="1:44" x14ac:dyDescent="0.2">
      <c r="A3558" s="21" t="s">
        <v>1778</v>
      </c>
      <c r="B3558" s="21" t="s">
        <v>1146</v>
      </c>
      <c r="C3558" s="21" t="s">
        <v>1149</v>
      </c>
      <c r="D3558" s="21" t="s">
        <v>1774</v>
      </c>
      <c r="E3558" s="21" t="s">
        <v>3167</v>
      </c>
      <c r="G3558" s="21" t="s">
        <v>153</v>
      </c>
      <c r="H3558" s="21" t="s">
        <v>1165</v>
      </c>
      <c r="I3558" s="21" t="s">
        <v>3171</v>
      </c>
      <c r="L3558">
        <v>1010</v>
      </c>
      <c r="M3558" s="21" t="s">
        <v>3034</v>
      </c>
      <c r="O3558">
        <v>1988</v>
      </c>
      <c r="S3558" s="9" t="s">
        <v>3169</v>
      </c>
      <c r="T3558" t="s">
        <v>3127</v>
      </c>
      <c r="U3558" s="21" t="s">
        <v>1218</v>
      </c>
      <c r="V3558" s="9" t="s">
        <v>3132</v>
      </c>
      <c r="W3558">
        <f>7*12</f>
        <v>84</v>
      </c>
      <c r="X3558" s="9" t="s">
        <v>1294</v>
      </c>
      <c r="Z3558">
        <v>24</v>
      </c>
      <c r="AD3558" t="s">
        <v>1165</v>
      </c>
      <c r="AF3558" t="s">
        <v>1165</v>
      </c>
      <c r="AI3558" s="21" t="s">
        <v>1165</v>
      </c>
      <c r="AJ3558" s="21" t="s">
        <v>1148</v>
      </c>
      <c r="AK3558">
        <v>5</v>
      </c>
      <c r="AN3558" s="21">
        <v>4</v>
      </c>
      <c r="AO3558" s="21">
        <v>25</v>
      </c>
      <c r="AP3558">
        <v>28</v>
      </c>
      <c r="AQ3558" s="22" t="s">
        <v>1283</v>
      </c>
      <c r="AR3558" s="21" t="s">
        <v>3130</v>
      </c>
    </row>
    <row r="3559" spans="1:44" x14ac:dyDescent="0.2">
      <c r="A3559" s="21" t="s">
        <v>1778</v>
      </c>
      <c r="B3559" s="21" t="s">
        <v>1146</v>
      </c>
      <c r="C3559" s="21" t="s">
        <v>1149</v>
      </c>
      <c r="D3559" s="21" t="s">
        <v>1774</v>
      </c>
      <c r="E3559" s="21" t="s">
        <v>3167</v>
      </c>
      <c r="G3559" s="21" t="s">
        <v>153</v>
      </c>
      <c r="H3559" s="21" t="s">
        <v>1165</v>
      </c>
      <c r="I3559" s="21" t="s">
        <v>3171</v>
      </c>
      <c r="L3559">
        <v>1010</v>
      </c>
      <c r="M3559" s="21" t="s">
        <v>3034</v>
      </c>
      <c r="O3559">
        <v>1988</v>
      </c>
      <c r="S3559" s="9" t="s">
        <v>3169</v>
      </c>
      <c r="T3559" t="s">
        <v>3127</v>
      </c>
      <c r="U3559" s="21" t="s">
        <v>1218</v>
      </c>
      <c r="V3559" s="9" t="s">
        <v>3132</v>
      </c>
      <c r="W3559">
        <f>7*16</f>
        <v>112</v>
      </c>
      <c r="X3559" s="9" t="s">
        <v>1294</v>
      </c>
      <c r="Z3559">
        <v>24</v>
      </c>
      <c r="AD3559" t="s">
        <v>1165</v>
      </c>
      <c r="AF3559" t="s">
        <v>1165</v>
      </c>
      <c r="AI3559" s="21" t="s">
        <v>1165</v>
      </c>
      <c r="AJ3559" s="21" t="s">
        <v>1148</v>
      </c>
      <c r="AK3559">
        <v>8</v>
      </c>
      <c r="AN3559" s="21">
        <v>4</v>
      </c>
      <c r="AO3559" s="21">
        <v>25</v>
      </c>
      <c r="AP3559">
        <v>28</v>
      </c>
      <c r="AQ3559" s="22" t="s">
        <v>1283</v>
      </c>
      <c r="AR3559" s="21" t="s">
        <v>3130</v>
      </c>
    </row>
    <row r="3560" spans="1:44" x14ac:dyDescent="0.2">
      <c r="A3560" s="21" t="s">
        <v>1778</v>
      </c>
      <c r="B3560" s="21" t="s">
        <v>1146</v>
      </c>
      <c r="C3560" s="21" t="s">
        <v>1149</v>
      </c>
      <c r="D3560" s="21" t="s">
        <v>1774</v>
      </c>
      <c r="E3560" s="21" t="s">
        <v>3167</v>
      </c>
      <c r="G3560" s="21" t="s">
        <v>153</v>
      </c>
      <c r="H3560" s="21" t="s">
        <v>1165</v>
      </c>
      <c r="I3560" s="21" t="s">
        <v>3171</v>
      </c>
      <c r="L3560">
        <v>1010</v>
      </c>
      <c r="M3560" s="21" t="s">
        <v>3034</v>
      </c>
      <c r="O3560">
        <v>1988</v>
      </c>
      <c r="S3560" s="9" t="s">
        <v>3169</v>
      </c>
      <c r="T3560" t="s">
        <v>3127</v>
      </c>
      <c r="U3560" s="21" t="s">
        <v>1218</v>
      </c>
      <c r="V3560" s="9" t="s">
        <v>3132</v>
      </c>
      <c r="W3560">
        <f>7*24</f>
        <v>168</v>
      </c>
      <c r="X3560" s="9" t="s">
        <v>1294</v>
      </c>
      <c r="Z3560">
        <v>24</v>
      </c>
      <c r="AD3560" t="s">
        <v>1165</v>
      </c>
      <c r="AF3560" t="s">
        <v>1165</v>
      </c>
      <c r="AI3560" s="21" t="s">
        <v>1165</v>
      </c>
      <c r="AJ3560" s="21" t="s">
        <v>1148</v>
      </c>
      <c r="AK3560">
        <v>28</v>
      </c>
      <c r="AN3560" s="21">
        <v>4</v>
      </c>
      <c r="AO3560" s="21">
        <v>25</v>
      </c>
      <c r="AP3560">
        <v>28</v>
      </c>
      <c r="AQ3560" s="22" t="s">
        <v>1283</v>
      </c>
      <c r="AR3560" s="21" t="s">
        <v>3130</v>
      </c>
    </row>
    <row r="3561" spans="1:44" x14ac:dyDescent="0.2">
      <c r="A3561" s="21" t="s">
        <v>1778</v>
      </c>
      <c r="B3561" s="21" t="s">
        <v>1146</v>
      </c>
      <c r="C3561" s="21" t="s">
        <v>1149</v>
      </c>
      <c r="D3561" s="21" t="s">
        <v>1774</v>
      </c>
      <c r="E3561" s="21" t="s">
        <v>3167</v>
      </c>
      <c r="G3561" s="21" t="s">
        <v>153</v>
      </c>
      <c r="H3561" s="21" t="s">
        <v>1165</v>
      </c>
      <c r="I3561" s="21" t="s">
        <v>3171</v>
      </c>
      <c r="L3561">
        <v>1010</v>
      </c>
      <c r="M3561" s="21" t="s">
        <v>3034</v>
      </c>
      <c r="O3561">
        <v>1988</v>
      </c>
      <c r="S3561" s="9" t="s">
        <v>3169</v>
      </c>
      <c r="T3561" t="s">
        <v>3127</v>
      </c>
      <c r="U3561" s="21" t="s">
        <v>1218</v>
      </c>
      <c r="V3561" s="9" t="s">
        <v>3132</v>
      </c>
      <c r="W3561">
        <f>12*7</f>
        <v>84</v>
      </c>
      <c r="X3561" s="9" t="s">
        <v>1294</v>
      </c>
      <c r="Y3561" t="s">
        <v>3170</v>
      </c>
      <c r="Z3561">
        <v>24</v>
      </c>
      <c r="AD3561" t="s">
        <v>1165</v>
      </c>
      <c r="AF3561" t="s">
        <v>1165</v>
      </c>
      <c r="AI3561" s="21" t="s">
        <v>1165</v>
      </c>
      <c r="AJ3561" s="21" t="s">
        <v>1148</v>
      </c>
      <c r="AK3561">
        <v>21</v>
      </c>
      <c r="AN3561" s="21">
        <v>4</v>
      </c>
      <c r="AO3561" s="21">
        <v>25</v>
      </c>
      <c r="AP3561">
        <v>28</v>
      </c>
      <c r="AQ3561" s="22" t="s">
        <v>1283</v>
      </c>
      <c r="AR3561" s="21" t="s">
        <v>3130</v>
      </c>
    </row>
    <row r="3562" spans="1:44" x14ac:dyDescent="0.2">
      <c r="A3562" s="21" t="s">
        <v>1778</v>
      </c>
      <c r="B3562" s="21" t="s">
        <v>1146</v>
      </c>
      <c r="C3562" s="21" t="s">
        <v>1149</v>
      </c>
      <c r="D3562" s="21" t="s">
        <v>1774</v>
      </c>
      <c r="E3562" s="21" t="s">
        <v>3167</v>
      </c>
      <c r="G3562" s="21" t="s">
        <v>153</v>
      </c>
      <c r="H3562" s="21" t="s">
        <v>1165</v>
      </c>
      <c r="I3562" s="21" t="s">
        <v>3171</v>
      </c>
      <c r="L3562">
        <v>1010</v>
      </c>
      <c r="M3562" s="21" t="s">
        <v>3034</v>
      </c>
      <c r="O3562">
        <v>1988</v>
      </c>
      <c r="S3562" s="9" t="s">
        <v>3169</v>
      </c>
      <c r="T3562" t="s">
        <v>3127</v>
      </c>
      <c r="U3562" s="21" t="s">
        <v>1218</v>
      </c>
      <c r="V3562" s="9" t="s">
        <v>3132</v>
      </c>
      <c r="W3562">
        <f>12*7</f>
        <v>84</v>
      </c>
      <c r="X3562" s="9" t="s">
        <v>1294</v>
      </c>
      <c r="Y3562" t="s">
        <v>3134</v>
      </c>
      <c r="Z3562">
        <v>24</v>
      </c>
      <c r="AD3562" t="s">
        <v>1165</v>
      </c>
      <c r="AF3562" t="s">
        <v>1165</v>
      </c>
      <c r="AI3562" s="21" t="s">
        <v>1165</v>
      </c>
      <c r="AJ3562" s="21" t="s">
        <v>1148</v>
      </c>
      <c r="AK3562">
        <v>25</v>
      </c>
      <c r="AN3562" s="21">
        <v>4</v>
      </c>
      <c r="AO3562" s="21">
        <v>25</v>
      </c>
      <c r="AP3562">
        <v>28</v>
      </c>
      <c r="AQ3562" s="22" t="s">
        <v>1283</v>
      </c>
      <c r="AR3562" s="21" t="s">
        <v>3130</v>
      </c>
    </row>
    <row r="3563" spans="1:44" x14ac:dyDescent="0.2">
      <c r="A3563" s="21" t="s">
        <v>1778</v>
      </c>
      <c r="B3563" s="21" t="s">
        <v>1146</v>
      </c>
      <c r="C3563" s="21" t="s">
        <v>1149</v>
      </c>
      <c r="D3563" s="21" t="s">
        <v>1774</v>
      </c>
      <c r="E3563" s="21" t="s">
        <v>3167</v>
      </c>
      <c r="G3563" s="21" t="s">
        <v>153</v>
      </c>
      <c r="H3563" s="21" t="s">
        <v>1165</v>
      </c>
      <c r="I3563" s="21" t="s">
        <v>3171</v>
      </c>
      <c r="L3563">
        <v>1010</v>
      </c>
      <c r="M3563" s="21" t="s">
        <v>3034</v>
      </c>
      <c r="O3563">
        <v>1988</v>
      </c>
      <c r="S3563" s="9" t="s">
        <v>3169</v>
      </c>
      <c r="T3563" t="s">
        <v>3127</v>
      </c>
      <c r="U3563" s="21" t="s">
        <v>1218</v>
      </c>
      <c r="V3563" s="9" t="s">
        <v>3132</v>
      </c>
      <c r="W3563">
        <f>12*7</f>
        <v>84</v>
      </c>
      <c r="X3563" s="9" t="s">
        <v>1294</v>
      </c>
      <c r="Y3563" t="s">
        <v>3135</v>
      </c>
      <c r="Z3563">
        <v>24</v>
      </c>
      <c r="AD3563" t="s">
        <v>1165</v>
      </c>
      <c r="AF3563" t="s">
        <v>1165</v>
      </c>
      <c r="AI3563" s="21" t="s">
        <v>1165</v>
      </c>
      <c r="AJ3563" s="21" t="s">
        <v>1148</v>
      </c>
      <c r="AK3563">
        <v>26</v>
      </c>
      <c r="AN3563" s="21">
        <v>4</v>
      </c>
      <c r="AO3563" s="21">
        <v>25</v>
      </c>
      <c r="AP3563">
        <v>28</v>
      </c>
      <c r="AQ3563" s="22" t="s">
        <v>1283</v>
      </c>
      <c r="AR3563" s="21" t="s">
        <v>3130</v>
      </c>
    </row>
    <row r="3564" spans="1:44" x14ac:dyDescent="0.2">
      <c r="A3564" s="21" t="s">
        <v>1778</v>
      </c>
      <c r="B3564" s="21" t="s">
        <v>1146</v>
      </c>
      <c r="C3564" s="21" t="s">
        <v>1149</v>
      </c>
      <c r="D3564" s="21" t="s">
        <v>1774</v>
      </c>
      <c r="E3564" s="21" t="s">
        <v>3167</v>
      </c>
      <c r="G3564" s="21" t="s">
        <v>153</v>
      </c>
      <c r="H3564" s="21" t="s">
        <v>1165</v>
      </c>
      <c r="I3564" s="21" t="s">
        <v>3172</v>
      </c>
      <c r="L3564">
        <v>2010</v>
      </c>
      <c r="M3564" s="21" t="s">
        <v>3034</v>
      </c>
      <c r="O3564">
        <v>1988</v>
      </c>
      <c r="S3564" s="9" t="s">
        <v>3169</v>
      </c>
      <c r="T3564" t="s">
        <v>3127</v>
      </c>
      <c r="U3564" s="21" t="s">
        <v>1147</v>
      </c>
      <c r="Z3564">
        <v>24</v>
      </c>
      <c r="AD3564" t="s">
        <v>1165</v>
      </c>
      <c r="AF3564" t="s">
        <v>1165</v>
      </c>
      <c r="AI3564" s="21" t="s">
        <v>1165</v>
      </c>
      <c r="AJ3564" s="21" t="s">
        <v>1148</v>
      </c>
      <c r="AK3564">
        <v>2</v>
      </c>
      <c r="AN3564" s="21">
        <v>4</v>
      </c>
      <c r="AO3564" s="21">
        <v>25</v>
      </c>
      <c r="AP3564">
        <v>28</v>
      </c>
      <c r="AQ3564" s="22" t="s">
        <v>1283</v>
      </c>
      <c r="AR3564" s="21" t="s">
        <v>3130</v>
      </c>
    </row>
    <row r="3565" spans="1:44" x14ac:dyDescent="0.2">
      <c r="A3565" s="21" t="s">
        <v>1778</v>
      </c>
      <c r="B3565" s="21" t="s">
        <v>1146</v>
      </c>
      <c r="C3565" s="21" t="s">
        <v>1149</v>
      </c>
      <c r="D3565" s="21" t="s">
        <v>1774</v>
      </c>
      <c r="E3565" s="21" t="s">
        <v>3167</v>
      </c>
      <c r="G3565" s="21" t="s">
        <v>153</v>
      </c>
      <c r="H3565" s="21" t="s">
        <v>1165</v>
      </c>
      <c r="I3565" s="21" t="s">
        <v>3172</v>
      </c>
      <c r="L3565">
        <v>2010</v>
      </c>
      <c r="M3565" s="21" t="s">
        <v>3034</v>
      </c>
      <c r="O3565">
        <v>1988</v>
      </c>
      <c r="S3565" s="9" t="s">
        <v>3169</v>
      </c>
      <c r="T3565" t="s">
        <v>3127</v>
      </c>
      <c r="U3565" s="21" t="s">
        <v>1218</v>
      </c>
      <c r="V3565" s="9" t="s">
        <v>3132</v>
      </c>
      <c r="W3565">
        <v>28</v>
      </c>
      <c r="X3565" s="9" t="s">
        <v>1294</v>
      </c>
      <c r="Z3565">
        <v>24</v>
      </c>
      <c r="AD3565" t="s">
        <v>1165</v>
      </c>
      <c r="AF3565" t="s">
        <v>1165</v>
      </c>
      <c r="AI3565" s="21" t="s">
        <v>1165</v>
      </c>
      <c r="AJ3565" s="21" t="s">
        <v>1148</v>
      </c>
      <c r="AK3565">
        <v>1</v>
      </c>
      <c r="AN3565" s="21">
        <v>4</v>
      </c>
      <c r="AO3565" s="21">
        <v>25</v>
      </c>
      <c r="AP3565">
        <v>28</v>
      </c>
      <c r="AQ3565" s="22" t="s">
        <v>1283</v>
      </c>
      <c r="AR3565" s="21" t="s">
        <v>3130</v>
      </c>
    </row>
    <row r="3566" spans="1:44" x14ac:dyDescent="0.2">
      <c r="A3566" s="21" t="s">
        <v>1778</v>
      </c>
      <c r="B3566" s="21" t="s">
        <v>1146</v>
      </c>
      <c r="C3566" s="21" t="s">
        <v>1149</v>
      </c>
      <c r="D3566" s="21" t="s">
        <v>1774</v>
      </c>
      <c r="E3566" s="21" t="s">
        <v>3167</v>
      </c>
      <c r="G3566" s="21" t="s">
        <v>153</v>
      </c>
      <c r="H3566" s="21" t="s">
        <v>1165</v>
      </c>
      <c r="I3566" s="21" t="s">
        <v>3172</v>
      </c>
      <c r="L3566">
        <v>2010</v>
      </c>
      <c r="M3566" s="21" t="s">
        <v>3034</v>
      </c>
      <c r="O3566">
        <v>1988</v>
      </c>
      <c r="S3566" s="9" t="s">
        <v>3169</v>
      </c>
      <c r="T3566" t="s">
        <v>3127</v>
      </c>
      <c r="U3566" s="21" t="s">
        <v>1218</v>
      </c>
      <c r="V3566" s="9" t="s">
        <v>3132</v>
      </c>
      <c r="W3566">
        <f>56</f>
        <v>56</v>
      </c>
      <c r="X3566" s="9" t="s">
        <v>1294</v>
      </c>
      <c r="Z3566">
        <v>24</v>
      </c>
      <c r="AD3566" t="s">
        <v>1165</v>
      </c>
      <c r="AF3566" t="s">
        <v>1165</v>
      </c>
      <c r="AI3566" s="21" t="s">
        <v>1165</v>
      </c>
      <c r="AJ3566" s="21" t="s">
        <v>1148</v>
      </c>
      <c r="AK3566">
        <v>2</v>
      </c>
      <c r="AN3566" s="21">
        <v>4</v>
      </c>
      <c r="AO3566" s="21">
        <v>25</v>
      </c>
      <c r="AP3566">
        <v>28</v>
      </c>
      <c r="AQ3566" s="22" t="s">
        <v>1283</v>
      </c>
      <c r="AR3566" s="21" t="s">
        <v>3130</v>
      </c>
    </row>
    <row r="3567" spans="1:44" x14ac:dyDescent="0.2">
      <c r="A3567" s="21" t="s">
        <v>1778</v>
      </c>
      <c r="B3567" s="21" t="s">
        <v>1146</v>
      </c>
      <c r="C3567" s="21" t="s">
        <v>1149</v>
      </c>
      <c r="D3567" s="21" t="s">
        <v>1774</v>
      </c>
      <c r="E3567" s="21" t="s">
        <v>3167</v>
      </c>
      <c r="G3567" s="21" t="s">
        <v>153</v>
      </c>
      <c r="H3567" s="21" t="s">
        <v>1165</v>
      </c>
      <c r="I3567" s="21" t="s">
        <v>3172</v>
      </c>
      <c r="L3567">
        <v>2010</v>
      </c>
      <c r="M3567" s="21" t="s">
        <v>3034</v>
      </c>
      <c r="O3567">
        <v>1988</v>
      </c>
      <c r="S3567" s="9" t="s">
        <v>3169</v>
      </c>
      <c r="T3567" t="s">
        <v>3127</v>
      </c>
      <c r="U3567" s="21" t="s">
        <v>1218</v>
      </c>
      <c r="V3567" s="9" t="s">
        <v>3132</v>
      </c>
      <c r="W3567">
        <f>7*12</f>
        <v>84</v>
      </c>
      <c r="X3567" s="9" t="s">
        <v>1294</v>
      </c>
      <c r="Z3567">
        <v>24</v>
      </c>
      <c r="AD3567" t="s">
        <v>1165</v>
      </c>
      <c r="AF3567" t="s">
        <v>1165</v>
      </c>
      <c r="AI3567" s="21" t="s">
        <v>1165</v>
      </c>
      <c r="AJ3567" s="21" t="s">
        <v>1148</v>
      </c>
      <c r="AK3567">
        <v>0</v>
      </c>
      <c r="AN3567" s="21">
        <v>4</v>
      </c>
      <c r="AO3567" s="21">
        <v>25</v>
      </c>
      <c r="AP3567">
        <v>28</v>
      </c>
      <c r="AQ3567" s="22" t="s">
        <v>1283</v>
      </c>
      <c r="AR3567" s="21" t="s">
        <v>3130</v>
      </c>
    </row>
    <row r="3568" spans="1:44" x14ac:dyDescent="0.2">
      <c r="A3568" s="21" t="s">
        <v>1778</v>
      </c>
      <c r="B3568" s="21" t="s">
        <v>1146</v>
      </c>
      <c r="C3568" s="21" t="s">
        <v>1149</v>
      </c>
      <c r="D3568" s="21" t="s">
        <v>1774</v>
      </c>
      <c r="E3568" s="21" t="s">
        <v>3167</v>
      </c>
      <c r="G3568" s="21" t="s">
        <v>153</v>
      </c>
      <c r="H3568" s="21" t="s">
        <v>1165</v>
      </c>
      <c r="I3568" s="21" t="s">
        <v>3172</v>
      </c>
      <c r="L3568">
        <v>2010</v>
      </c>
      <c r="M3568" s="21" t="s">
        <v>3034</v>
      </c>
      <c r="O3568">
        <v>1988</v>
      </c>
      <c r="S3568" s="9" t="s">
        <v>3169</v>
      </c>
      <c r="T3568" t="s">
        <v>3127</v>
      </c>
      <c r="U3568" s="21" t="s">
        <v>1218</v>
      </c>
      <c r="V3568" s="9" t="s">
        <v>3132</v>
      </c>
      <c r="W3568">
        <f>7*16</f>
        <v>112</v>
      </c>
      <c r="X3568" s="9" t="s">
        <v>1294</v>
      </c>
      <c r="Z3568">
        <v>24</v>
      </c>
      <c r="AD3568" t="s">
        <v>1165</v>
      </c>
      <c r="AF3568" t="s">
        <v>1165</v>
      </c>
      <c r="AI3568" s="21" t="s">
        <v>1165</v>
      </c>
      <c r="AJ3568" s="21" t="s">
        <v>1148</v>
      </c>
      <c r="AK3568">
        <v>1</v>
      </c>
      <c r="AN3568" s="21">
        <v>4</v>
      </c>
      <c r="AO3568" s="21">
        <v>25</v>
      </c>
      <c r="AP3568">
        <v>28</v>
      </c>
      <c r="AQ3568" s="22" t="s">
        <v>1283</v>
      </c>
      <c r="AR3568" s="21" t="s">
        <v>3130</v>
      </c>
    </row>
    <row r="3569" spans="1:44" x14ac:dyDescent="0.2">
      <c r="A3569" s="21" t="s">
        <v>1778</v>
      </c>
      <c r="B3569" s="21" t="s">
        <v>1146</v>
      </c>
      <c r="C3569" s="21" t="s">
        <v>1149</v>
      </c>
      <c r="D3569" s="21" t="s">
        <v>1774</v>
      </c>
      <c r="E3569" s="21" t="s">
        <v>3167</v>
      </c>
      <c r="G3569" s="21" t="s">
        <v>153</v>
      </c>
      <c r="H3569" s="21" t="s">
        <v>1165</v>
      </c>
      <c r="I3569" s="21" t="s">
        <v>3172</v>
      </c>
      <c r="L3569">
        <v>2010</v>
      </c>
      <c r="M3569" s="21" t="s">
        <v>3034</v>
      </c>
      <c r="O3569">
        <v>1988</v>
      </c>
      <c r="S3569" s="9" t="s">
        <v>3169</v>
      </c>
      <c r="T3569" t="s">
        <v>3127</v>
      </c>
      <c r="U3569" s="21" t="s">
        <v>1218</v>
      </c>
      <c r="V3569" s="9" t="s">
        <v>3132</v>
      </c>
      <c r="W3569">
        <f>7*24</f>
        <v>168</v>
      </c>
      <c r="X3569" s="9" t="s">
        <v>1294</v>
      </c>
      <c r="Z3569">
        <v>24</v>
      </c>
      <c r="AD3569" t="s">
        <v>1165</v>
      </c>
      <c r="AF3569" t="s">
        <v>1165</v>
      </c>
      <c r="AI3569" s="21" t="s">
        <v>1165</v>
      </c>
      <c r="AJ3569" s="21" t="s">
        <v>1148</v>
      </c>
      <c r="AK3569">
        <v>0</v>
      </c>
      <c r="AN3569" s="21">
        <v>4</v>
      </c>
      <c r="AO3569" s="21">
        <v>25</v>
      </c>
      <c r="AP3569">
        <v>28</v>
      </c>
      <c r="AQ3569" s="22" t="s">
        <v>1283</v>
      </c>
      <c r="AR3569" s="21" t="s">
        <v>3130</v>
      </c>
    </row>
    <row r="3570" spans="1:44" x14ac:dyDescent="0.2">
      <c r="A3570" s="21" t="s">
        <v>1778</v>
      </c>
      <c r="B3570" s="21" t="s">
        <v>1146</v>
      </c>
      <c r="C3570" s="21" t="s">
        <v>1149</v>
      </c>
      <c r="D3570" s="21" t="s">
        <v>1774</v>
      </c>
      <c r="E3570" s="21" t="s">
        <v>3167</v>
      </c>
      <c r="G3570" s="21" t="s">
        <v>153</v>
      </c>
      <c r="H3570" s="21" t="s">
        <v>1165</v>
      </c>
      <c r="I3570" s="21" t="s">
        <v>3172</v>
      </c>
      <c r="L3570">
        <v>2010</v>
      </c>
      <c r="M3570" s="21" t="s">
        <v>3034</v>
      </c>
      <c r="O3570">
        <v>1988</v>
      </c>
      <c r="S3570" s="9" t="s">
        <v>3169</v>
      </c>
      <c r="T3570" t="s">
        <v>3127</v>
      </c>
      <c r="U3570" s="21" t="s">
        <v>1218</v>
      </c>
      <c r="V3570" s="9" t="s">
        <v>3132</v>
      </c>
      <c r="W3570">
        <f>12*7</f>
        <v>84</v>
      </c>
      <c r="X3570" s="9" t="s">
        <v>1294</v>
      </c>
      <c r="Y3570" t="s">
        <v>3170</v>
      </c>
      <c r="Z3570">
        <v>24</v>
      </c>
      <c r="AD3570" t="s">
        <v>1165</v>
      </c>
      <c r="AF3570" t="s">
        <v>1165</v>
      </c>
      <c r="AI3570" s="21" t="s">
        <v>1165</v>
      </c>
      <c r="AJ3570" s="21" t="s">
        <v>1148</v>
      </c>
      <c r="AK3570">
        <v>2</v>
      </c>
      <c r="AN3570" s="21">
        <v>4</v>
      </c>
      <c r="AO3570" s="21">
        <v>25</v>
      </c>
      <c r="AP3570">
        <v>28</v>
      </c>
      <c r="AQ3570" s="22" t="s">
        <v>1283</v>
      </c>
      <c r="AR3570" s="21" t="s">
        <v>3130</v>
      </c>
    </row>
    <row r="3571" spans="1:44" x14ac:dyDescent="0.2">
      <c r="A3571" s="21" t="s">
        <v>1778</v>
      </c>
      <c r="B3571" s="21" t="s">
        <v>1146</v>
      </c>
      <c r="C3571" s="21" t="s">
        <v>1149</v>
      </c>
      <c r="D3571" s="21" t="s">
        <v>1774</v>
      </c>
      <c r="E3571" s="21" t="s">
        <v>3167</v>
      </c>
      <c r="G3571" s="21" t="s">
        <v>153</v>
      </c>
      <c r="H3571" s="21" t="s">
        <v>1165</v>
      </c>
      <c r="I3571" s="21" t="s">
        <v>3172</v>
      </c>
      <c r="L3571">
        <v>2010</v>
      </c>
      <c r="M3571" s="21" t="s">
        <v>3034</v>
      </c>
      <c r="O3571">
        <v>1988</v>
      </c>
      <c r="S3571" s="9" t="s">
        <v>3169</v>
      </c>
      <c r="T3571" t="s">
        <v>3127</v>
      </c>
      <c r="U3571" s="21" t="s">
        <v>1218</v>
      </c>
      <c r="V3571" s="9" t="s">
        <v>3132</v>
      </c>
      <c r="W3571">
        <f>12*7</f>
        <v>84</v>
      </c>
      <c r="X3571" s="9" t="s">
        <v>1294</v>
      </c>
      <c r="Y3571" t="s">
        <v>3134</v>
      </c>
      <c r="Z3571">
        <v>24</v>
      </c>
      <c r="AD3571" t="s">
        <v>1165</v>
      </c>
      <c r="AF3571" t="s">
        <v>1165</v>
      </c>
      <c r="AI3571" s="21" t="s">
        <v>1165</v>
      </c>
      <c r="AJ3571" s="21" t="s">
        <v>1148</v>
      </c>
      <c r="AK3571">
        <v>5</v>
      </c>
      <c r="AN3571" s="21">
        <v>4</v>
      </c>
      <c r="AO3571" s="21">
        <v>25</v>
      </c>
      <c r="AP3571">
        <v>28</v>
      </c>
      <c r="AQ3571" s="22" t="s">
        <v>1283</v>
      </c>
      <c r="AR3571" s="21" t="s">
        <v>3130</v>
      </c>
    </row>
    <row r="3572" spans="1:44" x14ac:dyDescent="0.2">
      <c r="A3572" s="21" t="s">
        <v>1778</v>
      </c>
      <c r="B3572" s="21" t="s">
        <v>1146</v>
      </c>
      <c r="C3572" s="21" t="s">
        <v>1149</v>
      </c>
      <c r="D3572" s="21" t="s">
        <v>1774</v>
      </c>
      <c r="E3572" s="21" t="s">
        <v>3167</v>
      </c>
      <c r="G3572" s="21" t="s">
        <v>153</v>
      </c>
      <c r="H3572" s="21" t="s">
        <v>1165</v>
      </c>
      <c r="I3572" s="21" t="s">
        <v>3172</v>
      </c>
      <c r="L3572">
        <v>2010</v>
      </c>
      <c r="M3572" s="21" t="s">
        <v>3034</v>
      </c>
      <c r="O3572">
        <v>1988</v>
      </c>
      <c r="S3572" s="9" t="s">
        <v>3169</v>
      </c>
      <c r="T3572" t="s">
        <v>3127</v>
      </c>
      <c r="U3572" s="21" t="s">
        <v>1218</v>
      </c>
      <c r="V3572" s="9" t="s">
        <v>3132</v>
      </c>
      <c r="W3572">
        <f>12*7</f>
        <v>84</v>
      </c>
      <c r="X3572" s="9" t="s">
        <v>1294</v>
      </c>
      <c r="Y3572" t="s">
        <v>3135</v>
      </c>
      <c r="Z3572">
        <v>24</v>
      </c>
      <c r="AD3572" t="s">
        <v>1165</v>
      </c>
      <c r="AF3572" t="s">
        <v>1165</v>
      </c>
      <c r="AI3572" s="21" t="s">
        <v>1165</v>
      </c>
      <c r="AJ3572" s="21" t="s">
        <v>1148</v>
      </c>
      <c r="AK3572">
        <v>5</v>
      </c>
      <c r="AN3572" s="21">
        <v>4</v>
      </c>
      <c r="AO3572" s="21">
        <v>25</v>
      </c>
      <c r="AP3572">
        <v>28</v>
      </c>
      <c r="AQ3572" s="22" t="s">
        <v>1283</v>
      </c>
      <c r="AR3572" s="21" t="s">
        <v>3130</v>
      </c>
    </row>
    <row r="3573" spans="1:44" x14ac:dyDescent="0.2">
      <c r="A3573" s="21" t="s">
        <v>1778</v>
      </c>
      <c r="B3573" s="21" t="s">
        <v>1146</v>
      </c>
      <c r="C3573" s="21" t="s">
        <v>1149</v>
      </c>
      <c r="D3573" s="21" t="s">
        <v>1774</v>
      </c>
      <c r="E3573" s="21" t="s">
        <v>3173</v>
      </c>
      <c r="G3573" s="21" t="s">
        <v>153</v>
      </c>
      <c r="H3573" s="21" t="s">
        <v>1165</v>
      </c>
      <c r="I3573" s="21" t="s">
        <v>3174</v>
      </c>
      <c r="L3573">
        <v>2000</v>
      </c>
      <c r="M3573" s="21" t="s">
        <v>3034</v>
      </c>
      <c r="O3573">
        <v>1988</v>
      </c>
      <c r="S3573" s="9" t="s">
        <v>3169</v>
      </c>
      <c r="T3573" t="s">
        <v>3127</v>
      </c>
      <c r="U3573" s="21" t="s">
        <v>1147</v>
      </c>
      <c r="Z3573">
        <v>24</v>
      </c>
      <c r="AD3573" t="s">
        <v>1165</v>
      </c>
      <c r="AF3573" t="s">
        <v>1165</v>
      </c>
      <c r="AI3573" s="21" t="s">
        <v>1165</v>
      </c>
      <c r="AJ3573" s="21" t="s">
        <v>1148</v>
      </c>
      <c r="AK3573">
        <v>0</v>
      </c>
      <c r="AN3573" s="21">
        <v>4</v>
      </c>
      <c r="AO3573" s="21">
        <v>25</v>
      </c>
      <c r="AP3573">
        <v>28</v>
      </c>
      <c r="AQ3573" s="22" t="s">
        <v>1283</v>
      </c>
      <c r="AR3573" s="21" t="s">
        <v>3130</v>
      </c>
    </row>
    <row r="3574" spans="1:44" x14ac:dyDescent="0.2">
      <c r="A3574" s="21" t="s">
        <v>1778</v>
      </c>
      <c r="B3574" s="21" t="s">
        <v>1146</v>
      </c>
      <c r="C3574" s="21" t="s">
        <v>1149</v>
      </c>
      <c r="D3574" s="21" t="s">
        <v>1774</v>
      </c>
      <c r="E3574" s="21" t="s">
        <v>3173</v>
      </c>
      <c r="G3574" s="21" t="s">
        <v>153</v>
      </c>
      <c r="H3574" s="21" t="s">
        <v>1165</v>
      </c>
      <c r="I3574" s="21" t="s">
        <v>3174</v>
      </c>
      <c r="L3574">
        <v>2000</v>
      </c>
      <c r="M3574" s="21" t="s">
        <v>3034</v>
      </c>
      <c r="O3574">
        <v>1988</v>
      </c>
      <c r="S3574" s="9" t="s">
        <v>3169</v>
      </c>
      <c r="T3574" t="s">
        <v>3127</v>
      </c>
      <c r="U3574" s="21" t="s">
        <v>1218</v>
      </c>
      <c r="V3574" s="9" t="s">
        <v>3132</v>
      </c>
      <c r="W3574">
        <v>28</v>
      </c>
      <c r="X3574" s="9" t="s">
        <v>1294</v>
      </c>
      <c r="Z3574">
        <v>24</v>
      </c>
      <c r="AD3574" t="s">
        <v>1165</v>
      </c>
      <c r="AF3574" t="s">
        <v>1165</v>
      </c>
      <c r="AI3574" s="21" t="s">
        <v>1165</v>
      </c>
      <c r="AJ3574" s="21" t="s">
        <v>1148</v>
      </c>
      <c r="AK3574">
        <v>0</v>
      </c>
      <c r="AN3574" s="21">
        <v>4</v>
      </c>
      <c r="AO3574" s="21">
        <v>25</v>
      </c>
      <c r="AP3574">
        <v>28</v>
      </c>
      <c r="AQ3574" s="22" t="s">
        <v>1283</v>
      </c>
      <c r="AR3574" s="21" t="s">
        <v>3130</v>
      </c>
    </row>
    <row r="3575" spans="1:44" x14ac:dyDescent="0.2">
      <c r="A3575" s="21" t="s">
        <v>1778</v>
      </c>
      <c r="B3575" s="21" t="s">
        <v>1146</v>
      </c>
      <c r="C3575" s="21" t="s">
        <v>1149</v>
      </c>
      <c r="D3575" s="21" t="s">
        <v>1774</v>
      </c>
      <c r="E3575" s="21" t="s">
        <v>3173</v>
      </c>
      <c r="G3575" s="21" t="s">
        <v>153</v>
      </c>
      <c r="H3575" s="21" t="s">
        <v>1165</v>
      </c>
      <c r="I3575" s="21" t="s">
        <v>3174</v>
      </c>
      <c r="L3575">
        <v>2000</v>
      </c>
      <c r="M3575" s="21" t="s">
        <v>3034</v>
      </c>
      <c r="O3575">
        <v>1988</v>
      </c>
      <c r="S3575" s="9" t="s">
        <v>3169</v>
      </c>
      <c r="T3575" t="s">
        <v>3127</v>
      </c>
      <c r="U3575" s="21" t="s">
        <v>1218</v>
      </c>
      <c r="V3575" s="9" t="s">
        <v>3132</v>
      </c>
      <c r="W3575">
        <f>56</f>
        <v>56</v>
      </c>
      <c r="X3575" s="9" t="s">
        <v>1294</v>
      </c>
      <c r="Z3575">
        <v>24</v>
      </c>
      <c r="AD3575" t="s">
        <v>1165</v>
      </c>
      <c r="AF3575" t="s">
        <v>1165</v>
      </c>
      <c r="AI3575" s="21" t="s">
        <v>1165</v>
      </c>
      <c r="AJ3575" s="21" t="s">
        <v>1148</v>
      </c>
      <c r="AK3575">
        <v>0</v>
      </c>
      <c r="AN3575" s="21">
        <v>4</v>
      </c>
      <c r="AO3575" s="21">
        <v>25</v>
      </c>
      <c r="AP3575">
        <v>28</v>
      </c>
      <c r="AQ3575" s="22" t="s">
        <v>1283</v>
      </c>
      <c r="AR3575" s="21" t="s">
        <v>3130</v>
      </c>
    </row>
    <row r="3576" spans="1:44" x14ac:dyDescent="0.2">
      <c r="A3576" s="21" t="s">
        <v>1778</v>
      </c>
      <c r="B3576" s="21" t="s">
        <v>1146</v>
      </c>
      <c r="C3576" s="21" t="s">
        <v>1149</v>
      </c>
      <c r="D3576" s="21" t="s">
        <v>1774</v>
      </c>
      <c r="E3576" s="21" t="s">
        <v>3173</v>
      </c>
      <c r="G3576" s="21" t="s">
        <v>153</v>
      </c>
      <c r="H3576" s="21" t="s">
        <v>1165</v>
      </c>
      <c r="I3576" s="21" t="s">
        <v>3174</v>
      </c>
      <c r="L3576">
        <v>2000</v>
      </c>
      <c r="M3576" s="21" t="s">
        <v>3034</v>
      </c>
      <c r="O3576">
        <v>1988</v>
      </c>
      <c r="S3576" s="9" t="s">
        <v>3169</v>
      </c>
      <c r="T3576" t="s">
        <v>3127</v>
      </c>
      <c r="U3576" s="21" t="s">
        <v>1218</v>
      </c>
      <c r="V3576" s="9" t="s">
        <v>3132</v>
      </c>
      <c r="W3576">
        <f>7*12</f>
        <v>84</v>
      </c>
      <c r="X3576" s="9" t="s">
        <v>1294</v>
      </c>
      <c r="Z3576">
        <v>24</v>
      </c>
      <c r="AD3576" t="s">
        <v>1165</v>
      </c>
      <c r="AF3576" t="s">
        <v>1165</v>
      </c>
      <c r="AI3576" s="21" t="s">
        <v>1165</v>
      </c>
      <c r="AJ3576" s="21" t="s">
        <v>1148</v>
      </c>
      <c r="AK3576">
        <v>7</v>
      </c>
      <c r="AN3576" s="21">
        <v>4</v>
      </c>
      <c r="AO3576" s="21">
        <v>25</v>
      </c>
      <c r="AP3576">
        <v>28</v>
      </c>
      <c r="AQ3576" s="22" t="s">
        <v>1283</v>
      </c>
      <c r="AR3576" s="21" t="s">
        <v>3130</v>
      </c>
    </row>
    <row r="3577" spans="1:44" x14ac:dyDescent="0.2">
      <c r="A3577" s="21" t="s">
        <v>1778</v>
      </c>
      <c r="B3577" s="21" t="s">
        <v>1146</v>
      </c>
      <c r="C3577" s="21" t="s">
        <v>1149</v>
      </c>
      <c r="D3577" s="21" t="s">
        <v>1774</v>
      </c>
      <c r="E3577" s="21" t="s">
        <v>3173</v>
      </c>
      <c r="G3577" s="21" t="s">
        <v>153</v>
      </c>
      <c r="H3577" s="21" t="s">
        <v>1165</v>
      </c>
      <c r="I3577" s="21" t="s">
        <v>3174</v>
      </c>
      <c r="L3577">
        <v>2000</v>
      </c>
      <c r="M3577" s="21" t="s">
        <v>3034</v>
      </c>
      <c r="O3577">
        <v>1988</v>
      </c>
      <c r="S3577" s="9" t="s">
        <v>3169</v>
      </c>
      <c r="T3577" t="s">
        <v>3127</v>
      </c>
      <c r="U3577" s="21" t="s">
        <v>1218</v>
      </c>
      <c r="V3577" s="9" t="s">
        <v>3132</v>
      </c>
      <c r="W3577">
        <f>7*16</f>
        <v>112</v>
      </c>
      <c r="X3577" s="9" t="s">
        <v>1294</v>
      </c>
      <c r="Z3577">
        <v>24</v>
      </c>
      <c r="AD3577" t="s">
        <v>1165</v>
      </c>
      <c r="AF3577" t="s">
        <v>1165</v>
      </c>
      <c r="AI3577" s="21" t="s">
        <v>1165</v>
      </c>
      <c r="AJ3577" s="21" t="s">
        <v>1148</v>
      </c>
      <c r="AK3577">
        <v>13</v>
      </c>
      <c r="AN3577" s="21">
        <v>4</v>
      </c>
      <c r="AO3577" s="21">
        <v>25</v>
      </c>
      <c r="AP3577">
        <v>28</v>
      </c>
      <c r="AQ3577" s="22" t="s">
        <v>1283</v>
      </c>
      <c r="AR3577" s="21" t="s">
        <v>3130</v>
      </c>
    </row>
    <row r="3578" spans="1:44" x14ac:dyDescent="0.2">
      <c r="A3578" s="21" t="s">
        <v>1778</v>
      </c>
      <c r="B3578" s="21" t="s">
        <v>1146</v>
      </c>
      <c r="C3578" s="21" t="s">
        <v>1149</v>
      </c>
      <c r="D3578" s="21" t="s">
        <v>1774</v>
      </c>
      <c r="E3578" s="21" t="s">
        <v>3173</v>
      </c>
      <c r="G3578" s="21" t="s">
        <v>153</v>
      </c>
      <c r="H3578" s="21" t="s">
        <v>1165</v>
      </c>
      <c r="I3578" s="21" t="s">
        <v>3174</v>
      </c>
      <c r="L3578">
        <v>2000</v>
      </c>
      <c r="M3578" s="21" t="s">
        <v>3034</v>
      </c>
      <c r="O3578">
        <v>1988</v>
      </c>
      <c r="S3578" s="9" t="s">
        <v>3169</v>
      </c>
      <c r="T3578" t="s">
        <v>3127</v>
      </c>
      <c r="U3578" s="21" t="s">
        <v>1218</v>
      </c>
      <c r="V3578" s="9" t="s">
        <v>3132</v>
      </c>
      <c r="W3578">
        <f>7*24</f>
        <v>168</v>
      </c>
      <c r="X3578" s="9" t="s">
        <v>1294</v>
      </c>
      <c r="Z3578">
        <v>24</v>
      </c>
      <c r="AD3578" t="s">
        <v>1165</v>
      </c>
      <c r="AF3578" t="s">
        <v>1165</v>
      </c>
      <c r="AI3578" s="21" t="s">
        <v>1165</v>
      </c>
      <c r="AJ3578" s="21" t="s">
        <v>1148</v>
      </c>
      <c r="AK3578">
        <v>12</v>
      </c>
      <c r="AN3578" s="21">
        <v>4</v>
      </c>
      <c r="AO3578" s="21">
        <v>25</v>
      </c>
      <c r="AP3578">
        <v>28</v>
      </c>
      <c r="AQ3578" s="22" t="s">
        <v>1283</v>
      </c>
      <c r="AR3578" s="21" t="s">
        <v>3130</v>
      </c>
    </row>
    <row r="3579" spans="1:44" x14ac:dyDescent="0.2">
      <c r="A3579" s="21" t="s">
        <v>1778</v>
      </c>
      <c r="B3579" s="21" t="s">
        <v>1146</v>
      </c>
      <c r="C3579" s="21" t="s">
        <v>1149</v>
      </c>
      <c r="D3579" s="21" t="s">
        <v>1774</v>
      </c>
      <c r="E3579" s="21" t="s">
        <v>3173</v>
      </c>
      <c r="G3579" s="21" t="s">
        <v>153</v>
      </c>
      <c r="H3579" s="21" t="s">
        <v>1165</v>
      </c>
      <c r="I3579" s="21" t="s">
        <v>3174</v>
      </c>
      <c r="L3579">
        <v>2000</v>
      </c>
      <c r="M3579" s="21" t="s">
        <v>3034</v>
      </c>
      <c r="O3579">
        <v>1988</v>
      </c>
      <c r="S3579" s="9" t="s">
        <v>3169</v>
      </c>
      <c r="T3579" t="s">
        <v>3127</v>
      </c>
      <c r="U3579" s="21" t="s">
        <v>1218</v>
      </c>
      <c r="V3579" s="9" t="s">
        <v>3132</v>
      </c>
      <c r="W3579">
        <f>12*7</f>
        <v>84</v>
      </c>
      <c r="X3579" s="9" t="s">
        <v>1294</v>
      </c>
      <c r="Y3579" t="s">
        <v>3170</v>
      </c>
      <c r="Z3579">
        <v>24</v>
      </c>
      <c r="AD3579" t="s">
        <v>1165</v>
      </c>
      <c r="AF3579" t="s">
        <v>1165</v>
      </c>
      <c r="AI3579" s="21" t="s">
        <v>1165</v>
      </c>
      <c r="AJ3579" s="21" t="s">
        <v>1148</v>
      </c>
      <c r="AK3579">
        <v>27</v>
      </c>
      <c r="AN3579" s="21">
        <v>4</v>
      </c>
      <c r="AO3579" s="21">
        <v>25</v>
      </c>
      <c r="AP3579">
        <v>28</v>
      </c>
      <c r="AQ3579" s="22" t="s">
        <v>1283</v>
      </c>
      <c r="AR3579" s="21" t="s">
        <v>3130</v>
      </c>
    </row>
    <row r="3580" spans="1:44" x14ac:dyDescent="0.2">
      <c r="A3580" s="21" t="s">
        <v>1778</v>
      </c>
      <c r="B3580" s="21" t="s">
        <v>1146</v>
      </c>
      <c r="C3580" s="21" t="s">
        <v>1149</v>
      </c>
      <c r="D3580" s="21" t="s">
        <v>1774</v>
      </c>
      <c r="E3580" s="21" t="s">
        <v>3173</v>
      </c>
      <c r="G3580" s="21" t="s">
        <v>153</v>
      </c>
      <c r="H3580" s="21" t="s">
        <v>1165</v>
      </c>
      <c r="I3580" s="21" t="s">
        <v>3174</v>
      </c>
      <c r="L3580">
        <v>2000</v>
      </c>
      <c r="M3580" s="21" t="s">
        <v>3034</v>
      </c>
      <c r="O3580">
        <v>1988</v>
      </c>
      <c r="S3580" s="9" t="s">
        <v>3169</v>
      </c>
      <c r="T3580" t="s">
        <v>3127</v>
      </c>
      <c r="U3580" s="21" t="s">
        <v>1218</v>
      </c>
      <c r="V3580" s="9" t="s">
        <v>3132</v>
      </c>
      <c r="W3580">
        <f>12*7</f>
        <v>84</v>
      </c>
      <c r="X3580" s="9" t="s">
        <v>1294</v>
      </c>
      <c r="Y3580" t="s">
        <v>3134</v>
      </c>
      <c r="Z3580">
        <v>24</v>
      </c>
      <c r="AD3580" t="s">
        <v>1165</v>
      </c>
      <c r="AF3580" t="s">
        <v>1165</v>
      </c>
      <c r="AI3580" s="21" t="s">
        <v>1165</v>
      </c>
      <c r="AJ3580" s="21" t="s">
        <v>1148</v>
      </c>
      <c r="AK3580">
        <v>2</v>
      </c>
      <c r="AN3580" s="21">
        <v>4</v>
      </c>
      <c r="AO3580" s="21">
        <v>25</v>
      </c>
      <c r="AP3580">
        <v>28</v>
      </c>
      <c r="AQ3580" s="22" t="s">
        <v>1283</v>
      </c>
      <c r="AR3580" s="21" t="s">
        <v>3130</v>
      </c>
    </row>
    <row r="3581" spans="1:44" x14ac:dyDescent="0.2">
      <c r="A3581" s="21" t="s">
        <v>1778</v>
      </c>
      <c r="B3581" s="21" t="s">
        <v>1146</v>
      </c>
      <c r="C3581" s="21" t="s">
        <v>1149</v>
      </c>
      <c r="D3581" s="21" t="s">
        <v>1774</v>
      </c>
      <c r="E3581" s="21" t="s">
        <v>3173</v>
      </c>
      <c r="G3581" s="21" t="s">
        <v>153</v>
      </c>
      <c r="H3581" s="21" t="s">
        <v>1165</v>
      </c>
      <c r="I3581" s="21" t="s">
        <v>3174</v>
      </c>
      <c r="L3581">
        <v>2000</v>
      </c>
      <c r="M3581" s="21" t="s">
        <v>3034</v>
      </c>
      <c r="O3581">
        <v>1988</v>
      </c>
      <c r="S3581" s="9" t="s">
        <v>3169</v>
      </c>
      <c r="T3581" t="s">
        <v>3127</v>
      </c>
      <c r="U3581" s="21" t="s">
        <v>1218</v>
      </c>
      <c r="V3581" s="9" t="s">
        <v>3132</v>
      </c>
      <c r="W3581">
        <f>12*7</f>
        <v>84</v>
      </c>
      <c r="X3581" s="9" t="s">
        <v>1294</v>
      </c>
      <c r="Y3581" t="s">
        <v>3135</v>
      </c>
      <c r="Z3581">
        <v>24</v>
      </c>
      <c r="AD3581" t="s">
        <v>1165</v>
      </c>
      <c r="AF3581" t="s">
        <v>1165</v>
      </c>
      <c r="AI3581" s="21" t="s">
        <v>1165</v>
      </c>
      <c r="AJ3581" s="21" t="s">
        <v>1148</v>
      </c>
      <c r="AK3581">
        <v>2</v>
      </c>
      <c r="AN3581" s="21">
        <v>4</v>
      </c>
      <c r="AO3581" s="21">
        <v>25</v>
      </c>
      <c r="AP3581">
        <v>28</v>
      </c>
      <c r="AQ3581" s="22" t="s">
        <v>1283</v>
      </c>
      <c r="AR3581" s="21" t="s">
        <v>3130</v>
      </c>
    </row>
    <row r="3582" spans="1:44" x14ac:dyDescent="0.2">
      <c r="A3582" s="21" t="s">
        <v>1778</v>
      </c>
      <c r="B3582" s="21" t="s">
        <v>1146</v>
      </c>
      <c r="C3582" s="21" t="s">
        <v>1149</v>
      </c>
      <c r="D3582" s="21" t="s">
        <v>1774</v>
      </c>
      <c r="E3582" s="21" t="s">
        <v>3173</v>
      </c>
      <c r="G3582" s="21" t="s">
        <v>153</v>
      </c>
      <c r="H3582" s="21" t="s">
        <v>1165</v>
      </c>
      <c r="I3582" s="21" t="s">
        <v>3175</v>
      </c>
      <c r="L3582">
        <v>2550</v>
      </c>
      <c r="M3582" s="21" t="s">
        <v>3034</v>
      </c>
      <c r="O3582">
        <v>1988</v>
      </c>
      <c r="S3582" s="9" t="s">
        <v>3169</v>
      </c>
      <c r="T3582" t="s">
        <v>3127</v>
      </c>
      <c r="U3582" s="21" t="s">
        <v>1147</v>
      </c>
      <c r="Z3582">
        <v>24</v>
      </c>
      <c r="AD3582" t="s">
        <v>1165</v>
      </c>
      <c r="AF3582" t="s">
        <v>1165</v>
      </c>
      <c r="AI3582" s="21" t="s">
        <v>1165</v>
      </c>
      <c r="AJ3582" s="21" t="s">
        <v>1148</v>
      </c>
      <c r="AK3582">
        <v>0</v>
      </c>
      <c r="AN3582" s="21">
        <v>4</v>
      </c>
      <c r="AO3582" s="21">
        <v>25</v>
      </c>
      <c r="AP3582">
        <v>28</v>
      </c>
      <c r="AQ3582" s="22" t="s">
        <v>1283</v>
      </c>
      <c r="AR3582" s="21" t="s">
        <v>3130</v>
      </c>
    </row>
    <row r="3583" spans="1:44" x14ac:dyDescent="0.2">
      <c r="A3583" s="21" t="s">
        <v>1778</v>
      </c>
      <c r="B3583" s="21" t="s">
        <v>1146</v>
      </c>
      <c r="C3583" s="21" t="s">
        <v>1149</v>
      </c>
      <c r="D3583" s="21" t="s">
        <v>1774</v>
      </c>
      <c r="E3583" s="21" t="s">
        <v>3173</v>
      </c>
      <c r="G3583" s="21" t="s">
        <v>153</v>
      </c>
      <c r="H3583" s="21" t="s">
        <v>1165</v>
      </c>
      <c r="I3583" s="21" t="s">
        <v>3175</v>
      </c>
      <c r="L3583">
        <v>2550</v>
      </c>
      <c r="M3583" s="21" t="s">
        <v>3034</v>
      </c>
      <c r="O3583">
        <v>1988</v>
      </c>
      <c r="S3583" s="9" t="s">
        <v>3169</v>
      </c>
      <c r="T3583" t="s">
        <v>3127</v>
      </c>
      <c r="U3583" s="21" t="s">
        <v>1218</v>
      </c>
      <c r="V3583" s="9" t="s">
        <v>3132</v>
      </c>
      <c r="W3583">
        <v>28</v>
      </c>
      <c r="X3583" s="9" t="s">
        <v>1294</v>
      </c>
      <c r="Z3583">
        <v>24</v>
      </c>
      <c r="AD3583" t="s">
        <v>1165</v>
      </c>
      <c r="AF3583" t="s">
        <v>1165</v>
      </c>
      <c r="AI3583" s="21" t="s">
        <v>1165</v>
      </c>
      <c r="AJ3583" s="21" t="s">
        <v>1148</v>
      </c>
      <c r="AK3583">
        <v>0</v>
      </c>
      <c r="AN3583" s="21">
        <v>4</v>
      </c>
      <c r="AO3583" s="21">
        <v>25</v>
      </c>
      <c r="AP3583">
        <v>28</v>
      </c>
      <c r="AQ3583" s="22" t="s">
        <v>1283</v>
      </c>
      <c r="AR3583" s="21" t="s">
        <v>3130</v>
      </c>
    </row>
    <row r="3584" spans="1:44" x14ac:dyDescent="0.2">
      <c r="A3584" s="21" t="s">
        <v>1778</v>
      </c>
      <c r="B3584" s="21" t="s">
        <v>1146</v>
      </c>
      <c r="C3584" s="21" t="s">
        <v>1149</v>
      </c>
      <c r="D3584" s="21" t="s">
        <v>1774</v>
      </c>
      <c r="E3584" s="21" t="s">
        <v>3173</v>
      </c>
      <c r="G3584" s="21" t="s">
        <v>153</v>
      </c>
      <c r="H3584" s="21" t="s">
        <v>1165</v>
      </c>
      <c r="I3584" s="21" t="s">
        <v>3175</v>
      </c>
      <c r="L3584">
        <v>2550</v>
      </c>
      <c r="M3584" s="21" t="s">
        <v>3034</v>
      </c>
      <c r="O3584">
        <v>1988</v>
      </c>
      <c r="S3584" s="9" t="s">
        <v>3169</v>
      </c>
      <c r="T3584" t="s">
        <v>3127</v>
      </c>
      <c r="U3584" s="21" t="s">
        <v>1218</v>
      </c>
      <c r="V3584" s="9" t="s">
        <v>3132</v>
      </c>
      <c r="W3584">
        <f>56</f>
        <v>56</v>
      </c>
      <c r="X3584" s="9" t="s">
        <v>1294</v>
      </c>
      <c r="Z3584">
        <v>24</v>
      </c>
      <c r="AD3584" t="s">
        <v>1165</v>
      </c>
      <c r="AF3584" t="s">
        <v>1165</v>
      </c>
      <c r="AI3584" s="21" t="s">
        <v>1165</v>
      </c>
      <c r="AJ3584" s="21" t="s">
        <v>1148</v>
      </c>
      <c r="AK3584">
        <v>1</v>
      </c>
      <c r="AN3584" s="21">
        <v>4</v>
      </c>
      <c r="AO3584" s="21">
        <v>25</v>
      </c>
      <c r="AP3584">
        <v>28</v>
      </c>
      <c r="AQ3584" s="22" t="s">
        <v>1283</v>
      </c>
      <c r="AR3584" s="21" t="s">
        <v>3130</v>
      </c>
    </row>
    <row r="3585" spans="1:44" x14ac:dyDescent="0.2">
      <c r="A3585" s="21" t="s">
        <v>1778</v>
      </c>
      <c r="B3585" s="21" t="s">
        <v>1146</v>
      </c>
      <c r="C3585" s="21" t="s">
        <v>1149</v>
      </c>
      <c r="D3585" s="21" t="s">
        <v>1774</v>
      </c>
      <c r="E3585" s="21" t="s">
        <v>3173</v>
      </c>
      <c r="G3585" s="21" t="s">
        <v>153</v>
      </c>
      <c r="H3585" s="21" t="s">
        <v>1165</v>
      </c>
      <c r="I3585" s="21" t="s">
        <v>3175</v>
      </c>
      <c r="L3585">
        <v>2550</v>
      </c>
      <c r="M3585" s="21" t="s">
        <v>3034</v>
      </c>
      <c r="O3585">
        <v>1988</v>
      </c>
      <c r="S3585" s="9" t="s">
        <v>3169</v>
      </c>
      <c r="T3585" t="s">
        <v>3127</v>
      </c>
      <c r="U3585" s="21" t="s">
        <v>1218</v>
      </c>
      <c r="V3585" s="9" t="s">
        <v>3132</v>
      </c>
      <c r="W3585">
        <f>7*12</f>
        <v>84</v>
      </c>
      <c r="X3585" s="9" t="s">
        <v>1294</v>
      </c>
      <c r="Z3585">
        <v>24</v>
      </c>
      <c r="AD3585" t="s">
        <v>1165</v>
      </c>
      <c r="AF3585" t="s">
        <v>1165</v>
      </c>
      <c r="AI3585" s="21" t="s">
        <v>1165</v>
      </c>
      <c r="AJ3585" s="21" t="s">
        <v>1148</v>
      </c>
      <c r="AK3585">
        <v>4</v>
      </c>
      <c r="AN3585" s="21">
        <v>4</v>
      </c>
      <c r="AO3585" s="21">
        <v>25</v>
      </c>
      <c r="AP3585">
        <v>28</v>
      </c>
      <c r="AQ3585" s="22" t="s">
        <v>1283</v>
      </c>
      <c r="AR3585" s="21" t="s">
        <v>3130</v>
      </c>
    </row>
    <row r="3586" spans="1:44" x14ac:dyDescent="0.2">
      <c r="A3586" s="21" t="s">
        <v>1778</v>
      </c>
      <c r="B3586" s="21" t="s">
        <v>1146</v>
      </c>
      <c r="C3586" s="21" t="s">
        <v>1149</v>
      </c>
      <c r="D3586" s="21" t="s">
        <v>1774</v>
      </c>
      <c r="E3586" s="21" t="s">
        <v>3173</v>
      </c>
      <c r="G3586" s="21" t="s">
        <v>153</v>
      </c>
      <c r="H3586" s="21" t="s">
        <v>1165</v>
      </c>
      <c r="I3586" s="21" t="s">
        <v>3175</v>
      </c>
      <c r="L3586">
        <v>2550</v>
      </c>
      <c r="M3586" s="21" t="s">
        <v>3034</v>
      </c>
      <c r="O3586">
        <v>1988</v>
      </c>
      <c r="S3586" s="9" t="s">
        <v>3169</v>
      </c>
      <c r="T3586" t="s">
        <v>3127</v>
      </c>
      <c r="U3586" s="21" t="s">
        <v>1218</v>
      </c>
      <c r="V3586" s="9" t="s">
        <v>3132</v>
      </c>
      <c r="W3586">
        <f>7*16</f>
        <v>112</v>
      </c>
      <c r="X3586" s="9" t="s">
        <v>1294</v>
      </c>
      <c r="Z3586">
        <v>24</v>
      </c>
      <c r="AD3586" t="s">
        <v>1165</v>
      </c>
      <c r="AF3586" t="s">
        <v>1165</v>
      </c>
      <c r="AI3586" s="21" t="s">
        <v>1165</v>
      </c>
      <c r="AJ3586" s="21" t="s">
        <v>1148</v>
      </c>
      <c r="AK3586">
        <v>11</v>
      </c>
      <c r="AN3586" s="21">
        <v>4</v>
      </c>
      <c r="AO3586" s="21">
        <v>25</v>
      </c>
      <c r="AP3586">
        <v>28</v>
      </c>
      <c r="AQ3586" s="22" t="s">
        <v>1283</v>
      </c>
      <c r="AR3586" s="21" t="s">
        <v>3130</v>
      </c>
    </row>
    <row r="3587" spans="1:44" x14ac:dyDescent="0.2">
      <c r="A3587" s="21" t="s">
        <v>1778</v>
      </c>
      <c r="B3587" s="21" t="s">
        <v>1146</v>
      </c>
      <c r="C3587" s="21" t="s">
        <v>1149</v>
      </c>
      <c r="D3587" s="21" t="s">
        <v>1774</v>
      </c>
      <c r="E3587" s="21" t="s">
        <v>3173</v>
      </c>
      <c r="G3587" s="21" t="s">
        <v>153</v>
      </c>
      <c r="H3587" s="21" t="s">
        <v>1165</v>
      </c>
      <c r="I3587" s="21" t="s">
        <v>3175</v>
      </c>
      <c r="L3587">
        <v>2550</v>
      </c>
      <c r="M3587" s="21" t="s">
        <v>3034</v>
      </c>
      <c r="O3587">
        <v>1988</v>
      </c>
      <c r="S3587" s="9" t="s">
        <v>3169</v>
      </c>
      <c r="T3587" t="s">
        <v>3127</v>
      </c>
      <c r="U3587" s="21" t="s">
        <v>1218</v>
      </c>
      <c r="V3587" s="9" t="s">
        <v>3132</v>
      </c>
      <c r="W3587">
        <f>7*24</f>
        <v>168</v>
      </c>
      <c r="X3587" s="9" t="s">
        <v>1294</v>
      </c>
      <c r="Z3587">
        <v>24</v>
      </c>
      <c r="AD3587" t="s">
        <v>1165</v>
      </c>
      <c r="AF3587" t="s">
        <v>1165</v>
      </c>
      <c r="AI3587" s="21" t="s">
        <v>1165</v>
      </c>
      <c r="AJ3587" s="21" t="s">
        <v>1148</v>
      </c>
      <c r="AK3587">
        <v>7</v>
      </c>
      <c r="AN3587" s="21">
        <v>4</v>
      </c>
      <c r="AO3587" s="21">
        <v>25</v>
      </c>
      <c r="AP3587">
        <v>28</v>
      </c>
      <c r="AQ3587" s="22" t="s">
        <v>1283</v>
      </c>
      <c r="AR3587" s="21" t="s">
        <v>3130</v>
      </c>
    </row>
    <row r="3588" spans="1:44" x14ac:dyDescent="0.2">
      <c r="A3588" s="21" t="s">
        <v>1778</v>
      </c>
      <c r="B3588" s="21" t="s">
        <v>1146</v>
      </c>
      <c r="C3588" s="21" t="s">
        <v>1149</v>
      </c>
      <c r="D3588" s="21" t="s">
        <v>1774</v>
      </c>
      <c r="E3588" s="21" t="s">
        <v>3173</v>
      </c>
      <c r="G3588" s="21" t="s">
        <v>153</v>
      </c>
      <c r="H3588" s="21" t="s">
        <v>1165</v>
      </c>
      <c r="I3588" s="21" t="s">
        <v>3175</v>
      </c>
      <c r="L3588">
        <v>2550</v>
      </c>
      <c r="M3588" s="21" t="s">
        <v>3034</v>
      </c>
      <c r="O3588">
        <v>1988</v>
      </c>
      <c r="S3588" s="9" t="s">
        <v>3169</v>
      </c>
      <c r="T3588" t="s">
        <v>3127</v>
      </c>
      <c r="U3588" s="21" t="s">
        <v>1218</v>
      </c>
      <c r="V3588" s="9" t="s">
        <v>3132</v>
      </c>
      <c r="W3588">
        <f>12*7</f>
        <v>84</v>
      </c>
      <c r="X3588" s="9" t="s">
        <v>1294</v>
      </c>
      <c r="Y3588" t="s">
        <v>3170</v>
      </c>
      <c r="Z3588">
        <v>24</v>
      </c>
      <c r="AD3588" t="s">
        <v>1165</v>
      </c>
      <c r="AF3588" t="s">
        <v>1165</v>
      </c>
      <c r="AI3588" s="21" t="s">
        <v>1165</v>
      </c>
      <c r="AJ3588" s="21" t="s">
        <v>1148</v>
      </c>
      <c r="AK3588">
        <v>5</v>
      </c>
      <c r="AN3588" s="21">
        <v>4</v>
      </c>
      <c r="AO3588" s="21">
        <v>25</v>
      </c>
      <c r="AP3588">
        <v>28</v>
      </c>
      <c r="AQ3588" s="22" t="s">
        <v>1283</v>
      </c>
      <c r="AR3588" s="21" t="s">
        <v>3130</v>
      </c>
    </row>
    <row r="3589" spans="1:44" x14ac:dyDescent="0.2">
      <c r="A3589" s="21" t="s">
        <v>1778</v>
      </c>
      <c r="B3589" s="21" t="s">
        <v>1146</v>
      </c>
      <c r="C3589" s="21" t="s">
        <v>1149</v>
      </c>
      <c r="D3589" s="21" t="s">
        <v>1774</v>
      </c>
      <c r="E3589" s="21" t="s">
        <v>3173</v>
      </c>
      <c r="G3589" s="21" t="s">
        <v>153</v>
      </c>
      <c r="H3589" s="21" t="s">
        <v>1165</v>
      </c>
      <c r="I3589" s="21" t="s">
        <v>3175</v>
      </c>
      <c r="L3589">
        <v>2550</v>
      </c>
      <c r="M3589" s="21" t="s">
        <v>3034</v>
      </c>
      <c r="O3589">
        <v>1988</v>
      </c>
      <c r="S3589" s="9" t="s">
        <v>3169</v>
      </c>
      <c r="T3589" t="s">
        <v>3127</v>
      </c>
      <c r="U3589" s="21" t="s">
        <v>1218</v>
      </c>
      <c r="V3589" s="9" t="s">
        <v>3132</v>
      </c>
      <c r="W3589">
        <f>12*7</f>
        <v>84</v>
      </c>
      <c r="X3589" s="9" t="s">
        <v>1294</v>
      </c>
      <c r="Y3589" t="s">
        <v>3134</v>
      </c>
      <c r="Z3589">
        <v>24</v>
      </c>
      <c r="AD3589" t="s">
        <v>1165</v>
      </c>
      <c r="AF3589" t="s">
        <v>1165</v>
      </c>
      <c r="AI3589" s="21" t="s">
        <v>1165</v>
      </c>
      <c r="AJ3589" s="21" t="s">
        <v>1148</v>
      </c>
      <c r="AK3589">
        <v>0</v>
      </c>
      <c r="AN3589" s="21">
        <v>4</v>
      </c>
      <c r="AO3589" s="21">
        <v>25</v>
      </c>
      <c r="AP3589">
        <v>28</v>
      </c>
      <c r="AQ3589" s="22" t="s">
        <v>1283</v>
      </c>
      <c r="AR3589" s="21" t="s">
        <v>3130</v>
      </c>
    </row>
    <row r="3590" spans="1:44" x14ac:dyDescent="0.2">
      <c r="A3590" s="21" t="s">
        <v>1778</v>
      </c>
      <c r="B3590" s="21" t="s">
        <v>1146</v>
      </c>
      <c r="C3590" s="21" t="s">
        <v>1149</v>
      </c>
      <c r="D3590" s="21" t="s">
        <v>1774</v>
      </c>
      <c r="E3590" s="21" t="s">
        <v>3173</v>
      </c>
      <c r="G3590" s="21" t="s">
        <v>153</v>
      </c>
      <c r="H3590" s="21" t="s">
        <v>1165</v>
      </c>
      <c r="I3590" s="21" t="s">
        <v>3175</v>
      </c>
      <c r="L3590">
        <v>2550</v>
      </c>
      <c r="M3590" s="21" t="s">
        <v>3034</v>
      </c>
      <c r="O3590">
        <v>1988</v>
      </c>
      <c r="S3590" s="9" t="s">
        <v>3169</v>
      </c>
      <c r="T3590" t="s">
        <v>3127</v>
      </c>
      <c r="U3590" s="21" t="s">
        <v>1218</v>
      </c>
      <c r="V3590" s="9" t="s">
        <v>3132</v>
      </c>
      <c r="W3590">
        <f>12*7</f>
        <v>84</v>
      </c>
      <c r="X3590" s="9" t="s">
        <v>1294</v>
      </c>
      <c r="Y3590" t="s">
        <v>3135</v>
      </c>
      <c r="Z3590">
        <v>24</v>
      </c>
      <c r="AD3590" t="s">
        <v>1165</v>
      </c>
      <c r="AF3590" t="s">
        <v>1165</v>
      </c>
      <c r="AI3590" s="21" t="s">
        <v>1165</v>
      </c>
      <c r="AJ3590" s="21" t="s">
        <v>1148</v>
      </c>
      <c r="AK3590">
        <v>1</v>
      </c>
      <c r="AN3590" s="21">
        <v>4</v>
      </c>
      <c r="AO3590" s="21">
        <v>25</v>
      </c>
      <c r="AP3590">
        <v>28</v>
      </c>
      <c r="AQ3590" s="22" t="s">
        <v>1283</v>
      </c>
      <c r="AR3590" s="21" t="s">
        <v>3130</v>
      </c>
    </row>
    <row r="3591" spans="1:44" x14ac:dyDescent="0.2">
      <c r="A3591" s="21" t="s">
        <v>1778</v>
      </c>
      <c r="B3591" s="21" t="s">
        <v>1146</v>
      </c>
      <c r="C3591" s="21" t="s">
        <v>1149</v>
      </c>
      <c r="D3591" s="21" t="s">
        <v>1774</v>
      </c>
      <c r="E3591" s="21" t="s">
        <v>3176</v>
      </c>
      <c r="G3591" s="21" t="s">
        <v>153</v>
      </c>
      <c r="H3591" s="21" t="s">
        <v>1165</v>
      </c>
      <c r="I3591" s="21" t="s">
        <v>3177</v>
      </c>
      <c r="L3591">
        <v>1710</v>
      </c>
      <c r="M3591" s="21" t="s">
        <v>3034</v>
      </c>
      <c r="O3591">
        <v>1988</v>
      </c>
      <c r="S3591" s="9" t="s">
        <v>3169</v>
      </c>
      <c r="T3591" t="s">
        <v>3127</v>
      </c>
      <c r="U3591" s="21" t="s">
        <v>1147</v>
      </c>
      <c r="Z3591">
        <v>24</v>
      </c>
      <c r="AD3591" t="s">
        <v>1165</v>
      </c>
      <c r="AF3591" t="s">
        <v>1165</v>
      </c>
      <c r="AI3591" s="21" t="s">
        <v>1165</v>
      </c>
      <c r="AJ3591" s="21" t="s">
        <v>1148</v>
      </c>
      <c r="AK3591">
        <v>0</v>
      </c>
      <c r="AN3591" s="21">
        <v>4</v>
      </c>
      <c r="AO3591" s="21">
        <v>25</v>
      </c>
      <c r="AP3591">
        <v>28</v>
      </c>
      <c r="AQ3591" s="22" t="s">
        <v>1283</v>
      </c>
      <c r="AR3591" s="21" t="s">
        <v>3130</v>
      </c>
    </row>
    <row r="3592" spans="1:44" x14ac:dyDescent="0.2">
      <c r="A3592" s="21" t="s">
        <v>1778</v>
      </c>
      <c r="B3592" s="21" t="s">
        <v>1146</v>
      </c>
      <c r="C3592" s="21" t="s">
        <v>1149</v>
      </c>
      <c r="D3592" s="21" t="s">
        <v>1774</v>
      </c>
      <c r="E3592" s="21" t="s">
        <v>3176</v>
      </c>
      <c r="G3592" s="21" t="s">
        <v>153</v>
      </c>
      <c r="H3592" s="21" t="s">
        <v>1165</v>
      </c>
      <c r="I3592" s="21" t="s">
        <v>3177</v>
      </c>
      <c r="L3592">
        <v>1710</v>
      </c>
      <c r="M3592" s="21" t="s">
        <v>3034</v>
      </c>
      <c r="O3592">
        <v>1988</v>
      </c>
      <c r="S3592" s="9" t="s">
        <v>3169</v>
      </c>
      <c r="T3592" t="s">
        <v>3127</v>
      </c>
      <c r="U3592" s="21" t="s">
        <v>1218</v>
      </c>
      <c r="V3592" s="9" t="s">
        <v>3132</v>
      </c>
      <c r="W3592">
        <v>28</v>
      </c>
      <c r="X3592" s="9" t="s">
        <v>1294</v>
      </c>
      <c r="Z3592">
        <v>24</v>
      </c>
      <c r="AD3592" t="s">
        <v>1165</v>
      </c>
      <c r="AF3592" t="s">
        <v>1165</v>
      </c>
      <c r="AI3592" s="21" t="s">
        <v>1165</v>
      </c>
      <c r="AJ3592" s="21" t="s">
        <v>1148</v>
      </c>
      <c r="AK3592">
        <v>1</v>
      </c>
      <c r="AN3592" s="21">
        <v>4</v>
      </c>
      <c r="AO3592" s="21">
        <v>25</v>
      </c>
      <c r="AP3592">
        <v>28</v>
      </c>
      <c r="AQ3592" s="22" t="s">
        <v>1283</v>
      </c>
      <c r="AR3592" s="21" t="s">
        <v>3130</v>
      </c>
    </row>
    <row r="3593" spans="1:44" x14ac:dyDescent="0.2">
      <c r="A3593" s="21" t="s">
        <v>1778</v>
      </c>
      <c r="B3593" s="21" t="s">
        <v>1146</v>
      </c>
      <c r="C3593" s="21" t="s">
        <v>1149</v>
      </c>
      <c r="D3593" s="21" t="s">
        <v>1774</v>
      </c>
      <c r="E3593" s="21" t="s">
        <v>3176</v>
      </c>
      <c r="G3593" s="21" t="s">
        <v>153</v>
      </c>
      <c r="H3593" s="21" t="s">
        <v>1165</v>
      </c>
      <c r="I3593" s="21" t="s">
        <v>3177</v>
      </c>
      <c r="L3593">
        <v>1710</v>
      </c>
      <c r="M3593" s="21" t="s">
        <v>3034</v>
      </c>
      <c r="O3593">
        <v>1988</v>
      </c>
      <c r="S3593" s="9" t="s">
        <v>3169</v>
      </c>
      <c r="T3593" t="s">
        <v>3127</v>
      </c>
      <c r="U3593" s="21" t="s">
        <v>1218</v>
      </c>
      <c r="V3593" s="9" t="s">
        <v>3132</v>
      </c>
      <c r="W3593">
        <f>56</f>
        <v>56</v>
      </c>
      <c r="X3593" s="9" t="s">
        <v>1294</v>
      </c>
      <c r="Z3593">
        <v>24</v>
      </c>
      <c r="AD3593" t="s">
        <v>1165</v>
      </c>
      <c r="AF3593" t="s">
        <v>1165</v>
      </c>
      <c r="AI3593" s="21" t="s">
        <v>1165</v>
      </c>
      <c r="AJ3593" s="21" t="s">
        <v>1148</v>
      </c>
      <c r="AK3593">
        <v>8</v>
      </c>
      <c r="AN3593" s="21">
        <v>4</v>
      </c>
      <c r="AO3593" s="21">
        <v>25</v>
      </c>
      <c r="AP3593">
        <v>28</v>
      </c>
      <c r="AQ3593" s="22" t="s">
        <v>1283</v>
      </c>
      <c r="AR3593" s="21" t="s">
        <v>3130</v>
      </c>
    </row>
    <row r="3594" spans="1:44" x14ac:dyDescent="0.2">
      <c r="A3594" s="21" t="s">
        <v>1778</v>
      </c>
      <c r="B3594" s="21" t="s">
        <v>1146</v>
      </c>
      <c r="C3594" s="21" t="s">
        <v>1149</v>
      </c>
      <c r="D3594" s="21" t="s">
        <v>1774</v>
      </c>
      <c r="E3594" s="21" t="s">
        <v>3176</v>
      </c>
      <c r="G3594" s="21" t="s">
        <v>153</v>
      </c>
      <c r="H3594" s="21" t="s">
        <v>1165</v>
      </c>
      <c r="I3594" s="21" t="s">
        <v>3177</v>
      </c>
      <c r="L3594">
        <v>1710</v>
      </c>
      <c r="M3594" s="21" t="s">
        <v>3034</v>
      </c>
      <c r="O3594">
        <v>1988</v>
      </c>
      <c r="S3594" s="9" t="s">
        <v>3169</v>
      </c>
      <c r="T3594" t="s">
        <v>3127</v>
      </c>
      <c r="U3594" s="21" t="s">
        <v>1218</v>
      </c>
      <c r="V3594" s="9" t="s">
        <v>3132</v>
      </c>
      <c r="W3594">
        <f>7*12</f>
        <v>84</v>
      </c>
      <c r="X3594" s="9" t="s">
        <v>1294</v>
      </c>
      <c r="Z3594">
        <v>24</v>
      </c>
      <c r="AD3594" t="s">
        <v>1165</v>
      </c>
      <c r="AF3594" t="s">
        <v>1165</v>
      </c>
      <c r="AI3594" s="21" t="s">
        <v>1165</v>
      </c>
      <c r="AJ3594" s="21" t="s">
        <v>1148</v>
      </c>
      <c r="AK3594">
        <v>31</v>
      </c>
      <c r="AN3594" s="21">
        <v>4</v>
      </c>
      <c r="AO3594" s="21">
        <v>25</v>
      </c>
      <c r="AP3594">
        <v>28</v>
      </c>
      <c r="AQ3594" s="22" t="s">
        <v>1283</v>
      </c>
      <c r="AR3594" s="21" t="s">
        <v>3130</v>
      </c>
    </row>
    <row r="3595" spans="1:44" x14ac:dyDescent="0.2">
      <c r="A3595" s="21" t="s">
        <v>1778</v>
      </c>
      <c r="B3595" s="21" t="s">
        <v>1146</v>
      </c>
      <c r="C3595" s="21" t="s">
        <v>1149</v>
      </c>
      <c r="D3595" s="21" t="s">
        <v>1774</v>
      </c>
      <c r="E3595" s="21" t="s">
        <v>3176</v>
      </c>
      <c r="G3595" s="21" t="s">
        <v>153</v>
      </c>
      <c r="H3595" s="21" t="s">
        <v>1165</v>
      </c>
      <c r="I3595" s="21" t="s">
        <v>3177</v>
      </c>
      <c r="L3595">
        <v>1710</v>
      </c>
      <c r="M3595" s="21" t="s">
        <v>3034</v>
      </c>
      <c r="O3595">
        <v>1988</v>
      </c>
      <c r="S3595" s="9" t="s">
        <v>3169</v>
      </c>
      <c r="T3595" t="s">
        <v>3127</v>
      </c>
      <c r="U3595" s="21" t="s">
        <v>1218</v>
      </c>
      <c r="V3595" s="9" t="s">
        <v>3132</v>
      </c>
      <c r="W3595">
        <f>7*16</f>
        <v>112</v>
      </c>
      <c r="X3595" s="9" t="s">
        <v>1294</v>
      </c>
      <c r="Z3595">
        <v>24</v>
      </c>
      <c r="AD3595" t="s">
        <v>1165</v>
      </c>
      <c r="AF3595" t="s">
        <v>1165</v>
      </c>
      <c r="AI3595" s="21" t="s">
        <v>1165</v>
      </c>
      <c r="AJ3595" s="21" t="s">
        <v>1148</v>
      </c>
      <c r="AK3595">
        <v>36</v>
      </c>
      <c r="AN3595" s="21">
        <v>4</v>
      </c>
      <c r="AO3595" s="21">
        <v>25</v>
      </c>
      <c r="AP3595">
        <v>28</v>
      </c>
      <c r="AQ3595" s="22" t="s">
        <v>1283</v>
      </c>
      <c r="AR3595" s="21" t="s">
        <v>3130</v>
      </c>
    </row>
    <row r="3596" spans="1:44" x14ac:dyDescent="0.2">
      <c r="A3596" s="21" t="s">
        <v>1778</v>
      </c>
      <c r="B3596" s="21" t="s">
        <v>1146</v>
      </c>
      <c r="C3596" s="21" t="s">
        <v>1149</v>
      </c>
      <c r="D3596" s="21" t="s">
        <v>1774</v>
      </c>
      <c r="E3596" s="21" t="s">
        <v>3176</v>
      </c>
      <c r="G3596" s="21" t="s">
        <v>153</v>
      </c>
      <c r="H3596" s="21" t="s">
        <v>1165</v>
      </c>
      <c r="I3596" s="21" t="s">
        <v>3177</v>
      </c>
      <c r="L3596">
        <v>1710</v>
      </c>
      <c r="M3596" s="21" t="s">
        <v>3034</v>
      </c>
      <c r="O3596">
        <v>1988</v>
      </c>
      <c r="S3596" s="9" t="s">
        <v>3169</v>
      </c>
      <c r="T3596" t="s">
        <v>3127</v>
      </c>
      <c r="U3596" s="21" t="s">
        <v>1218</v>
      </c>
      <c r="V3596" s="9" t="s">
        <v>3132</v>
      </c>
      <c r="W3596">
        <f>7*24</f>
        <v>168</v>
      </c>
      <c r="X3596" s="9" t="s">
        <v>1294</v>
      </c>
      <c r="Z3596">
        <v>24</v>
      </c>
      <c r="AD3596" t="s">
        <v>1165</v>
      </c>
      <c r="AF3596" t="s">
        <v>1165</v>
      </c>
      <c r="AI3596" s="21" t="s">
        <v>1165</v>
      </c>
      <c r="AJ3596" s="21" t="s">
        <v>1148</v>
      </c>
      <c r="AK3596">
        <v>38</v>
      </c>
      <c r="AN3596" s="21">
        <v>4</v>
      </c>
      <c r="AO3596" s="21">
        <v>25</v>
      </c>
      <c r="AP3596">
        <v>28</v>
      </c>
      <c r="AQ3596" s="22" t="s">
        <v>1283</v>
      </c>
      <c r="AR3596" s="21" t="s">
        <v>3130</v>
      </c>
    </row>
    <row r="3597" spans="1:44" x14ac:dyDescent="0.2">
      <c r="A3597" s="21" t="s">
        <v>1778</v>
      </c>
      <c r="B3597" s="21" t="s">
        <v>1146</v>
      </c>
      <c r="C3597" s="21" t="s">
        <v>1149</v>
      </c>
      <c r="D3597" s="21" t="s">
        <v>1774</v>
      </c>
      <c r="E3597" s="21" t="s">
        <v>3176</v>
      </c>
      <c r="G3597" s="21" t="s">
        <v>153</v>
      </c>
      <c r="H3597" s="21" t="s">
        <v>1165</v>
      </c>
      <c r="I3597" s="21" t="s">
        <v>3177</v>
      </c>
      <c r="L3597">
        <v>1710</v>
      </c>
      <c r="M3597" s="21" t="s">
        <v>3034</v>
      </c>
      <c r="O3597">
        <v>1988</v>
      </c>
      <c r="S3597" s="9" t="s">
        <v>3169</v>
      </c>
      <c r="T3597" t="s">
        <v>3127</v>
      </c>
      <c r="U3597" s="21" t="s">
        <v>1218</v>
      </c>
      <c r="V3597" s="9" t="s">
        <v>3132</v>
      </c>
      <c r="W3597">
        <f>12*7</f>
        <v>84</v>
      </c>
      <c r="X3597" s="9" t="s">
        <v>1294</v>
      </c>
      <c r="Y3597" t="s">
        <v>3170</v>
      </c>
      <c r="Z3597">
        <v>24</v>
      </c>
      <c r="AD3597" t="s">
        <v>1165</v>
      </c>
      <c r="AF3597" t="s">
        <v>1165</v>
      </c>
      <c r="AI3597" s="21" t="s">
        <v>1165</v>
      </c>
      <c r="AJ3597" s="21" t="s">
        <v>1148</v>
      </c>
      <c r="AK3597">
        <v>57</v>
      </c>
      <c r="AN3597" s="21">
        <v>4</v>
      </c>
      <c r="AO3597" s="21">
        <v>25</v>
      </c>
      <c r="AP3597">
        <v>28</v>
      </c>
      <c r="AQ3597" s="22" t="s">
        <v>1283</v>
      </c>
      <c r="AR3597" s="21" t="s">
        <v>3130</v>
      </c>
    </row>
    <row r="3598" spans="1:44" x14ac:dyDescent="0.2">
      <c r="A3598" s="21" t="s">
        <v>1778</v>
      </c>
      <c r="B3598" s="21" t="s">
        <v>1146</v>
      </c>
      <c r="C3598" s="21" t="s">
        <v>1149</v>
      </c>
      <c r="D3598" s="21" t="s">
        <v>1774</v>
      </c>
      <c r="E3598" s="21" t="s">
        <v>3176</v>
      </c>
      <c r="G3598" s="21" t="s">
        <v>153</v>
      </c>
      <c r="H3598" s="21" t="s">
        <v>1165</v>
      </c>
      <c r="I3598" s="21" t="s">
        <v>3177</v>
      </c>
      <c r="L3598">
        <v>1710</v>
      </c>
      <c r="M3598" s="21" t="s">
        <v>3034</v>
      </c>
      <c r="O3598">
        <v>1988</v>
      </c>
      <c r="S3598" s="9" t="s">
        <v>3169</v>
      </c>
      <c r="T3598" t="s">
        <v>3127</v>
      </c>
      <c r="U3598" s="21" t="s">
        <v>1218</v>
      </c>
      <c r="V3598" s="9" t="s">
        <v>3132</v>
      </c>
      <c r="W3598">
        <f>12*7</f>
        <v>84</v>
      </c>
      <c r="X3598" s="9" t="s">
        <v>1294</v>
      </c>
      <c r="Y3598" t="s">
        <v>3134</v>
      </c>
      <c r="Z3598">
        <v>24</v>
      </c>
      <c r="AD3598" t="s">
        <v>1165</v>
      </c>
      <c r="AF3598" t="s">
        <v>1165</v>
      </c>
      <c r="AI3598" s="21" t="s">
        <v>1165</v>
      </c>
      <c r="AJ3598" s="21" t="s">
        <v>1148</v>
      </c>
      <c r="AK3598">
        <v>7</v>
      </c>
      <c r="AN3598" s="21">
        <v>4</v>
      </c>
      <c r="AO3598" s="21">
        <v>25</v>
      </c>
      <c r="AP3598">
        <v>28</v>
      </c>
      <c r="AQ3598" s="22" t="s">
        <v>1283</v>
      </c>
      <c r="AR3598" s="21" t="s">
        <v>3130</v>
      </c>
    </row>
    <row r="3599" spans="1:44" x14ac:dyDescent="0.2">
      <c r="A3599" s="21" t="s">
        <v>1778</v>
      </c>
      <c r="B3599" s="21" t="s">
        <v>1146</v>
      </c>
      <c r="C3599" s="21" t="s">
        <v>1149</v>
      </c>
      <c r="D3599" s="21" t="s">
        <v>1774</v>
      </c>
      <c r="E3599" s="21" t="s">
        <v>3176</v>
      </c>
      <c r="G3599" s="21" t="s">
        <v>153</v>
      </c>
      <c r="H3599" s="21" t="s">
        <v>1165</v>
      </c>
      <c r="I3599" s="21" t="s">
        <v>3177</v>
      </c>
      <c r="L3599">
        <v>1710</v>
      </c>
      <c r="M3599" s="21" t="s">
        <v>3034</v>
      </c>
      <c r="O3599">
        <v>1988</v>
      </c>
      <c r="S3599" s="9" t="s">
        <v>3169</v>
      </c>
      <c r="T3599" t="s">
        <v>3127</v>
      </c>
      <c r="U3599" s="21" t="s">
        <v>1218</v>
      </c>
      <c r="V3599" s="9" t="s">
        <v>3132</v>
      </c>
      <c r="W3599">
        <f>12*7</f>
        <v>84</v>
      </c>
      <c r="X3599" s="9" t="s">
        <v>1294</v>
      </c>
      <c r="Y3599" t="s">
        <v>3135</v>
      </c>
      <c r="Z3599">
        <v>24</v>
      </c>
      <c r="AD3599" t="s">
        <v>1165</v>
      </c>
      <c r="AF3599" t="s">
        <v>1165</v>
      </c>
      <c r="AI3599" s="21" t="s">
        <v>1165</v>
      </c>
      <c r="AJ3599" s="21" t="s">
        <v>1148</v>
      </c>
      <c r="AK3599">
        <v>11</v>
      </c>
      <c r="AN3599" s="21">
        <v>4</v>
      </c>
      <c r="AO3599" s="21">
        <v>25</v>
      </c>
      <c r="AP3599">
        <v>28</v>
      </c>
      <c r="AQ3599" s="22" t="s">
        <v>1283</v>
      </c>
      <c r="AR3599" s="21" t="s">
        <v>3130</v>
      </c>
    </row>
    <row r="3600" spans="1:44" x14ac:dyDescent="0.2">
      <c r="A3600" s="21" t="s">
        <v>1778</v>
      </c>
      <c r="B3600" s="21" t="s">
        <v>1146</v>
      </c>
      <c r="C3600" s="21" t="s">
        <v>1149</v>
      </c>
      <c r="D3600" s="21" t="s">
        <v>1774</v>
      </c>
      <c r="E3600" s="21" t="s">
        <v>3178</v>
      </c>
      <c r="G3600" s="21" t="s">
        <v>153</v>
      </c>
      <c r="H3600" s="21" t="s">
        <v>1165</v>
      </c>
      <c r="I3600" s="21" t="s">
        <v>3179</v>
      </c>
      <c r="L3600">
        <v>1740</v>
      </c>
      <c r="M3600" s="21" t="s">
        <v>3034</v>
      </c>
      <c r="O3600">
        <v>1988</v>
      </c>
      <c r="S3600" s="9" t="s">
        <v>3169</v>
      </c>
      <c r="T3600" t="s">
        <v>3127</v>
      </c>
      <c r="U3600" s="21" t="s">
        <v>1147</v>
      </c>
      <c r="Z3600">
        <v>24</v>
      </c>
      <c r="AD3600" t="s">
        <v>1165</v>
      </c>
      <c r="AF3600" t="s">
        <v>1165</v>
      </c>
      <c r="AI3600" s="21" t="s">
        <v>1165</v>
      </c>
      <c r="AJ3600" s="21" t="s">
        <v>1148</v>
      </c>
      <c r="AK3600">
        <v>1</v>
      </c>
      <c r="AN3600" s="21">
        <v>4</v>
      </c>
      <c r="AO3600" s="21">
        <v>25</v>
      </c>
      <c r="AP3600">
        <v>28</v>
      </c>
      <c r="AQ3600" s="22" t="s">
        <v>1283</v>
      </c>
      <c r="AR3600" s="21" t="s">
        <v>3130</v>
      </c>
    </row>
    <row r="3601" spans="1:44" x14ac:dyDescent="0.2">
      <c r="A3601" s="21" t="s">
        <v>1778</v>
      </c>
      <c r="B3601" s="21" t="s">
        <v>1146</v>
      </c>
      <c r="C3601" s="21" t="s">
        <v>1149</v>
      </c>
      <c r="D3601" s="21" t="s">
        <v>1774</v>
      </c>
      <c r="E3601" s="21" t="s">
        <v>3178</v>
      </c>
      <c r="G3601" s="21" t="s">
        <v>153</v>
      </c>
      <c r="H3601" s="21" t="s">
        <v>1165</v>
      </c>
      <c r="I3601" s="21" t="s">
        <v>3179</v>
      </c>
      <c r="L3601">
        <v>1740</v>
      </c>
      <c r="M3601" s="21" t="s">
        <v>3034</v>
      </c>
      <c r="O3601">
        <v>1988</v>
      </c>
      <c r="S3601" s="9" t="s">
        <v>3169</v>
      </c>
      <c r="T3601" t="s">
        <v>3127</v>
      </c>
      <c r="U3601" s="21" t="s">
        <v>1218</v>
      </c>
      <c r="V3601" s="9" t="s">
        <v>3132</v>
      </c>
      <c r="W3601">
        <v>28</v>
      </c>
      <c r="X3601" s="9" t="s">
        <v>1294</v>
      </c>
      <c r="Z3601">
        <v>24</v>
      </c>
      <c r="AD3601" t="s">
        <v>1165</v>
      </c>
      <c r="AF3601" t="s">
        <v>1165</v>
      </c>
      <c r="AI3601" s="21" t="s">
        <v>1165</v>
      </c>
      <c r="AJ3601" s="21" t="s">
        <v>1148</v>
      </c>
      <c r="AK3601">
        <v>2</v>
      </c>
      <c r="AN3601" s="21">
        <v>4</v>
      </c>
      <c r="AO3601" s="21">
        <v>25</v>
      </c>
      <c r="AP3601">
        <v>28</v>
      </c>
      <c r="AQ3601" s="22" t="s">
        <v>1283</v>
      </c>
      <c r="AR3601" s="21" t="s">
        <v>3130</v>
      </c>
    </row>
    <row r="3602" spans="1:44" x14ac:dyDescent="0.2">
      <c r="A3602" s="21" t="s">
        <v>1778</v>
      </c>
      <c r="B3602" s="21" t="s">
        <v>1146</v>
      </c>
      <c r="C3602" s="21" t="s">
        <v>1149</v>
      </c>
      <c r="D3602" s="21" t="s">
        <v>1774</v>
      </c>
      <c r="E3602" s="21" t="s">
        <v>3178</v>
      </c>
      <c r="G3602" s="21" t="s">
        <v>153</v>
      </c>
      <c r="H3602" s="21" t="s">
        <v>1165</v>
      </c>
      <c r="I3602" s="21" t="s">
        <v>3179</v>
      </c>
      <c r="L3602">
        <v>1740</v>
      </c>
      <c r="M3602" s="21" t="s">
        <v>3034</v>
      </c>
      <c r="O3602">
        <v>1988</v>
      </c>
      <c r="S3602" s="9" t="s">
        <v>3169</v>
      </c>
      <c r="T3602" t="s">
        <v>3127</v>
      </c>
      <c r="U3602" s="21" t="s">
        <v>1218</v>
      </c>
      <c r="V3602" s="9" t="s">
        <v>3132</v>
      </c>
      <c r="W3602">
        <f>56</f>
        <v>56</v>
      </c>
      <c r="X3602" s="9" t="s">
        <v>1294</v>
      </c>
      <c r="Z3602">
        <v>24</v>
      </c>
      <c r="AD3602" t="s">
        <v>1165</v>
      </c>
      <c r="AF3602" t="s">
        <v>1165</v>
      </c>
      <c r="AI3602" s="21" t="s">
        <v>1165</v>
      </c>
      <c r="AJ3602" s="21" t="s">
        <v>1148</v>
      </c>
      <c r="AK3602">
        <v>0</v>
      </c>
      <c r="AN3602" s="21">
        <v>4</v>
      </c>
      <c r="AO3602" s="21">
        <v>25</v>
      </c>
      <c r="AP3602">
        <v>28</v>
      </c>
      <c r="AQ3602" s="22" t="s">
        <v>1283</v>
      </c>
      <c r="AR3602" s="21" t="s">
        <v>3130</v>
      </c>
    </row>
    <row r="3603" spans="1:44" x14ac:dyDescent="0.2">
      <c r="A3603" s="21" t="s">
        <v>1778</v>
      </c>
      <c r="B3603" s="21" t="s">
        <v>1146</v>
      </c>
      <c r="C3603" s="21" t="s">
        <v>1149</v>
      </c>
      <c r="D3603" s="21" t="s">
        <v>1774</v>
      </c>
      <c r="E3603" s="21" t="s">
        <v>3178</v>
      </c>
      <c r="G3603" s="21" t="s">
        <v>153</v>
      </c>
      <c r="H3603" s="21" t="s">
        <v>1165</v>
      </c>
      <c r="I3603" s="21" t="s">
        <v>3179</v>
      </c>
      <c r="L3603">
        <v>1740</v>
      </c>
      <c r="M3603" s="21" t="s">
        <v>3034</v>
      </c>
      <c r="O3603">
        <v>1988</v>
      </c>
      <c r="S3603" s="9" t="s">
        <v>3169</v>
      </c>
      <c r="T3603" t="s">
        <v>3127</v>
      </c>
      <c r="U3603" s="21" t="s">
        <v>1218</v>
      </c>
      <c r="V3603" s="9" t="s">
        <v>3132</v>
      </c>
      <c r="W3603">
        <f>7*12</f>
        <v>84</v>
      </c>
      <c r="X3603" s="9" t="s">
        <v>1294</v>
      </c>
      <c r="Z3603">
        <v>24</v>
      </c>
      <c r="AD3603" t="s">
        <v>1165</v>
      </c>
      <c r="AF3603" t="s">
        <v>1165</v>
      </c>
      <c r="AI3603" s="21" t="s">
        <v>1165</v>
      </c>
      <c r="AJ3603" s="21" t="s">
        <v>1148</v>
      </c>
      <c r="AK3603">
        <v>23</v>
      </c>
      <c r="AN3603" s="21">
        <v>4</v>
      </c>
      <c r="AO3603" s="21">
        <v>25</v>
      </c>
      <c r="AP3603">
        <v>28</v>
      </c>
      <c r="AQ3603" s="22" t="s">
        <v>1283</v>
      </c>
      <c r="AR3603" s="21" t="s">
        <v>3130</v>
      </c>
    </row>
    <row r="3604" spans="1:44" x14ac:dyDescent="0.2">
      <c r="A3604" s="21" t="s">
        <v>1778</v>
      </c>
      <c r="B3604" s="21" t="s">
        <v>1146</v>
      </c>
      <c r="C3604" s="21" t="s">
        <v>1149</v>
      </c>
      <c r="D3604" s="21" t="s">
        <v>1774</v>
      </c>
      <c r="E3604" s="21" t="s">
        <v>3178</v>
      </c>
      <c r="G3604" s="21" t="s">
        <v>153</v>
      </c>
      <c r="H3604" s="21" t="s">
        <v>1165</v>
      </c>
      <c r="I3604" s="21" t="s">
        <v>3179</v>
      </c>
      <c r="L3604">
        <v>1740</v>
      </c>
      <c r="M3604" s="21" t="s">
        <v>3034</v>
      </c>
      <c r="O3604">
        <v>1988</v>
      </c>
      <c r="S3604" s="9" t="s">
        <v>3169</v>
      </c>
      <c r="T3604" t="s">
        <v>3127</v>
      </c>
      <c r="U3604" s="21" t="s">
        <v>1218</v>
      </c>
      <c r="V3604" s="9" t="s">
        <v>3132</v>
      </c>
      <c r="W3604">
        <f>7*16</f>
        <v>112</v>
      </c>
      <c r="X3604" s="9" t="s">
        <v>1294</v>
      </c>
      <c r="Z3604">
        <v>24</v>
      </c>
      <c r="AD3604" t="s">
        <v>1165</v>
      </c>
      <c r="AF3604" t="s">
        <v>1165</v>
      </c>
      <c r="AI3604" s="21" t="s">
        <v>1165</v>
      </c>
      <c r="AJ3604" s="21" t="s">
        <v>1148</v>
      </c>
      <c r="AK3604">
        <v>58</v>
      </c>
      <c r="AN3604" s="21">
        <v>4</v>
      </c>
      <c r="AO3604" s="21">
        <v>25</v>
      </c>
      <c r="AP3604">
        <v>28</v>
      </c>
      <c r="AQ3604" s="22" t="s">
        <v>1283</v>
      </c>
      <c r="AR3604" s="21" t="s">
        <v>3130</v>
      </c>
    </row>
    <row r="3605" spans="1:44" x14ac:dyDescent="0.2">
      <c r="A3605" s="21" t="s">
        <v>1778</v>
      </c>
      <c r="B3605" s="21" t="s">
        <v>1146</v>
      </c>
      <c r="C3605" s="21" t="s">
        <v>1149</v>
      </c>
      <c r="D3605" s="21" t="s">
        <v>1774</v>
      </c>
      <c r="E3605" s="21" t="s">
        <v>3178</v>
      </c>
      <c r="G3605" s="21" t="s">
        <v>153</v>
      </c>
      <c r="H3605" s="21" t="s">
        <v>1165</v>
      </c>
      <c r="I3605" s="21" t="s">
        <v>3179</v>
      </c>
      <c r="L3605">
        <v>1740</v>
      </c>
      <c r="M3605" s="21" t="s">
        <v>3034</v>
      </c>
      <c r="O3605">
        <v>1988</v>
      </c>
      <c r="S3605" s="9" t="s">
        <v>3169</v>
      </c>
      <c r="T3605" t="s">
        <v>3127</v>
      </c>
      <c r="U3605" s="21" t="s">
        <v>1218</v>
      </c>
      <c r="V3605" s="9" t="s">
        <v>3132</v>
      </c>
      <c r="W3605">
        <f>7*24</f>
        <v>168</v>
      </c>
      <c r="X3605" s="9" t="s">
        <v>1294</v>
      </c>
      <c r="Z3605">
        <v>24</v>
      </c>
      <c r="AD3605" t="s">
        <v>1165</v>
      </c>
      <c r="AF3605" t="s">
        <v>1165</v>
      </c>
      <c r="AI3605" s="21" t="s">
        <v>1165</v>
      </c>
      <c r="AJ3605" s="21" t="s">
        <v>1148</v>
      </c>
      <c r="AK3605">
        <v>46</v>
      </c>
      <c r="AN3605" s="21">
        <v>4</v>
      </c>
      <c r="AO3605" s="21">
        <v>25</v>
      </c>
      <c r="AP3605">
        <v>28</v>
      </c>
      <c r="AQ3605" s="22" t="s">
        <v>1283</v>
      </c>
      <c r="AR3605" s="21" t="s">
        <v>3130</v>
      </c>
    </row>
    <row r="3606" spans="1:44" x14ac:dyDescent="0.2">
      <c r="A3606" s="21" t="s">
        <v>1778</v>
      </c>
      <c r="B3606" s="21" t="s">
        <v>1146</v>
      </c>
      <c r="C3606" s="21" t="s">
        <v>1149</v>
      </c>
      <c r="D3606" s="21" t="s">
        <v>1774</v>
      </c>
      <c r="E3606" s="21" t="s">
        <v>3178</v>
      </c>
      <c r="G3606" s="21" t="s">
        <v>153</v>
      </c>
      <c r="H3606" s="21" t="s">
        <v>1165</v>
      </c>
      <c r="I3606" s="21" t="s">
        <v>3179</v>
      </c>
      <c r="L3606">
        <v>1740</v>
      </c>
      <c r="M3606" s="21" t="s">
        <v>3034</v>
      </c>
      <c r="O3606">
        <v>1988</v>
      </c>
      <c r="S3606" s="9" t="s">
        <v>3169</v>
      </c>
      <c r="T3606" t="s">
        <v>3127</v>
      </c>
      <c r="U3606" s="21" t="s">
        <v>1218</v>
      </c>
      <c r="V3606" s="9" t="s">
        <v>3132</v>
      </c>
      <c r="W3606">
        <f>12*7</f>
        <v>84</v>
      </c>
      <c r="X3606" s="9" t="s">
        <v>1294</v>
      </c>
      <c r="Y3606" t="s">
        <v>3170</v>
      </c>
      <c r="Z3606">
        <v>24</v>
      </c>
      <c r="AD3606" t="s">
        <v>1165</v>
      </c>
      <c r="AF3606" t="s">
        <v>1165</v>
      </c>
      <c r="AI3606" s="21" t="s">
        <v>1165</v>
      </c>
      <c r="AJ3606" s="21" t="s">
        <v>1148</v>
      </c>
      <c r="AK3606">
        <v>53</v>
      </c>
      <c r="AN3606" s="21">
        <v>4</v>
      </c>
      <c r="AO3606" s="21">
        <v>25</v>
      </c>
      <c r="AP3606">
        <v>28</v>
      </c>
      <c r="AQ3606" s="22" t="s">
        <v>1283</v>
      </c>
      <c r="AR3606" s="21" t="s">
        <v>3130</v>
      </c>
    </row>
    <row r="3607" spans="1:44" x14ac:dyDescent="0.2">
      <c r="A3607" s="21" t="s">
        <v>1778</v>
      </c>
      <c r="B3607" s="21" t="s">
        <v>1146</v>
      </c>
      <c r="C3607" s="21" t="s">
        <v>1149</v>
      </c>
      <c r="D3607" s="21" t="s">
        <v>1774</v>
      </c>
      <c r="E3607" s="21" t="s">
        <v>3178</v>
      </c>
      <c r="G3607" s="21" t="s">
        <v>153</v>
      </c>
      <c r="H3607" s="21" t="s">
        <v>1165</v>
      </c>
      <c r="I3607" s="21" t="s">
        <v>3179</v>
      </c>
      <c r="L3607">
        <v>1740</v>
      </c>
      <c r="M3607" s="21" t="s">
        <v>3034</v>
      </c>
      <c r="O3607">
        <v>1988</v>
      </c>
      <c r="S3607" s="9" t="s">
        <v>3169</v>
      </c>
      <c r="T3607" t="s">
        <v>3127</v>
      </c>
      <c r="U3607" s="21" t="s">
        <v>1218</v>
      </c>
      <c r="V3607" s="9" t="s">
        <v>3132</v>
      </c>
      <c r="W3607">
        <f>12*7</f>
        <v>84</v>
      </c>
      <c r="X3607" s="9" t="s">
        <v>1294</v>
      </c>
      <c r="Y3607" t="s">
        <v>3134</v>
      </c>
      <c r="Z3607">
        <v>24</v>
      </c>
      <c r="AD3607" t="s">
        <v>1165</v>
      </c>
      <c r="AF3607" t="s">
        <v>1165</v>
      </c>
      <c r="AI3607" s="21" t="s">
        <v>1165</v>
      </c>
      <c r="AJ3607" s="21" t="s">
        <v>1148</v>
      </c>
      <c r="AK3607">
        <v>9</v>
      </c>
      <c r="AN3607" s="21">
        <v>4</v>
      </c>
      <c r="AO3607" s="21">
        <v>25</v>
      </c>
      <c r="AP3607">
        <v>28</v>
      </c>
      <c r="AQ3607" s="22" t="s">
        <v>1283</v>
      </c>
      <c r="AR3607" s="21" t="s">
        <v>3130</v>
      </c>
    </row>
    <row r="3608" spans="1:44" x14ac:dyDescent="0.2">
      <c r="A3608" s="21" t="s">
        <v>1778</v>
      </c>
      <c r="B3608" s="21" t="s">
        <v>1146</v>
      </c>
      <c r="C3608" s="21" t="s">
        <v>1149</v>
      </c>
      <c r="D3608" s="21" t="s">
        <v>1774</v>
      </c>
      <c r="E3608" s="21" t="s">
        <v>3178</v>
      </c>
      <c r="G3608" s="21" t="s">
        <v>153</v>
      </c>
      <c r="H3608" s="21" t="s">
        <v>1165</v>
      </c>
      <c r="I3608" s="21" t="s">
        <v>3179</v>
      </c>
      <c r="L3608">
        <v>1740</v>
      </c>
      <c r="M3608" s="21" t="s">
        <v>3034</v>
      </c>
      <c r="O3608">
        <v>1988</v>
      </c>
      <c r="S3608" s="9" t="s">
        <v>3169</v>
      </c>
      <c r="T3608" t="s">
        <v>3127</v>
      </c>
      <c r="U3608" s="21" t="s">
        <v>1218</v>
      </c>
      <c r="V3608" s="9" t="s">
        <v>3132</v>
      </c>
      <c r="W3608">
        <f>12*7</f>
        <v>84</v>
      </c>
      <c r="X3608" s="9" t="s">
        <v>1294</v>
      </c>
      <c r="Y3608" t="s">
        <v>3135</v>
      </c>
      <c r="Z3608">
        <v>24</v>
      </c>
      <c r="AD3608" t="s">
        <v>1165</v>
      </c>
      <c r="AF3608" t="s">
        <v>1165</v>
      </c>
      <c r="AI3608" s="21" t="s">
        <v>1165</v>
      </c>
      <c r="AJ3608" s="21" t="s">
        <v>1148</v>
      </c>
      <c r="AK3608">
        <v>0</v>
      </c>
      <c r="AN3608" s="21">
        <v>4</v>
      </c>
      <c r="AO3608" s="21">
        <v>25</v>
      </c>
      <c r="AP3608">
        <v>28</v>
      </c>
      <c r="AQ3608" s="22" t="s">
        <v>1283</v>
      </c>
      <c r="AR3608" s="21" t="s">
        <v>3130</v>
      </c>
    </row>
    <row r="3609" spans="1:44" x14ac:dyDescent="0.2">
      <c r="A3609" s="21" t="s">
        <v>1778</v>
      </c>
      <c r="B3609" s="21" t="s">
        <v>1146</v>
      </c>
      <c r="C3609" s="21" t="s">
        <v>1149</v>
      </c>
      <c r="D3609" s="21" t="s">
        <v>1774</v>
      </c>
      <c r="E3609" s="21" t="s">
        <v>3180</v>
      </c>
      <c r="G3609" s="21" t="s">
        <v>153</v>
      </c>
      <c r="H3609" s="21" t="s">
        <v>1165</v>
      </c>
      <c r="I3609" s="21" t="s">
        <v>3181</v>
      </c>
      <c r="L3609">
        <v>1340</v>
      </c>
      <c r="M3609" s="21" t="s">
        <v>3034</v>
      </c>
      <c r="O3609">
        <v>1988</v>
      </c>
      <c r="S3609" s="9" t="s">
        <v>3169</v>
      </c>
      <c r="T3609" t="s">
        <v>3127</v>
      </c>
      <c r="U3609" s="21" t="s">
        <v>1147</v>
      </c>
      <c r="Z3609">
        <v>24</v>
      </c>
      <c r="AD3609" t="s">
        <v>1165</v>
      </c>
      <c r="AF3609" t="s">
        <v>1165</v>
      </c>
      <c r="AI3609" s="21" t="s">
        <v>1165</v>
      </c>
      <c r="AJ3609" s="21" t="s">
        <v>1148</v>
      </c>
      <c r="AK3609">
        <v>0</v>
      </c>
      <c r="AN3609" s="21">
        <v>4</v>
      </c>
      <c r="AO3609" s="21">
        <v>25</v>
      </c>
      <c r="AP3609">
        <v>28</v>
      </c>
      <c r="AQ3609" s="22" t="s">
        <v>1283</v>
      </c>
      <c r="AR3609" s="21" t="s">
        <v>3130</v>
      </c>
    </row>
    <row r="3610" spans="1:44" x14ac:dyDescent="0.2">
      <c r="A3610" s="21" t="s">
        <v>1778</v>
      </c>
      <c r="B3610" s="21" t="s">
        <v>1146</v>
      </c>
      <c r="C3610" s="21" t="s">
        <v>1149</v>
      </c>
      <c r="D3610" s="21" t="s">
        <v>1774</v>
      </c>
      <c r="E3610" s="21" t="s">
        <v>3180</v>
      </c>
      <c r="G3610" s="21" t="s">
        <v>153</v>
      </c>
      <c r="H3610" s="21" t="s">
        <v>1165</v>
      </c>
      <c r="I3610" s="21" t="s">
        <v>3181</v>
      </c>
      <c r="L3610">
        <v>1340</v>
      </c>
      <c r="M3610" s="21" t="s">
        <v>3034</v>
      </c>
      <c r="O3610">
        <v>1988</v>
      </c>
      <c r="S3610" s="9" t="s">
        <v>3169</v>
      </c>
      <c r="T3610" t="s">
        <v>3127</v>
      </c>
      <c r="U3610" s="21" t="s">
        <v>1218</v>
      </c>
      <c r="V3610" s="9" t="s">
        <v>3132</v>
      </c>
      <c r="W3610">
        <v>28</v>
      </c>
      <c r="X3610" s="9" t="s">
        <v>1294</v>
      </c>
      <c r="Z3610">
        <v>24</v>
      </c>
      <c r="AD3610" t="s">
        <v>1165</v>
      </c>
      <c r="AF3610" t="s">
        <v>1165</v>
      </c>
      <c r="AI3610" s="21" t="s">
        <v>1165</v>
      </c>
      <c r="AJ3610" s="21" t="s">
        <v>1148</v>
      </c>
      <c r="AK3610">
        <v>0</v>
      </c>
      <c r="AN3610" s="21">
        <v>4</v>
      </c>
      <c r="AO3610" s="21">
        <v>25</v>
      </c>
      <c r="AP3610">
        <v>28</v>
      </c>
      <c r="AQ3610" s="22" t="s">
        <v>1283</v>
      </c>
      <c r="AR3610" s="21" t="s">
        <v>3130</v>
      </c>
    </row>
    <row r="3611" spans="1:44" x14ac:dyDescent="0.2">
      <c r="A3611" s="21" t="s">
        <v>1778</v>
      </c>
      <c r="B3611" s="21" t="s">
        <v>1146</v>
      </c>
      <c r="C3611" s="21" t="s">
        <v>1149</v>
      </c>
      <c r="D3611" s="21" t="s">
        <v>1774</v>
      </c>
      <c r="E3611" s="21" t="s">
        <v>3180</v>
      </c>
      <c r="G3611" s="21" t="s">
        <v>153</v>
      </c>
      <c r="H3611" s="21" t="s">
        <v>1165</v>
      </c>
      <c r="I3611" s="21" t="s">
        <v>3181</v>
      </c>
      <c r="L3611">
        <v>1340</v>
      </c>
      <c r="M3611" s="21" t="s">
        <v>3034</v>
      </c>
      <c r="O3611">
        <v>1988</v>
      </c>
      <c r="S3611" s="9" t="s">
        <v>3169</v>
      </c>
      <c r="T3611" t="s">
        <v>3127</v>
      </c>
      <c r="U3611" s="21" t="s">
        <v>1218</v>
      </c>
      <c r="V3611" s="9" t="s">
        <v>3132</v>
      </c>
      <c r="W3611">
        <f>56</f>
        <v>56</v>
      </c>
      <c r="X3611" s="9" t="s">
        <v>1294</v>
      </c>
      <c r="Z3611">
        <v>24</v>
      </c>
      <c r="AD3611" t="s">
        <v>1165</v>
      </c>
      <c r="AF3611" t="s">
        <v>1165</v>
      </c>
      <c r="AI3611" s="21" t="s">
        <v>1165</v>
      </c>
      <c r="AJ3611" s="21" t="s">
        <v>1148</v>
      </c>
      <c r="AK3611">
        <v>34</v>
      </c>
      <c r="AN3611" s="21">
        <v>4</v>
      </c>
      <c r="AO3611" s="21">
        <v>25</v>
      </c>
      <c r="AP3611">
        <v>28</v>
      </c>
      <c r="AQ3611" s="22" t="s">
        <v>1283</v>
      </c>
      <c r="AR3611" s="21" t="s">
        <v>3130</v>
      </c>
    </row>
    <row r="3612" spans="1:44" x14ac:dyDescent="0.2">
      <c r="A3612" s="21" t="s">
        <v>1778</v>
      </c>
      <c r="B3612" s="21" t="s">
        <v>1146</v>
      </c>
      <c r="C3612" s="21" t="s">
        <v>1149</v>
      </c>
      <c r="D3612" s="21" t="s">
        <v>1774</v>
      </c>
      <c r="E3612" s="21" t="s">
        <v>3180</v>
      </c>
      <c r="G3612" s="21" t="s">
        <v>153</v>
      </c>
      <c r="H3612" s="21" t="s">
        <v>1165</v>
      </c>
      <c r="I3612" s="21" t="s">
        <v>3181</v>
      </c>
      <c r="L3612">
        <v>1340</v>
      </c>
      <c r="M3612" s="21" t="s">
        <v>3034</v>
      </c>
      <c r="O3612">
        <v>1988</v>
      </c>
      <c r="S3612" s="9" t="s">
        <v>3169</v>
      </c>
      <c r="T3612" t="s">
        <v>3127</v>
      </c>
      <c r="U3612" s="21" t="s">
        <v>1218</v>
      </c>
      <c r="V3612" s="9" t="s">
        <v>3132</v>
      </c>
      <c r="W3612">
        <f>7*12</f>
        <v>84</v>
      </c>
      <c r="X3612" s="9" t="s">
        <v>1294</v>
      </c>
      <c r="Z3612">
        <v>24</v>
      </c>
      <c r="AD3612" t="s">
        <v>1165</v>
      </c>
      <c r="AF3612" t="s">
        <v>1165</v>
      </c>
      <c r="AI3612" s="21" t="s">
        <v>1165</v>
      </c>
      <c r="AJ3612" s="21" t="s">
        <v>1148</v>
      </c>
      <c r="AK3612">
        <v>68</v>
      </c>
      <c r="AN3612" s="21">
        <v>4</v>
      </c>
      <c r="AO3612" s="21">
        <v>25</v>
      </c>
      <c r="AP3612">
        <v>28</v>
      </c>
      <c r="AQ3612" s="22" t="s">
        <v>1283</v>
      </c>
      <c r="AR3612" s="21" t="s">
        <v>3130</v>
      </c>
    </row>
    <row r="3613" spans="1:44" x14ac:dyDescent="0.2">
      <c r="A3613" s="21" t="s">
        <v>1778</v>
      </c>
      <c r="B3613" s="21" t="s">
        <v>1146</v>
      </c>
      <c r="C3613" s="21" t="s">
        <v>1149</v>
      </c>
      <c r="D3613" s="21" t="s">
        <v>1774</v>
      </c>
      <c r="E3613" s="21" t="s">
        <v>3180</v>
      </c>
      <c r="G3613" s="21" t="s">
        <v>153</v>
      </c>
      <c r="H3613" s="21" t="s">
        <v>1165</v>
      </c>
      <c r="I3613" s="21" t="s">
        <v>3181</v>
      </c>
      <c r="L3613">
        <v>1340</v>
      </c>
      <c r="M3613" s="21" t="s">
        <v>3034</v>
      </c>
      <c r="O3613">
        <v>1988</v>
      </c>
      <c r="S3613" s="9" t="s">
        <v>3169</v>
      </c>
      <c r="T3613" t="s">
        <v>3127</v>
      </c>
      <c r="U3613" s="21" t="s">
        <v>1218</v>
      </c>
      <c r="V3613" s="9" t="s">
        <v>3132</v>
      </c>
      <c r="W3613">
        <f>7*16</f>
        <v>112</v>
      </c>
      <c r="X3613" s="9" t="s">
        <v>1294</v>
      </c>
      <c r="Z3613">
        <v>24</v>
      </c>
      <c r="AD3613" t="s">
        <v>1165</v>
      </c>
      <c r="AF3613" t="s">
        <v>1165</v>
      </c>
      <c r="AI3613" s="21" t="s">
        <v>1165</v>
      </c>
      <c r="AJ3613" s="21" t="s">
        <v>1148</v>
      </c>
      <c r="AK3613">
        <v>72</v>
      </c>
      <c r="AN3613" s="21">
        <v>4</v>
      </c>
      <c r="AO3613" s="21">
        <v>25</v>
      </c>
      <c r="AP3613">
        <v>28</v>
      </c>
      <c r="AQ3613" s="22" t="s">
        <v>1283</v>
      </c>
      <c r="AR3613" s="21" t="s">
        <v>3130</v>
      </c>
    </row>
    <row r="3614" spans="1:44" x14ac:dyDescent="0.2">
      <c r="A3614" s="21" t="s">
        <v>1778</v>
      </c>
      <c r="B3614" s="21" t="s">
        <v>1146</v>
      </c>
      <c r="C3614" s="21" t="s">
        <v>1149</v>
      </c>
      <c r="D3614" s="21" t="s">
        <v>1774</v>
      </c>
      <c r="E3614" s="21" t="s">
        <v>3180</v>
      </c>
      <c r="G3614" s="21" t="s">
        <v>153</v>
      </c>
      <c r="H3614" s="21" t="s">
        <v>1165</v>
      </c>
      <c r="I3614" s="21" t="s">
        <v>3181</v>
      </c>
      <c r="L3614">
        <v>1340</v>
      </c>
      <c r="M3614" s="21" t="s">
        <v>3034</v>
      </c>
      <c r="O3614">
        <v>1988</v>
      </c>
      <c r="S3614" s="9" t="s">
        <v>3169</v>
      </c>
      <c r="T3614" t="s">
        <v>3127</v>
      </c>
      <c r="U3614" s="21" t="s">
        <v>1218</v>
      </c>
      <c r="V3614" s="9" t="s">
        <v>3132</v>
      </c>
      <c r="W3614">
        <f>7*24</f>
        <v>168</v>
      </c>
      <c r="X3614" s="9" t="s">
        <v>1294</v>
      </c>
      <c r="Z3614">
        <v>24</v>
      </c>
      <c r="AD3614" t="s">
        <v>1165</v>
      </c>
      <c r="AF3614" t="s">
        <v>1165</v>
      </c>
      <c r="AI3614" s="21" t="s">
        <v>1165</v>
      </c>
      <c r="AJ3614" s="21" t="s">
        <v>1148</v>
      </c>
      <c r="AK3614">
        <v>83</v>
      </c>
      <c r="AN3614" s="21">
        <v>4</v>
      </c>
      <c r="AO3614" s="21">
        <v>25</v>
      </c>
      <c r="AP3614">
        <v>28</v>
      </c>
      <c r="AQ3614" s="22" t="s">
        <v>1283</v>
      </c>
      <c r="AR3614" s="21" t="s">
        <v>3130</v>
      </c>
    </row>
    <row r="3615" spans="1:44" x14ac:dyDescent="0.2">
      <c r="A3615" s="21" t="s">
        <v>1778</v>
      </c>
      <c r="B3615" s="21" t="s">
        <v>1146</v>
      </c>
      <c r="C3615" s="21" t="s">
        <v>1149</v>
      </c>
      <c r="D3615" s="21" t="s">
        <v>1774</v>
      </c>
      <c r="E3615" s="21" t="s">
        <v>3180</v>
      </c>
      <c r="G3615" s="21" t="s">
        <v>153</v>
      </c>
      <c r="H3615" s="21" t="s">
        <v>1165</v>
      </c>
      <c r="I3615" s="21" t="s">
        <v>3181</v>
      </c>
      <c r="L3615">
        <v>1340</v>
      </c>
      <c r="M3615" s="21" t="s">
        <v>3034</v>
      </c>
      <c r="O3615">
        <v>1988</v>
      </c>
      <c r="S3615" s="9" t="s">
        <v>3169</v>
      </c>
      <c r="T3615" t="s">
        <v>3127</v>
      </c>
      <c r="U3615" s="21" t="s">
        <v>1218</v>
      </c>
      <c r="V3615" s="9" t="s">
        <v>3132</v>
      </c>
      <c r="W3615">
        <f>12*7</f>
        <v>84</v>
      </c>
      <c r="X3615" s="9" t="s">
        <v>1294</v>
      </c>
      <c r="Y3615" t="s">
        <v>3170</v>
      </c>
      <c r="Z3615">
        <v>24</v>
      </c>
      <c r="AD3615" t="s">
        <v>1165</v>
      </c>
      <c r="AF3615" t="s">
        <v>1165</v>
      </c>
      <c r="AI3615" s="21" t="s">
        <v>1165</v>
      </c>
      <c r="AJ3615" s="21" t="s">
        <v>1148</v>
      </c>
      <c r="AK3615">
        <v>98</v>
      </c>
      <c r="AN3615" s="21">
        <v>4</v>
      </c>
      <c r="AO3615" s="21">
        <v>25</v>
      </c>
      <c r="AP3615">
        <v>28</v>
      </c>
      <c r="AQ3615" s="22" t="s">
        <v>1283</v>
      </c>
      <c r="AR3615" s="21" t="s">
        <v>3130</v>
      </c>
    </row>
    <row r="3616" spans="1:44" x14ac:dyDescent="0.2">
      <c r="A3616" s="21" t="s">
        <v>1778</v>
      </c>
      <c r="B3616" s="21" t="s">
        <v>1146</v>
      </c>
      <c r="C3616" s="21" t="s">
        <v>1149</v>
      </c>
      <c r="D3616" s="21" t="s">
        <v>1774</v>
      </c>
      <c r="E3616" s="21" t="s">
        <v>3180</v>
      </c>
      <c r="G3616" s="21" t="s">
        <v>153</v>
      </c>
      <c r="H3616" s="21" t="s">
        <v>1165</v>
      </c>
      <c r="I3616" s="21" t="s">
        <v>3181</v>
      </c>
      <c r="L3616">
        <v>1340</v>
      </c>
      <c r="M3616" s="21" t="s">
        <v>3034</v>
      </c>
      <c r="O3616">
        <v>1988</v>
      </c>
      <c r="S3616" s="9" t="s">
        <v>3169</v>
      </c>
      <c r="T3616" t="s">
        <v>3127</v>
      </c>
      <c r="U3616" s="21" t="s">
        <v>1218</v>
      </c>
      <c r="V3616" s="9" t="s">
        <v>3132</v>
      </c>
      <c r="W3616">
        <f>12*7</f>
        <v>84</v>
      </c>
      <c r="X3616" s="9" t="s">
        <v>1294</v>
      </c>
      <c r="Y3616" t="s">
        <v>3134</v>
      </c>
      <c r="Z3616">
        <v>24</v>
      </c>
      <c r="AD3616" t="s">
        <v>1165</v>
      </c>
      <c r="AF3616" t="s">
        <v>1165</v>
      </c>
      <c r="AI3616" s="21" t="s">
        <v>1165</v>
      </c>
      <c r="AJ3616" s="21" t="s">
        <v>1148</v>
      </c>
      <c r="AK3616">
        <v>10</v>
      </c>
      <c r="AN3616" s="21">
        <v>4</v>
      </c>
      <c r="AO3616" s="21">
        <v>25</v>
      </c>
      <c r="AP3616">
        <v>28</v>
      </c>
      <c r="AQ3616" s="22" t="s">
        <v>1283</v>
      </c>
      <c r="AR3616" s="21" t="s">
        <v>3130</v>
      </c>
    </row>
    <row r="3617" spans="1:44" x14ac:dyDescent="0.2">
      <c r="A3617" s="21" t="s">
        <v>1778</v>
      </c>
      <c r="B3617" s="21" t="s">
        <v>1146</v>
      </c>
      <c r="C3617" s="21" t="s">
        <v>1149</v>
      </c>
      <c r="D3617" s="21" t="s">
        <v>1774</v>
      </c>
      <c r="E3617" s="21" t="s">
        <v>3180</v>
      </c>
      <c r="G3617" s="21" t="s">
        <v>153</v>
      </c>
      <c r="H3617" s="21" t="s">
        <v>1165</v>
      </c>
      <c r="I3617" s="21" t="s">
        <v>3181</v>
      </c>
      <c r="L3617">
        <v>1340</v>
      </c>
      <c r="M3617" s="21" t="s">
        <v>3034</v>
      </c>
      <c r="O3617">
        <v>1988</v>
      </c>
      <c r="S3617" s="9" t="s">
        <v>3169</v>
      </c>
      <c r="T3617" t="s">
        <v>3127</v>
      </c>
      <c r="U3617" s="21" t="s">
        <v>1218</v>
      </c>
      <c r="V3617" s="9" t="s">
        <v>3132</v>
      </c>
      <c r="W3617">
        <f>12*7</f>
        <v>84</v>
      </c>
      <c r="X3617" s="9" t="s">
        <v>1294</v>
      </c>
      <c r="Y3617" t="s">
        <v>3135</v>
      </c>
      <c r="Z3617">
        <v>24</v>
      </c>
      <c r="AD3617" t="s">
        <v>1165</v>
      </c>
      <c r="AF3617" t="s">
        <v>1165</v>
      </c>
      <c r="AI3617" s="21" t="s">
        <v>1165</v>
      </c>
      <c r="AJ3617" s="21" t="s">
        <v>1148</v>
      </c>
      <c r="AK3617">
        <v>36</v>
      </c>
      <c r="AN3617" s="21">
        <v>4</v>
      </c>
      <c r="AO3617" s="21">
        <v>25</v>
      </c>
      <c r="AP3617">
        <v>28</v>
      </c>
      <c r="AQ3617" s="22" t="s">
        <v>1283</v>
      </c>
      <c r="AR3617" s="21" t="s">
        <v>3130</v>
      </c>
    </row>
    <row r="3618" spans="1:44" x14ac:dyDescent="0.2">
      <c r="A3618" s="21" t="s">
        <v>1778</v>
      </c>
      <c r="B3618" s="21" t="s">
        <v>1146</v>
      </c>
      <c r="C3618" s="21" t="s">
        <v>1149</v>
      </c>
      <c r="D3618" s="21" t="s">
        <v>1774</v>
      </c>
      <c r="E3618" s="21" t="s">
        <v>3182</v>
      </c>
      <c r="G3618" s="21" t="s">
        <v>153</v>
      </c>
      <c r="H3618" s="21" t="s">
        <v>1165</v>
      </c>
      <c r="I3618" s="21" t="s">
        <v>3183</v>
      </c>
      <c r="L3618">
        <v>1130</v>
      </c>
      <c r="M3618" s="21" t="s">
        <v>3034</v>
      </c>
      <c r="O3618">
        <v>1988</v>
      </c>
      <c r="S3618" s="9" t="s">
        <v>3169</v>
      </c>
      <c r="T3618" t="s">
        <v>3127</v>
      </c>
      <c r="U3618" s="21" t="s">
        <v>1147</v>
      </c>
      <c r="Z3618">
        <v>24</v>
      </c>
      <c r="AD3618" t="s">
        <v>1165</v>
      </c>
      <c r="AF3618" t="s">
        <v>1165</v>
      </c>
      <c r="AI3618" s="21" t="s">
        <v>1165</v>
      </c>
      <c r="AJ3618" s="21" t="s">
        <v>1148</v>
      </c>
      <c r="AK3618">
        <v>0</v>
      </c>
      <c r="AN3618" s="21">
        <v>4</v>
      </c>
      <c r="AO3618" s="21">
        <v>25</v>
      </c>
      <c r="AP3618">
        <v>28</v>
      </c>
      <c r="AQ3618" s="22" t="s">
        <v>1283</v>
      </c>
      <c r="AR3618" s="21" t="s">
        <v>3130</v>
      </c>
    </row>
    <row r="3619" spans="1:44" x14ac:dyDescent="0.2">
      <c r="A3619" s="21" t="s">
        <v>1778</v>
      </c>
      <c r="B3619" s="21" t="s">
        <v>1146</v>
      </c>
      <c r="C3619" s="21" t="s">
        <v>1149</v>
      </c>
      <c r="D3619" s="21" t="s">
        <v>1774</v>
      </c>
      <c r="E3619" s="21" t="s">
        <v>3182</v>
      </c>
      <c r="G3619" s="21" t="s">
        <v>153</v>
      </c>
      <c r="H3619" s="21" t="s">
        <v>1165</v>
      </c>
      <c r="I3619" s="21" t="s">
        <v>3183</v>
      </c>
      <c r="L3619">
        <v>1130</v>
      </c>
      <c r="M3619" s="21" t="s">
        <v>3034</v>
      </c>
      <c r="O3619">
        <v>1988</v>
      </c>
      <c r="S3619" s="9" t="s">
        <v>3169</v>
      </c>
      <c r="T3619" t="s">
        <v>3127</v>
      </c>
      <c r="U3619" s="21" t="s">
        <v>1218</v>
      </c>
      <c r="V3619" s="9" t="s">
        <v>3132</v>
      </c>
      <c r="W3619">
        <v>28</v>
      </c>
      <c r="X3619" s="9" t="s">
        <v>1294</v>
      </c>
      <c r="Z3619">
        <v>24</v>
      </c>
      <c r="AD3619" t="s">
        <v>1165</v>
      </c>
      <c r="AF3619" t="s">
        <v>1165</v>
      </c>
      <c r="AI3619" s="21" t="s">
        <v>1165</v>
      </c>
      <c r="AJ3619" s="21" t="s">
        <v>1148</v>
      </c>
      <c r="AK3619">
        <v>0</v>
      </c>
      <c r="AN3619" s="21">
        <v>4</v>
      </c>
      <c r="AO3619" s="21">
        <v>25</v>
      </c>
      <c r="AP3619">
        <v>28</v>
      </c>
      <c r="AQ3619" s="22" t="s">
        <v>1283</v>
      </c>
      <c r="AR3619" s="21" t="s">
        <v>3130</v>
      </c>
    </row>
    <row r="3620" spans="1:44" x14ac:dyDescent="0.2">
      <c r="A3620" s="21" t="s">
        <v>1778</v>
      </c>
      <c r="B3620" s="21" t="s">
        <v>1146</v>
      </c>
      <c r="C3620" s="21" t="s">
        <v>1149</v>
      </c>
      <c r="D3620" s="21" t="s">
        <v>1774</v>
      </c>
      <c r="E3620" s="21" t="s">
        <v>3182</v>
      </c>
      <c r="G3620" s="21" t="s">
        <v>153</v>
      </c>
      <c r="H3620" s="21" t="s">
        <v>1165</v>
      </c>
      <c r="I3620" s="21" t="s">
        <v>3183</v>
      </c>
      <c r="L3620">
        <v>1130</v>
      </c>
      <c r="M3620" s="21" t="s">
        <v>3034</v>
      </c>
      <c r="O3620">
        <v>1988</v>
      </c>
      <c r="S3620" s="9" t="s">
        <v>3169</v>
      </c>
      <c r="T3620" t="s">
        <v>3127</v>
      </c>
      <c r="U3620" s="21" t="s">
        <v>1218</v>
      </c>
      <c r="V3620" s="9" t="s">
        <v>3132</v>
      </c>
      <c r="W3620">
        <f>56</f>
        <v>56</v>
      </c>
      <c r="X3620" s="9" t="s">
        <v>1294</v>
      </c>
      <c r="Z3620">
        <v>24</v>
      </c>
      <c r="AD3620" t="s">
        <v>1165</v>
      </c>
      <c r="AF3620" t="s">
        <v>1165</v>
      </c>
      <c r="AI3620" s="21" t="s">
        <v>1165</v>
      </c>
      <c r="AJ3620" s="21" t="s">
        <v>1148</v>
      </c>
      <c r="AK3620">
        <v>3</v>
      </c>
      <c r="AN3620" s="21">
        <v>4</v>
      </c>
      <c r="AO3620" s="21">
        <v>25</v>
      </c>
      <c r="AP3620">
        <v>28</v>
      </c>
      <c r="AQ3620" s="22" t="s">
        <v>1283</v>
      </c>
      <c r="AR3620" s="21" t="s">
        <v>3130</v>
      </c>
    </row>
    <row r="3621" spans="1:44" x14ac:dyDescent="0.2">
      <c r="A3621" s="21" t="s">
        <v>1778</v>
      </c>
      <c r="B3621" s="21" t="s">
        <v>1146</v>
      </c>
      <c r="C3621" s="21" t="s">
        <v>1149</v>
      </c>
      <c r="D3621" s="21" t="s">
        <v>1774</v>
      </c>
      <c r="E3621" s="21" t="s">
        <v>3182</v>
      </c>
      <c r="G3621" s="21" t="s">
        <v>153</v>
      </c>
      <c r="H3621" s="21" t="s">
        <v>1165</v>
      </c>
      <c r="I3621" s="21" t="s">
        <v>3183</v>
      </c>
      <c r="L3621">
        <v>1130</v>
      </c>
      <c r="M3621" s="21" t="s">
        <v>3034</v>
      </c>
      <c r="O3621">
        <v>1988</v>
      </c>
      <c r="S3621" s="9" t="s">
        <v>3169</v>
      </c>
      <c r="T3621" t="s">
        <v>3127</v>
      </c>
      <c r="U3621" s="21" t="s">
        <v>1218</v>
      </c>
      <c r="V3621" s="9" t="s">
        <v>3132</v>
      </c>
      <c r="W3621">
        <f>7*12</f>
        <v>84</v>
      </c>
      <c r="X3621" s="9" t="s">
        <v>1294</v>
      </c>
      <c r="Z3621">
        <v>24</v>
      </c>
      <c r="AD3621" t="s">
        <v>1165</v>
      </c>
      <c r="AF3621" t="s">
        <v>1165</v>
      </c>
      <c r="AI3621" s="21" t="s">
        <v>1165</v>
      </c>
      <c r="AJ3621" s="21" t="s">
        <v>1148</v>
      </c>
      <c r="AK3621">
        <v>59</v>
      </c>
      <c r="AN3621" s="21">
        <v>4</v>
      </c>
      <c r="AO3621" s="21">
        <v>25</v>
      </c>
      <c r="AP3621">
        <v>28</v>
      </c>
      <c r="AQ3621" s="22" t="s">
        <v>1283</v>
      </c>
      <c r="AR3621" s="21" t="s">
        <v>3130</v>
      </c>
    </row>
    <row r="3622" spans="1:44" x14ac:dyDescent="0.2">
      <c r="A3622" s="21" t="s">
        <v>1778</v>
      </c>
      <c r="B3622" s="21" t="s">
        <v>1146</v>
      </c>
      <c r="C3622" s="21" t="s">
        <v>1149</v>
      </c>
      <c r="D3622" s="21" t="s">
        <v>1774</v>
      </c>
      <c r="E3622" s="21" t="s">
        <v>3182</v>
      </c>
      <c r="G3622" s="21" t="s">
        <v>153</v>
      </c>
      <c r="H3622" s="21" t="s">
        <v>1165</v>
      </c>
      <c r="I3622" s="21" t="s">
        <v>3183</v>
      </c>
      <c r="L3622">
        <v>1130</v>
      </c>
      <c r="M3622" s="21" t="s">
        <v>3034</v>
      </c>
      <c r="O3622">
        <v>1988</v>
      </c>
      <c r="S3622" s="9" t="s">
        <v>3169</v>
      </c>
      <c r="T3622" t="s">
        <v>3127</v>
      </c>
      <c r="U3622" s="21" t="s">
        <v>1218</v>
      </c>
      <c r="V3622" s="9" t="s">
        <v>3132</v>
      </c>
      <c r="W3622">
        <f>7*16</f>
        <v>112</v>
      </c>
      <c r="X3622" s="9" t="s">
        <v>1294</v>
      </c>
      <c r="Z3622">
        <v>24</v>
      </c>
      <c r="AD3622" t="s">
        <v>1165</v>
      </c>
      <c r="AF3622" t="s">
        <v>1165</v>
      </c>
      <c r="AI3622" s="21" t="s">
        <v>1165</v>
      </c>
      <c r="AJ3622" s="21" t="s">
        <v>1148</v>
      </c>
      <c r="AK3622">
        <v>57</v>
      </c>
      <c r="AN3622" s="21">
        <v>4</v>
      </c>
      <c r="AO3622" s="21">
        <v>25</v>
      </c>
      <c r="AP3622">
        <v>28</v>
      </c>
      <c r="AQ3622" s="22" t="s">
        <v>1283</v>
      </c>
      <c r="AR3622" s="21" t="s">
        <v>3130</v>
      </c>
    </row>
    <row r="3623" spans="1:44" x14ac:dyDescent="0.2">
      <c r="A3623" s="21" t="s">
        <v>1778</v>
      </c>
      <c r="B3623" s="21" t="s">
        <v>1146</v>
      </c>
      <c r="C3623" s="21" t="s">
        <v>1149</v>
      </c>
      <c r="D3623" s="21" t="s">
        <v>1774</v>
      </c>
      <c r="E3623" s="21" t="s">
        <v>3182</v>
      </c>
      <c r="G3623" s="21" t="s">
        <v>153</v>
      </c>
      <c r="H3623" s="21" t="s">
        <v>1165</v>
      </c>
      <c r="I3623" s="21" t="s">
        <v>3183</v>
      </c>
      <c r="L3623">
        <v>1130</v>
      </c>
      <c r="M3623" s="21" t="s">
        <v>3034</v>
      </c>
      <c r="O3623">
        <v>1988</v>
      </c>
      <c r="S3623" s="9" t="s">
        <v>3169</v>
      </c>
      <c r="T3623" t="s">
        <v>3127</v>
      </c>
      <c r="U3623" s="21" t="s">
        <v>1218</v>
      </c>
      <c r="V3623" s="9" t="s">
        <v>3132</v>
      </c>
      <c r="W3623">
        <f>7*24</f>
        <v>168</v>
      </c>
      <c r="X3623" s="9" t="s">
        <v>1294</v>
      </c>
      <c r="Z3623">
        <v>24</v>
      </c>
      <c r="AD3623" t="s">
        <v>1165</v>
      </c>
      <c r="AF3623" t="s">
        <v>1165</v>
      </c>
      <c r="AI3623" s="21" t="s">
        <v>1165</v>
      </c>
      <c r="AJ3623" s="21" t="s">
        <v>1148</v>
      </c>
      <c r="AK3623">
        <v>68</v>
      </c>
      <c r="AN3623" s="21">
        <v>4</v>
      </c>
      <c r="AO3623" s="21">
        <v>25</v>
      </c>
      <c r="AP3623">
        <v>28</v>
      </c>
      <c r="AQ3623" s="22" t="s">
        <v>1283</v>
      </c>
      <c r="AR3623" s="21" t="s">
        <v>3130</v>
      </c>
    </row>
    <row r="3624" spans="1:44" x14ac:dyDescent="0.2">
      <c r="A3624" s="21" t="s">
        <v>1778</v>
      </c>
      <c r="B3624" s="21" t="s">
        <v>1146</v>
      </c>
      <c r="C3624" s="21" t="s">
        <v>1149</v>
      </c>
      <c r="D3624" s="21" t="s">
        <v>1774</v>
      </c>
      <c r="E3624" s="21" t="s">
        <v>3182</v>
      </c>
      <c r="G3624" s="21" t="s">
        <v>153</v>
      </c>
      <c r="H3624" s="21" t="s">
        <v>1165</v>
      </c>
      <c r="I3624" s="21" t="s">
        <v>3183</v>
      </c>
      <c r="L3624">
        <v>1130</v>
      </c>
      <c r="M3624" s="21" t="s">
        <v>3034</v>
      </c>
      <c r="O3624">
        <v>1988</v>
      </c>
      <c r="S3624" s="9" t="s">
        <v>3169</v>
      </c>
      <c r="T3624" t="s">
        <v>3127</v>
      </c>
      <c r="U3624" s="21" t="s">
        <v>1218</v>
      </c>
      <c r="V3624" s="9" t="s">
        <v>3132</v>
      </c>
      <c r="W3624">
        <f>12*7</f>
        <v>84</v>
      </c>
      <c r="X3624" s="9" t="s">
        <v>1294</v>
      </c>
      <c r="Y3624" t="s">
        <v>3170</v>
      </c>
      <c r="Z3624">
        <v>24</v>
      </c>
      <c r="AD3624" t="s">
        <v>1165</v>
      </c>
      <c r="AF3624" t="s">
        <v>1165</v>
      </c>
      <c r="AI3624" s="21" t="s">
        <v>1165</v>
      </c>
      <c r="AJ3624" s="21" t="s">
        <v>1148</v>
      </c>
      <c r="AK3624">
        <v>10</v>
      </c>
      <c r="AN3624" s="21">
        <v>4</v>
      </c>
      <c r="AO3624" s="21">
        <v>25</v>
      </c>
      <c r="AP3624">
        <v>28</v>
      </c>
      <c r="AQ3624" s="22" t="s">
        <v>1283</v>
      </c>
      <c r="AR3624" s="21" t="s">
        <v>3130</v>
      </c>
    </row>
    <row r="3625" spans="1:44" x14ac:dyDescent="0.2">
      <c r="A3625" s="21" t="s">
        <v>1778</v>
      </c>
      <c r="B3625" s="21" t="s">
        <v>1146</v>
      </c>
      <c r="C3625" s="21" t="s">
        <v>1149</v>
      </c>
      <c r="D3625" s="21" t="s">
        <v>1774</v>
      </c>
      <c r="E3625" s="21" t="s">
        <v>3182</v>
      </c>
      <c r="G3625" s="21" t="s">
        <v>153</v>
      </c>
      <c r="H3625" s="21" t="s">
        <v>1165</v>
      </c>
      <c r="I3625" s="21" t="s">
        <v>3183</v>
      </c>
      <c r="L3625">
        <v>1130</v>
      </c>
      <c r="M3625" s="21" t="s">
        <v>3034</v>
      </c>
      <c r="O3625">
        <v>1988</v>
      </c>
      <c r="S3625" s="9" t="s">
        <v>3169</v>
      </c>
      <c r="T3625" t="s">
        <v>3127</v>
      </c>
      <c r="U3625" s="21" t="s">
        <v>1218</v>
      </c>
      <c r="V3625" s="9" t="s">
        <v>3132</v>
      </c>
      <c r="W3625">
        <f>12*7</f>
        <v>84</v>
      </c>
      <c r="X3625" s="9" t="s">
        <v>1294</v>
      </c>
      <c r="Y3625" t="s">
        <v>3134</v>
      </c>
      <c r="Z3625">
        <v>24</v>
      </c>
      <c r="AD3625" t="s">
        <v>1165</v>
      </c>
      <c r="AF3625" t="s">
        <v>1165</v>
      </c>
      <c r="AI3625" s="21" t="s">
        <v>1165</v>
      </c>
      <c r="AJ3625" s="21" t="s">
        <v>1148</v>
      </c>
      <c r="AK3625">
        <v>4</v>
      </c>
      <c r="AN3625" s="21">
        <v>4</v>
      </c>
      <c r="AO3625" s="21">
        <v>25</v>
      </c>
      <c r="AP3625">
        <v>28</v>
      </c>
      <c r="AQ3625" s="22" t="s">
        <v>1283</v>
      </c>
      <c r="AR3625" s="21" t="s">
        <v>3130</v>
      </c>
    </row>
    <row r="3626" spans="1:44" x14ac:dyDescent="0.2">
      <c r="A3626" s="21" t="s">
        <v>1778</v>
      </c>
      <c r="B3626" s="21" t="s">
        <v>1146</v>
      </c>
      <c r="C3626" s="21" t="s">
        <v>1149</v>
      </c>
      <c r="D3626" s="21" t="s">
        <v>1774</v>
      </c>
      <c r="E3626" s="21" t="s">
        <v>3182</v>
      </c>
      <c r="G3626" s="21" t="s">
        <v>153</v>
      </c>
      <c r="H3626" s="21" t="s">
        <v>1165</v>
      </c>
      <c r="I3626" s="21" t="s">
        <v>3183</v>
      </c>
      <c r="L3626">
        <v>1130</v>
      </c>
      <c r="M3626" s="21" t="s">
        <v>3034</v>
      </c>
      <c r="O3626">
        <v>1988</v>
      </c>
      <c r="S3626" s="9" t="s">
        <v>3169</v>
      </c>
      <c r="T3626" t="s">
        <v>3127</v>
      </c>
      <c r="U3626" s="21" t="s">
        <v>1218</v>
      </c>
      <c r="V3626" s="9" t="s">
        <v>3132</v>
      </c>
      <c r="W3626">
        <f>12*7</f>
        <v>84</v>
      </c>
      <c r="X3626" s="9" t="s">
        <v>1294</v>
      </c>
      <c r="Y3626" t="s">
        <v>3135</v>
      </c>
      <c r="Z3626">
        <v>24</v>
      </c>
      <c r="AD3626" t="s">
        <v>1165</v>
      </c>
      <c r="AF3626" t="s">
        <v>1165</v>
      </c>
      <c r="AI3626" s="21" t="s">
        <v>1165</v>
      </c>
      <c r="AJ3626" s="21" t="s">
        <v>1148</v>
      </c>
      <c r="AK3626">
        <v>13</v>
      </c>
      <c r="AN3626" s="21">
        <v>4</v>
      </c>
      <c r="AO3626" s="21">
        <v>25</v>
      </c>
      <c r="AP3626">
        <v>28</v>
      </c>
      <c r="AQ3626" s="22" t="s">
        <v>1283</v>
      </c>
      <c r="AR3626" s="21" t="s">
        <v>3130</v>
      </c>
    </row>
    <row r="3627" spans="1:44" x14ac:dyDescent="0.2">
      <c r="A3627" s="21" t="s">
        <v>1778</v>
      </c>
      <c r="B3627" s="21" t="s">
        <v>1146</v>
      </c>
      <c r="C3627" s="21" t="s">
        <v>1149</v>
      </c>
      <c r="D3627" s="21" t="s">
        <v>1774</v>
      </c>
      <c r="E3627" s="21" t="s">
        <v>3182</v>
      </c>
      <c r="G3627" s="21" t="s">
        <v>153</v>
      </c>
      <c r="H3627" s="21" t="s">
        <v>1165</v>
      </c>
      <c r="I3627" s="21" t="s">
        <v>3184</v>
      </c>
      <c r="L3627">
        <v>910</v>
      </c>
      <c r="M3627" s="21" t="s">
        <v>3034</v>
      </c>
      <c r="O3627">
        <v>1988</v>
      </c>
      <c r="S3627" s="9" t="s">
        <v>3169</v>
      </c>
      <c r="T3627" t="s">
        <v>3127</v>
      </c>
      <c r="U3627" s="21" t="s">
        <v>1147</v>
      </c>
      <c r="Z3627">
        <v>24</v>
      </c>
      <c r="AD3627" t="s">
        <v>1165</v>
      </c>
      <c r="AF3627" t="s">
        <v>1165</v>
      </c>
      <c r="AI3627" s="21" t="s">
        <v>1165</v>
      </c>
      <c r="AJ3627" s="21" t="s">
        <v>1148</v>
      </c>
      <c r="AK3627">
        <v>0</v>
      </c>
      <c r="AN3627" s="21">
        <v>4</v>
      </c>
      <c r="AO3627" s="21">
        <v>25</v>
      </c>
      <c r="AP3627">
        <v>28</v>
      </c>
      <c r="AQ3627" s="22" t="s">
        <v>1283</v>
      </c>
      <c r="AR3627" s="21" t="s">
        <v>3130</v>
      </c>
    </row>
    <row r="3628" spans="1:44" x14ac:dyDescent="0.2">
      <c r="A3628" s="21" t="s">
        <v>1778</v>
      </c>
      <c r="B3628" s="21" t="s">
        <v>1146</v>
      </c>
      <c r="C3628" s="21" t="s">
        <v>1149</v>
      </c>
      <c r="D3628" s="21" t="s">
        <v>1774</v>
      </c>
      <c r="E3628" s="21" t="s">
        <v>3182</v>
      </c>
      <c r="G3628" s="21" t="s">
        <v>153</v>
      </c>
      <c r="H3628" s="21" t="s">
        <v>1165</v>
      </c>
      <c r="I3628" s="21" t="s">
        <v>3184</v>
      </c>
      <c r="L3628">
        <v>910</v>
      </c>
      <c r="M3628" s="21" t="s">
        <v>3034</v>
      </c>
      <c r="O3628">
        <v>1988</v>
      </c>
      <c r="S3628" s="9" t="s">
        <v>3169</v>
      </c>
      <c r="T3628" t="s">
        <v>3127</v>
      </c>
      <c r="U3628" s="21" t="s">
        <v>1218</v>
      </c>
      <c r="V3628" s="9" t="s">
        <v>3132</v>
      </c>
      <c r="W3628">
        <v>28</v>
      </c>
      <c r="X3628" s="9" t="s">
        <v>1294</v>
      </c>
      <c r="Z3628">
        <v>24</v>
      </c>
      <c r="AD3628" t="s">
        <v>1165</v>
      </c>
      <c r="AF3628" t="s">
        <v>1165</v>
      </c>
      <c r="AI3628" s="21" t="s">
        <v>1165</v>
      </c>
      <c r="AJ3628" s="21" t="s">
        <v>1148</v>
      </c>
      <c r="AK3628">
        <v>2</v>
      </c>
      <c r="AN3628" s="21">
        <v>4</v>
      </c>
      <c r="AO3628" s="21">
        <v>25</v>
      </c>
      <c r="AP3628">
        <v>28</v>
      </c>
      <c r="AQ3628" s="22" t="s">
        <v>1283</v>
      </c>
      <c r="AR3628" s="21" t="s">
        <v>3130</v>
      </c>
    </row>
    <row r="3629" spans="1:44" x14ac:dyDescent="0.2">
      <c r="A3629" s="21" t="s">
        <v>1778</v>
      </c>
      <c r="B3629" s="21" t="s">
        <v>1146</v>
      </c>
      <c r="C3629" s="21" t="s">
        <v>1149</v>
      </c>
      <c r="D3629" s="21" t="s">
        <v>1774</v>
      </c>
      <c r="E3629" s="21" t="s">
        <v>3182</v>
      </c>
      <c r="G3629" s="21" t="s">
        <v>153</v>
      </c>
      <c r="H3629" s="21" t="s">
        <v>1165</v>
      </c>
      <c r="I3629" s="21" t="s">
        <v>3184</v>
      </c>
      <c r="L3629">
        <v>910</v>
      </c>
      <c r="M3629" s="21" t="s">
        <v>3034</v>
      </c>
      <c r="O3629">
        <v>1988</v>
      </c>
      <c r="S3629" s="9" t="s">
        <v>3169</v>
      </c>
      <c r="T3629" t="s">
        <v>3127</v>
      </c>
      <c r="U3629" s="21" t="s">
        <v>1218</v>
      </c>
      <c r="V3629" s="9" t="s">
        <v>3132</v>
      </c>
      <c r="W3629">
        <f>56</f>
        <v>56</v>
      </c>
      <c r="X3629" s="9" t="s">
        <v>1294</v>
      </c>
      <c r="Z3629">
        <v>24</v>
      </c>
      <c r="AD3629" t="s">
        <v>1165</v>
      </c>
      <c r="AF3629" t="s">
        <v>1165</v>
      </c>
      <c r="AI3629" s="21" t="s">
        <v>1165</v>
      </c>
      <c r="AJ3629" s="21" t="s">
        <v>1148</v>
      </c>
      <c r="AK3629">
        <v>38</v>
      </c>
      <c r="AN3629" s="21">
        <v>4</v>
      </c>
      <c r="AO3629" s="21">
        <v>25</v>
      </c>
      <c r="AP3629">
        <v>28</v>
      </c>
      <c r="AQ3629" s="22" t="s">
        <v>1283</v>
      </c>
      <c r="AR3629" s="21" t="s">
        <v>3130</v>
      </c>
    </row>
    <row r="3630" spans="1:44" x14ac:dyDescent="0.2">
      <c r="A3630" s="21" t="s">
        <v>1778</v>
      </c>
      <c r="B3630" s="21" t="s">
        <v>1146</v>
      </c>
      <c r="C3630" s="21" t="s">
        <v>1149</v>
      </c>
      <c r="D3630" s="21" t="s">
        <v>1774</v>
      </c>
      <c r="E3630" s="21" t="s">
        <v>3182</v>
      </c>
      <c r="G3630" s="21" t="s">
        <v>153</v>
      </c>
      <c r="H3630" s="21" t="s">
        <v>1165</v>
      </c>
      <c r="I3630" s="21" t="s">
        <v>3184</v>
      </c>
      <c r="L3630">
        <v>910</v>
      </c>
      <c r="M3630" s="21" t="s">
        <v>3034</v>
      </c>
      <c r="O3630">
        <v>1988</v>
      </c>
      <c r="S3630" s="9" t="s">
        <v>3169</v>
      </c>
      <c r="T3630" t="s">
        <v>3127</v>
      </c>
      <c r="U3630" s="21" t="s">
        <v>1218</v>
      </c>
      <c r="V3630" s="9" t="s">
        <v>3132</v>
      </c>
      <c r="W3630">
        <f>7*12</f>
        <v>84</v>
      </c>
      <c r="X3630" s="9" t="s">
        <v>1294</v>
      </c>
      <c r="Z3630">
        <v>24</v>
      </c>
      <c r="AD3630" t="s">
        <v>1165</v>
      </c>
      <c r="AF3630" t="s">
        <v>1165</v>
      </c>
      <c r="AI3630" s="21" t="s">
        <v>1165</v>
      </c>
      <c r="AJ3630" s="21" t="s">
        <v>1148</v>
      </c>
      <c r="AK3630">
        <v>94</v>
      </c>
      <c r="AN3630" s="21">
        <v>4</v>
      </c>
      <c r="AO3630" s="21">
        <v>25</v>
      </c>
      <c r="AP3630">
        <v>28</v>
      </c>
      <c r="AQ3630" s="22" t="s">
        <v>1283</v>
      </c>
      <c r="AR3630" s="21" t="s">
        <v>3130</v>
      </c>
    </row>
    <row r="3631" spans="1:44" x14ac:dyDescent="0.2">
      <c r="A3631" s="21" t="s">
        <v>1778</v>
      </c>
      <c r="B3631" s="21" t="s">
        <v>1146</v>
      </c>
      <c r="C3631" s="21" t="s">
        <v>1149</v>
      </c>
      <c r="D3631" s="21" t="s">
        <v>1774</v>
      </c>
      <c r="E3631" s="21" t="s">
        <v>3182</v>
      </c>
      <c r="G3631" s="21" t="s">
        <v>153</v>
      </c>
      <c r="H3631" s="21" t="s">
        <v>1165</v>
      </c>
      <c r="I3631" s="21" t="s">
        <v>3184</v>
      </c>
      <c r="L3631">
        <v>910</v>
      </c>
      <c r="M3631" s="21" t="s">
        <v>3034</v>
      </c>
      <c r="O3631">
        <v>1988</v>
      </c>
      <c r="S3631" s="9" t="s">
        <v>3169</v>
      </c>
      <c r="T3631" t="s">
        <v>3127</v>
      </c>
      <c r="U3631" s="21" t="s">
        <v>1218</v>
      </c>
      <c r="V3631" s="9" t="s">
        <v>3132</v>
      </c>
      <c r="W3631">
        <f>7*16</f>
        <v>112</v>
      </c>
      <c r="X3631" s="9" t="s">
        <v>1294</v>
      </c>
      <c r="Z3631">
        <v>24</v>
      </c>
      <c r="AD3631" t="s">
        <v>1165</v>
      </c>
      <c r="AF3631" t="s">
        <v>1165</v>
      </c>
      <c r="AI3631" s="21" t="s">
        <v>1165</v>
      </c>
      <c r="AJ3631" s="21" t="s">
        <v>1148</v>
      </c>
      <c r="AK3631">
        <v>95</v>
      </c>
      <c r="AN3631" s="21">
        <v>4</v>
      </c>
      <c r="AO3631" s="21">
        <v>25</v>
      </c>
      <c r="AP3631">
        <v>28</v>
      </c>
      <c r="AQ3631" s="22" t="s">
        <v>1283</v>
      </c>
      <c r="AR3631" s="21" t="s">
        <v>3130</v>
      </c>
    </row>
    <row r="3632" spans="1:44" x14ac:dyDescent="0.2">
      <c r="A3632" s="21" t="s">
        <v>1778</v>
      </c>
      <c r="B3632" s="21" t="s">
        <v>1146</v>
      </c>
      <c r="C3632" s="21" t="s">
        <v>1149</v>
      </c>
      <c r="D3632" s="21" t="s">
        <v>1774</v>
      </c>
      <c r="E3632" s="21" t="s">
        <v>3182</v>
      </c>
      <c r="G3632" s="21" t="s">
        <v>153</v>
      </c>
      <c r="H3632" s="21" t="s">
        <v>1165</v>
      </c>
      <c r="I3632" s="21" t="s">
        <v>3184</v>
      </c>
      <c r="L3632">
        <v>910</v>
      </c>
      <c r="M3632" s="21" t="s">
        <v>3034</v>
      </c>
      <c r="O3632">
        <v>1988</v>
      </c>
      <c r="S3632" s="9" t="s">
        <v>3169</v>
      </c>
      <c r="T3632" t="s">
        <v>3127</v>
      </c>
      <c r="U3632" s="21" t="s">
        <v>1218</v>
      </c>
      <c r="V3632" s="9" t="s">
        <v>3132</v>
      </c>
      <c r="W3632">
        <f>7*24</f>
        <v>168</v>
      </c>
      <c r="X3632" s="9" t="s">
        <v>1294</v>
      </c>
      <c r="Z3632">
        <v>24</v>
      </c>
      <c r="AD3632" t="s">
        <v>1165</v>
      </c>
      <c r="AF3632" t="s">
        <v>1165</v>
      </c>
      <c r="AI3632" s="21" t="s">
        <v>1165</v>
      </c>
      <c r="AJ3632" s="21" t="s">
        <v>1148</v>
      </c>
      <c r="AK3632">
        <v>97</v>
      </c>
      <c r="AN3632" s="21">
        <v>4</v>
      </c>
      <c r="AO3632" s="21">
        <v>25</v>
      </c>
      <c r="AP3632">
        <v>28</v>
      </c>
      <c r="AQ3632" s="22" t="s">
        <v>1283</v>
      </c>
      <c r="AR3632" s="21" t="s">
        <v>3130</v>
      </c>
    </row>
    <row r="3633" spans="1:44" x14ac:dyDescent="0.2">
      <c r="A3633" s="21" t="s">
        <v>1778</v>
      </c>
      <c r="B3633" s="21" t="s">
        <v>1146</v>
      </c>
      <c r="C3633" s="21" t="s">
        <v>1149</v>
      </c>
      <c r="D3633" s="21" t="s">
        <v>1774</v>
      </c>
      <c r="E3633" s="21" t="s">
        <v>3182</v>
      </c>
      <c r="G3633" s="21" t="s">
        <v>153</v>
      </c>
      <c r="H3633" s="21" t="s">
        <v>1165</v>
      </c>
      <c r="I3633" s="21" t="s">
        <v>3184</v>
      </c>
      <c r="L3633">
        <v>910</v>
      </c>
      <c r="M3633" s="21" t="s">
        <v>3034</v>
      </c>
      <c r="O3633">
        <v>1988</v>
      </c>
      <c r="S3633" s="9" t="s">
        <v>3169</v>
      </c>
      <c r="T3633" t="s">
        <v>3127</v>
      </c>
      <c r="U3633" s="21" t="s">
        <v>1218</v>
      </c>
      <c r="V3633" s="9" t="s">
        <v>3132</v>
      </c>
      <c r="W3633">
        <f>12*7</f>
        <v>84</v>
      </c>
      <c r="X3633" s="9" t="s">
        <v>1294</v>
      </c>
      <c r="Y3633" t="s">
        <v>3170</v>
      </c>
      <c r="Z3633">
        <v>24</v>
      </c>
      <c r="AD3633" t="s">
        <v>1165</v>
      </c>
      <c r="AF3633" t="s">
        <v>1165</v>
      </c>
      <c r="AI3633" s="21" t="s">
        <v>1165</v>
      </c>
      <c r="AJ3633" s="21" t="s">
        <v>1148</v>
      </c>
      <c r="AK3633">
        <v>87</v>
      </c>
      <c r="AN3633" s="21">
        <v>4</v>
      </c>
      <c r="AO3633" s="21">
        <v>25</v>
      </c>
      <c r="AP3633">
        <v>28</v>
      </c>
      <c r="AQ3633" s="22" t="s">
        <v>1283</v>
      </c>
      <c r="AR3633" s="21" t="s">
        <v>3130</v>
      </c>
    </row>
    <row r="3634" spans="1:44" x14ac:dyDescent="0.2">
      <c r="A3634" s="21" t="s">
        <v>1778</v>
      </c>
      <c r="B3634" s="21" t="s">
        <v>1146</v>
      </c>
      <c r="C3634" s="21" t="s">
        <v>1149</v>
      </c>
      <c r="D3634" s="21" t="s">
        <v>1774</v>
      </c>
      <c r="E3634" s="21" t="s">
        <v>3182</v>
      </c>
      <c r="G3634" s="21" t="s">
        <v>153</v>
      </c>
      <c r="H3634" s="21" t="s">
        <v>1165</v>
      </c>
      <c r="I3634" s="21" t="s">
        <v>3184</v>
      </c>
      <c r="L3634">
        <v>910</v>
      </c>
      <c r="M3634" s="21" t="s">
        <v>3034</v>
      </c>
      <c r="O3634">
        <v>1988</v>
      </c>
      <c r="S3634" s="9" t="s">
        <v>3169</v>
      </c>
      <c r="T3634" t="s">
        <v>3127</v>
      </c>
      <c r="U3634" s="21" t="s">
        <v>1218</v>
      </c>
      <c r="V3634" s="9" t="s">
        <v>3132</v>
      </c>
      <c r="W3634">
        <f>12*7</f>
        <v>84</v>
      </c>
      <c r="X3634" s="9" t="s">
        <v>1294</v>
      </c>
      <c r="Y3634" t="s">
        <v>3134</v>
      </c>
      <c r="Z3634">
        <v>24</v>
      </c>
      <c r="AD3634" t="s">
        <v>1165</v>
      </c>
      <c r="AF3634" t="s">
        <v>1165</v>
      </c>
      <c r="AI3634" s="21" t="s">
        <v>1165</v>
      </c>
      <c r="AJ3634" s="21" t="s">
        <v>1148</v>
      </c>
      <c r="AK3634">
        <v>30</v>
      </c>
      <c r="AN3634" s="21">
        <v>4</v>
      </c>
      <c r="AO3634" s="21">
        <v>25</v>
      </c>
      <c r="AP3634">
        <v>28</v>
      </c>
      <c r="AQ3634" s="22" t="s">
        <v>1283</v>
      </c>
      <c r="AR3634" s="21" t="s">
        <v>3130</v>
      </c>
    </row>
    <row r="3635" spans="1:44" x14ac:dyDescent="0.2">
      <c r="A3635" s="21" t="s">
        <v>1778</v>
      </c>
      <c r="B3635" s="21" t="s">
        <v>1146</v>
      </c>
      <c r="C3635" s="21" t="s">
        <v>1149</v>
      </c>
      <c r="D3635" s="21" t="s">
        <v>1774</v>
      </c>
      <c r="E3635" s="21" t="s">
        <v>3182</v>
      </c>
      <c r="G3635" s="21" t="s">
        <v>153</v>
      </c>
      <c r="H3635" s="21" t="s">
        <v>1165</v>
      </c>
      <c r="I3635" s="21" t="s">
        <v>3184</v>
      </c>
      <c r="L3635">
        <v>910</v>
      </c>
      <c r="M3635" s="21" t="s">
        <v>3034</v>
      </c>
      <c r="O3635">
        <v>1988</v>
      </c>
      <c r="S3635" s="9" t="s">
        <v>3169</v>
      </c>
      <c r="T3635" t="s">
        <v>3127</v>
      </c>
      <c r="U3635" s="21" t="s">
        <v>1218</v>
      </c>
      <c r="V3635" s="9" t="s">
        <v>3132</v>
      </c>
      <c r="W3635">
        <f>12*7</f>
        <v>84</v>
      </c>
      <c r="X3635" s="9" t="s">
        <v>1294</v>
      </c>
      <c r="Y3635" t="s">
        <v>3135</v>
      </c>
      <c r="Z3635">
        <v>24</v>
      </c>
      <c r="AD3635" t="s">
        <v>1165</v>
      </c>
      <c r="AF3635" t="s">
        <v>1165</v>
      </c>
      <c r="AI3635" s="21" t="s">
        <v>1165</v>
      </c>
      <c r="AJ3635" s="21" t="s">
        <v>1148</v>
      </c>
      <c r="AK3635">
        <v>51</v>
      </c>
      <c r="AN3635" s="21">
        <v>4</v>
      </c>
      <c r="AO3635" s="21">
        <v>25</v>
      </c>
      <c r="AP3635">
        <v>28</v>
      </c>
      <c r="AQ3635" s="22" t="s">
        <v>1283</v>
      </c>
      <c r="AR3635" s="21" t="s">
        <v>3130</v>
      </c>
    </row>
    <row r="3636" spans="1:44" x14ac:dyDescent="0.2">
      <c r="A3636" s="21" t="s">
        <v>1778</v>
      </c>
      <c r="B3636" s="21" t="s">
        <v>1146</v>
      </c>
      <c r="C3636" s="21" t="s">
        <v>1149</v>
      </c>
      <c r="D3636" s="21" t="s">
        <v>1774</v>
      </c>
      <c r="E3636" s="21" t="s">
        <v>3185</v>
      </c>
      <c r="G3636" s="21" t="s">
        <v>153</v>
      </c>
      <c r="H3636" s="21" t="s">
        <v>1165</v>
      </c>
      <c r="I3636" s="21" t="s">
        <v>3186</v>
      </c>
      <c r="M3636" s="21" t="s">
        <v>3034</v>
      </c>
      <c r="O3636">
        <v>1988</v>
      </c>
      <c r="S3636" s="9" t="s">
        <v>3169</v>
      </c>
      <c r="T3636" t="s">
        <v>3127</v>
      </c>
      <c r="U3636" s="21" t="s">
        <v>1147</v>
      </c>
      <c r="Z3636">
        <v>24</v>
      </c>
      <c r="AD3636" t="s">
        <v>1165</v>
      </c>
      <c r="AF3636" t="s">
        <v>1165</v>
      </c>
      <c r="AI3636" s="21" t="s">
        <v>1165</v>
      </c>
      <c r="AJ3636" s="21" t="s">
        <v>1148</v>
      </c>
      <c r="AK3636">
        <v>35</v>
      </c>
      <c r="AN3636" s="21">
        <v>4</v>
      </c>
      <c r="AO3636" s="21">
        <v>25</v>
      </c>
      <c r="AP3636">
        <v>28</v>
      </c>
      <c r="AQ3636" s="22" t="s">
        <v>1283</v>
      </c>
      <c r="AR3636" s="21" t="s">
        <v>3130</v>
      </c>
    </row>
    <row r="3637" spans="1:44" x14ac:dyDescent="0.2">
      <c r="A3637" s="21" t="s">
        <v>1778</v>
      </c>
      <c r="B3637" s="21" t="s">
        <v>1146</v>
      </c>
      <c r="C3637" s="21" t="s">
        <v>1149</v>
      </c>
      <c r="D3637" s="21" t="s">
        <v>1774</v>
      </c>
      <c r="E3637" s="21" t="s">
        <v>3185</v>
      </c>
      <c r="G3637" s="21" t="s">
        <v>153</v>
      </c>
      <c r="H3637" s="21" t="s">
        <v>1165</v>
      </c>
      <c r="I3637" s="21" t="s">
        <v>3186</v>
      </c>
      <c r="M3637" s="21" t="s">
        <v>3034</v>
      </c>
      <c r="O3637">
        <v>1988</v>
      </c>
      <c r="S3637" s="9" t="s">
        <v>3169</v>
      </c>
      <c r="T3637" t="s">
        <v>3127</v>
      </c>
      <c r="U3637" s="21" t="s">
        <v>1218</v>
      </c>
      <c r="V3637" s="9" t="s">
        <v>3132</v>
      </c>
      <c r="W3637">
        <v>28</v>
      </c>
      <c r="X3637" s="9" t="s">
        <v>1294</v>
      </c>
      <c r="Z3637">
        <v>24</v>
      </c>
      <c r="AD3637" t="s">
        <v>1165</v>
      </c>
      <c r="AF3637" t="s">
        <v>1165</v>
      </c>
      <c r="AI3637" s="21" t="s">
        <v>1165</v>
      </c>
      <c r="AJ3637" s="21" t="s">
        <v>1148</v>
      </c>
      <c r="AK3637">
        <v>70</v>
      </c>
      <c r="AN3637" s="21">
        <v>4</v>
      </c>
      <c r="AO3637" s="21">
        <v>25</v>
      </c>
      <c r="AP3637">
        <v>28</v>
      </c>
      <c r="AQ3637" s="22" t="s">
        <v>1283</v>
      </c>
      <c r="AR3637" s="21" t="s">
        <v>3130</v>
      </c>
    </row>
    <row r="3638" spans="1:44" x14ac:dyDescent="0.2">
      <c r="A3638" s="21" t="s">
        <v>1778</v>
      </c>
      <c r="B3638" s="21" t="s">
        <v>1146</v>
      </c>
      <c r="C3638" s="21" t="s">
        <v>1149</v>
      </c>
      <c r="D3638" s="21" t="s">
        <v>1774</v>
      </c>
      <c r="E3638" s="21" t="s">
        <v>3185</v>
      </c>
      <c r="G3638" s="21" t="s">
        <v>153</v>
      </c>
      <c r="H3638" s="21" t="s">
        <v>1165</v>
      </c>
      <c r="I3638" s="21" t="s">
        <v>3186</v>
      </c>
      <c r="M3638" s="21" t="s">
        <v>3034</v>
      </c>
      <c r="O3638">
        <v>1988</v>
      </c>
      <c r="S3638" s="9" t="s">
        <v>3169</v>
      </c>
      <c r="T3638" t="s">
        <v>3127</v>
      </c>
      <c r="U3638" s="21" t="s">
        <v>1218</v>
      </c>
      <c r="V3638" s="9" t="s">
        <v>3132</v>
      </c>
      <c r="W3638">
        <f>56</f>
        <v>56</v>
      </c>
      <c r="X3638" s="9" t="s">
        <v>1294</v>
      </c>
      <c r="Z3638">
        <v>24</v>
      </c>
      <c r="AD3638" t="s">
        <v>1165</v>
      </c>
      <c r="AF3638" t="s">
        <v>1165</v>
      </c>
      <c r="AI3638" s="21" t="s">
        <v>1165</v>
      </c>
      <c r="AJ3638" s="21" t="s">
        <v>1148</v>
      </c>
      <c r="AK3638">
        <v>75</v>
      </c>
      <c r="AN3638" s="21">
        <v>4</v>
      </c>
      <c r="AO3638" s="21">
        <v>25</v>
      </c>
      <c r="AP3638">
        <v>28</v>
      </c>
      <c r="AQ3638" s="22" t="s">
        <v>1283</v>
      </c>
      <c r="AR3638" s="21" t="s">
        <v>3130</v>
      </c>
    </row>
    <row r="3639" spans="1:44" x14ac:dyDescent="0.2">
      <c r="A3639" s="21" t="s">
        <v>1778</v>
      </c>
      <c r="B3639" s="21" t="s">
        <v>1146</v>
      </c>
      <c r="C3639" s="21" t="s">
        <v>1149</v>
      </c>
      <c r="D3639" s="21" t="s">
        <v>1774</v>
      </c>
      <c r="E3639" s="21" t="s">
        <v>3185</v>
      </c>
      <c r="G3639" s="21" t="s">
        <v>153</v>
      </c>
      <c r="H3639" s="21" t="s">
        <v>1165</v>
      </c>
      <c r="I3639" s="21" t="s">
        <v>3186</v>
      </c>
      <c r="M3639" s="21" t="s">
        <v>3034</v>
      </c>
      <c r="O3639">
        <v>1988</v>
      </c>
      <c r="S3639" s="9" t="s">
        <v>3169</v>
      </c>
      <c r="T3639" t="s">
        <v>3127</v>
      </c>
      <c r="U3639" s="21" t="s">
        <v>1218</v>
      </c>
      <c r="V3639" s="9" t="s">
        <v>3132</v>
      </c>
      <c r="W3639">
        <f>7*12</f>
        <v>84</v>
      </c>
      <c r="X3639" s="9" t="s">
        <v>1294</v>
      </c>
      <c r="Z3639">
        <v>24</v>
      </c>
      <c r="AD3639" t="s">
        <v>1165</v>
      </c>
      <c r="AF3639" t="s">
        <v>1165</v>
      </c>
      <c r="AI3639" s="21" t="s">
        <v>1165</v>
      </c>
      <c r="AJ3639" s="21" t="s">
        <v>1148</v>
      </c>
      <c r="AK3639">
        <v>90</v>
      </c>
      <c r="AN3639" s="21">
        <v>4</v>
      </c>
      <c r="AO3639" s="21">
        <v>25</v>
      </c>
      <c r="AP3639">
        <v>28</v>
      </c>
      <c r="AQ3639" s="22" t="s">
        <v>1283</v>
      </c>
      <c r="AR3639" s="21" t="s">
        <v>3130</v>
      </c>
    </row>
    <row r="3640" spans="1:44" x14ac:dyDescent="0.2">
      <c r="A3640" s="21" t="s">
        <v>1778</v>
      </c>
      <c r="B3640" s="21" t="s">
        <v>1146</v>
      </c>
      <c r="C3640" s="21" t="s">
        <v>1149</v>
      </c>
      <c r="D3640" s="21" t="s">
        <v>1774</v>
      </c>
      <c r="E3640" s="21" t="s">
        <v>3185</v>
      </c>
      <c r="G3640" s="21" t="s">
        <v>153</v>
      </c>
      <c r="H3640" s="21" t="s">
        <v>1165</v>
      </c>
      <c r="I3640" s="21" t="s">
        <v>3186</v>
      </c>
      <c r="M3640" s="21" t="s">
        <v>3034</v>
      </c>
      <c r="O3640">
        <v>1988</v>
      </c>
      <c r="S3640" s="9" t="s">
        <v>3169</v>
      </c>
      <c r="T3640" t="s">
        <v>3127</v>
      </c>
      <c r="U3640" s="21" t="s">
        <v>1218</v>
      </c>
      <c r="V3640" s="9" t="s">
        <v>3132</v>
      </c>
      <c r="W3640">
        <f>7*16</f>
        <v>112</v>
      </c>
      <c r="X3640" s="9" t="s">
        <v>1294</v>
      </c>
      <c r="Z3640">
        <v>24</v>
      </c>
      <c r="AD3640" t="s">
        <v>1165</v>
      </c>
      <c r="AF3640" t="s">
        <v>1165</v>
      </c>
      <c r="AI3640" s="21" t="s">
        <v>1165</v>
      </c>
      <c r="AJ3640" s="21" t="s">
        <v>1148</v>
      </c>
      <c r="AK3640">
        <v>97</v>
      </c>
      <c r="AN3640" s="21">
        <v>4</v>
      </c>
      <c r="AO3640" s="21">
        <v>25</v>
      </c>
      <c r="AP3640">
        <v>28</v>
      </c>
      <c r="AQ3640" s="22" t="s">
        <v>1283</v>
      </c>
      <c r="AR3640" s="21" t="s">
        <v>3130</v>
      </c>
    </row>
    <row r="3641" spans="1:44" x14ac:dyDescent="0.2">
      <c r="A3641" s="21" t="s">
        <v>1778</v>
      </c>
      <c r="B3641" s="21" t="s">
        <v>1146</v>
      </c>
      <c r="C3641" s="21" t="s">
        <v>1149</v>
      </c>
      <c r="D3641" s="21" t="s">
        <v>1774</v>
      </c>
      <c r="E3641" s="21" t="s">
        <v>3185</v>
      </c>
      <c r="G3641" s="21" t="s">
        <v>153</v>
      </c>
      <c r="H3641" s="21" t="s">
        <v>1165</v>
      </c>
      <c r="I3641" s="21" t="s">
        <v>3186</v>
      </c>
      <c r="M3641" s="21" t="s">
        <v>3034</v>
      </c>
      <c r="O3641">
        <v>1988</v>
      </c>
      <c r="S3641" s="9" t="s">
        <v>3169</v>
      </c>
      <c r="T3641" t="s">
        <v>3127</v>
      </c>
      <c r="U3641" s="21" t="s">
        <v>1218</v>
      </c>
      <c r="V3641" s="9" t="s">
        <v>3132</v>
      </c>
      <c r="W3641">
        <f>7*24</f>
        <v>168</v>
      </c>
      <c r="X3641" s="9" t="s">
        <v>1294</v>
      </c>
      <c r="Z3641">
        <v>24</v>
      </c>
      <c r="AD3641" t="s">
        <v>1165</v>
      </c>
      <c r="AF3641" t="s">
        <v>1165</v>
      </c>
      <c r="AI3641" s="21" t="s">
        <v>1165</v>
      </c>
      <c r="AJ3641" s="21" t="s">
        <v>1148</v>
      </c>
      <c r="AK3641">
        <v>95</v>
      </c>
      <c r="AN3641" s="21">
        <v>4</v>
      </c>
      <c r="AO3641" s="21">
        <v>25</v>
      </c>
      <c r="AP3641">
        <v>28</v>
      </c>
      <c r="AQ3641" s="22" t="s">
        <v>1283</v>
      </c>
      <c r="AR3641" s="21" t="s">
        <v>3130</v>
      </c>
    </row>
    <row r="3642" spans="1:44" x14ac:dyDescent="0.2">
      <c r="A3642" s="21" t="s">
        <v>1778</v>
      </c>
      <c r="B3642" s="21" t="s">
        <v>1146</v>
      </c>
      <c r="C3642" s="21" t="s">
        <v>1149</v>
      </c>
      <c r="D3642" s="21" t="s">
        <v>1774</v>
      </c>
      <c r="E3642" s="21" t="s">
        <v>3185</v>
      </c>
      <c r="G3642" s="21" t="s">
        <v>153</v>
      </c>
      <c r="H3642" s="21" t="s">
        <v>1165</v>
      </c>
      <c r="I3642" s="21" t="s">
        <v>3186</v>
      </c>
      <c r="M3642" s="21" t="s">
        <v>3034</v>
      </c>
      <c r="O3642">
        <v>1988</v>
      </c>
      <c r="S3642" s="9" t="s">
        <v>3169</v>
      </c>
      <c r="T3642" t="s">
        <v>3127</v>
      </c>
      <c r="U3642" s="21" t="s">
        <v>1218</v>
      </c>
      <c r="V3642" s="9" t="s">
        <v>3132</v>
      </c>
      <c r="W3642">
        <f>12*7</f>
        <v>84</v>
      </c>
      <c r="X3642" s="9" t="s">
        <v>1294</v>
      </c>
      <c r="Y3642" t="s">
        <v>3170</v>
      </c>
      <c r="Z3642">
        <v>24</v>
      </c>
      <c r="AD3642" t="s">
        <v>1165</v>
      </c>
      <c r="AF3642" t="s">
        <v>1165</v>
      </c>
      <c r="AI3642" s="21" t="s">
        <v>1165</v>
      </c>
      <c r="AJ3642" s="21" t="s">
        <v>1148</v>
      </c>
      <c r="AK3642">
        <v>95</v>
      </c>
      <c r="AN3642" s="21">
        <v>4</v>
      </c>
      <c r="AO3642" s="21">
        <v>25</v>
      </c>
      <c r="AP3642">
        <v>28</v>
      </c>
      <c r="AQ3642" s="22" t="s">
        <v>1283</v>
      </c>
      <c r="AR3642" s="21" t="s">
        <v>3130</v>
      </c>
    </row>
    <row r="3643" spans="1:44" x14ac:dyDescent="0.2">
      <c r="A3643" s="21" t="s">
        <v>1778</v>
      </c>
      <c r="B3643" s="21" t="s">
        <v>1146</v>
      </c>
      <c r="C3643" s="21" t="s">
        <v>1149</v>
      </c>
      <c r="D3643" s="21" t="s">
        <v>1774</v>
      </c>
      <c r="E3643" s="21" t="s">
        <v>3185</v>
      </c>
      <c r="G3643" s="21" t="s">
        <v>153</v>
      </c>
      <c r="H3643" s="21" t="s">
        <v>1165</v>
      </c>
      <c r="I3643" s="21" t="s">
        <v>3186</v>
      </c>
      <c r="M3643" s="21" t="s">
        <v>3034</v>
      </c>
      <c r="O3643">
        <v>1988</v>
      </c>
      <c r="S3643" s="9" t="s">
        <v>3169</v>
      </c>
      <c r="T3643" t="s">
        <v>3127</v>
      </c>
      <c r="U3643" s="21" t="s">
        <v>1218</v>
      </c>
      <c r="V3643" s="9" t="s">
        <v>3132</v>
      </c>
      <c r="W3643">
        <f>12*7</f>
        <v>84</v>
      </c>
      <c r="X3643" s="9" t="s">
        <v>1294</v>
      </c>
      <c r="Y3643" t="s">
        <v>3134</v>
      </c>
      <c r="Z3643">
        <v>24</v>
      </c>
      <c r="AD3643" t="s">
        <v>1165</v>
      </c>
      <c r="AF3643" t="s">
        <v>1165</v>
      </c>
      <c r="AI3643" s="21" t="s">
        <v>1165</v>
      </c>
      <c r="AJ3643" s="21" t="s">
        <v>1148</v>
      </c>
      <c r="AK3643">
        <v>81</v>
      </c>
      <c r="AN3643" s="21">
        <v>4</v>
      </c>
      <c r="AO3643" s="21">
        <v>25</v>
      </c>
      <c r="AP3643">
        <v>28</v>
      </c>
      <c r="AQ3643" s="22" t="s">
        <v>1283</v>
      </c>
      <c r="AR3643" s="21" t="s">
        <v>3130</v>
      </c>
    </row>
    <row r="3644" spans="1:44" x14ac:dyDescent="0.2">
      <c r="A3644" s="21" t="s">
        <v>1778</v>
      </c>
      <c r="B3644" s="21" t="s">
        <v>1146</v>
      </c>
      <c r="C3644" s="21" t="s">
        <v>1149</v>
      </c>
      <c r="D3644" s="21" t="s">
        <v>1774</v>
      </c>
      <c r="E3644" s="21" t="s">
        <v>3185</v>
      </c>
      <c r="G3644" s="21" t="s">
        <v>153</v>
      </c>
      <c r="H3644" s="21" t="s">
        <v>1165</v>
      </c>
      <c r="I3644" s="21" t="s">
        <v>3186</v>
      </c>
      <c r="M3644" s="21" t="s">
        <v>3034</v>
      </c>
      <c r="O3644">
        <v>1988</v>
      </c>
      <c r="S3644" s="9" t="s">
        <v>3169</v>
      </c>
      <c r="T3644" t="s">
        <v>3127</v>
      </c>
      <c r="U3644" s="21" t="s">
        <v>1218</v>
      </c>
      <c r="V3644" s="9" t="s">
        <v>3132</v>
      </c>
      <c r="W3644">
        <f>12*7</f>
        <v>84</v>
      </c>
      <c r="X3644" s="9" t="s">
        <v>1294</v>
      </c>
      <c r="Y3644" t="s">
        <v>3135</v>
      </c>
      <c r="Z3644">
        <v>24</v>
      </c>
      <c r="AD3644" t="s">
        <v>1165</v>
      </c>
      <c r="AF3644" t="s">
        <v>1165</v>
      </c>
      <c r="AI3644" s="21" t="s">
        <v>1165</v>
      </c>
      <c r="AJ3644" s="21" t="s">
        <v>1148</v>
      </c>
      <c r="AK3644">
        <v>79</v>
      </c>
      <c r="AN3644" s="21">
        <v>4</v>
      </c>
      <c r="AO3644" s="21">
        <v>25</v>
      </c>
      <c r="AP3644">
        <v>28</v>
      </c>
      <c r="AQ3644" s="22" t="s">
        <v>1283</v>
      </c>
      <c r="AR3644" s="21" t="s">
        <v>3130</v>
      </c>
    </row>
    <row r="3645" spans="1:44" x14ac:dyDescent="0.2">
      <c r="A3645" s="21" t="s">
        <v>1778</v>
      </c>
      <c r="B3645" s="21" t="s">
        <v>1146</v>
      </c>
      <c r="C3645" s="21" t="s">
        <v>1149</v>
      </c>
      <c r="D3645" s="21" t="s">
        <v>1774</v>
      </c>
      <c r="E3645" s="21" t="s">
        <v>3185</v>
      </c>
      <c r="G3645" s="21" t="s">
        <v>153</v>
      </c>
      <c r="H3645" s="21" t="s">
        <v>1165</v>
      </c>
      <c r="I3645" s="21" t="s">
        <v>3145</v>
      </c>
      <c r="L3645">
        <v>1690</v>
      </c>
      <c r="M3645" s="21" t="s">
        <v>3034</v>
      </c>
      <c r="O3645">
        <v>1988</v>
      </c>
      <c r="S3645" s="9" t="s">
        <v>3169</v>
      </c>
      <c r="T3645" t="s">
        <v>3127</v>
      </c>
      <c r="U3645" s="21" t="s">
        <v>1147</v>
      </c>
      <c r="Z3645">
        <v>24</v>
      </c>
      <c r="AD3645" t="s">
        <v>1165</v>
      </c>
      <c r="AF3645" t="s">
        <v>1165</v>
      </c>
      <c r="AI3645" s="21" t="s">
        <v>1165</v>
      </c>
      <c r="AJ3645" s="21" t="s">
        <v>1148</v>
      </c>
      <c r="AK3645">
        <v>15</v>
      </c>
      <c r="AN3645" s="21">
        <v>4</v>
      </c>
      <c r="AO3645" s="21">
        <v>25</v>
      </c>
      <c r="AP3645">
        <v>28</v>
      </c>
      <c r="AQ3645" s="22" t="s">
        <v>1283</v>
      </c>
      <c r="AR3645" s="21" t="s">
        <v>3130</v>
      </c>
    </row>
    <row r="3646" spans="1:44" x14ac:dyDescent="0.2">
      <c r="A3646" s="21" t="s">
        <v>1778</v>
      </c>
      <c r="B3646" s="21" t="s">
        <v>1146</v>
      </c>
      <c r="C3646" s="21" t="s">
        <v>1149</v>
      </c>
      <c r="D3646" s="21" t="s">
        <v>1774</v>
      </c>
      <c r="E3646" s="21" t="s">
        <v>3185</v>
      </c>
      <c r="G3646" s="21" t="s">
        <v>153</v>
      </c>
      <c r="H3646" s="21" t="s">
        <v>1165</v>
      </c>
      <c r="I3646" s="21" t="s">
        <v>3145</v>
      </c>
      <c r="L3646">
        <v>1690</v>
      </c>
      <c r="M3646" s="21" t="s">
        <v>3034</v>
      </c>
      <c r="O3646">
        <v>1988</v>
      </c>
      <c r="S3646" s="9" t="s">
        <v>3169</v>
      </c>
      <c r="T3646" t="s">
        <v>3127</v>
      </c>
      <c r="U3646" s="21" t="s">
        <v>1218</v>
      </c>
      <c r="V3646" s="9" t="s">
        <v>3132</v>
      </c>
      <c r="W3646">
        <v>28</v>
      </c>
      <c r="X3646" s="9" t="s">
        <v>1294</v>
      </c>
      <c r="Z3646">
        <v>24</v>
      </c>
      <c r="AD3646" t="s">
        <v>1165</v>
      </c>
      <c r="AF3646" t="s">
        <v>1165</v>
      </c>
      <c r="AI3646" s="21" t="s">
        <v>1165</v>
      </c>
      <c r="AJ3646" s="21" t="s">
        <v>1148</v>
      </c>
      <c r="AK3646">
        <v>43</v>
      </c>
      <c r="AN3646" s="21">
        <v>4</v>
      </c>
      <c r="AO3646" s="21">
        <v>25</v>
      </c>
      <c r="AP3646">
        <v>28</v>
      </c>
      <c r="AQ3646" s="22" t="s">
        <v>1283</v>
      </c>
      <c r="AR3646" s="21" t="s">
        <v>3130</v>
      </c>
    </row>
    <row r="3647" spans="1:44" x14ac:dyDescent="0.2">
      <c r="A3647" s="21" t="s">
        <v>1778</v>
      </c>
      <c r="B3647" s="21" t="s">
        <v>1146</v>
      </c>
      <c r="C3647" s="21" t="s">
        <v>1149</v>
      </c>
      <c r="D3647" s="21" t="s">
        <v>1774</v>
      </c>
      <c r="E3647" s="21" t="s">
        <v>3185</v>
      </c>
      <c r="G3647" s="21" t="s">
        <v>153</v>
      </c>
      <c r="H3647" s="21" t="s">
        <v>1165</v>
      </c>
      <c r="I3647" s="21" t="s">
        <v>3145</v>
      </c>
      <c r="L3647">
        <v>1690</v>
      </c>
      <c r="M3647" s="21" t="s">
        <v>3034</v>
      </c>
      <c r="O3647">
        <v>1988</v>
      </c>
      <c r="S3647" s="9" t="s">
        <v>3169</v>
      </c>
      <c r="T3647" t="s">
        <v>3127</v>
      </c>
      <c r="U3647" s="21" t="s">
        <v>1218</v>
      </c>
      <c r="V3647" s="9" t="s">
        <v>3132</v>
      </c>
      <c r="W3647">
        <f>56</f>
        <v>56</v>
      </c>
      <c r="X3647" s="9" t="s">
        <v>1294</v>
      </c>
      <c r="Z3647">
        <v>24</v>
      </c>
      <c r="AD3647" t="s">
        <v>1165</v>
      </c>
      <c r="AF3647" t="s">
        <v>1165</v>
      </c>
      <c r="AI3647" s="21" t="s">
        <v>1165</v>
      </c>
      <c r="AJ3647" s="21" t="s">
        <v>1148</v>
      </c>
      <c r="AK3647">
        <v>63</v>
      </c>
      <c r="AN3647" s="21">
        <v>4</v>
      </c>
      <c r="AO3647" s="21">
        <v>25</v>
      </c>
      <c r="AP3647">
        <v>28</v>
      </c>
      <c r="AQ3647" s="22" t="s">
        <v>1283</v>
      </c>
      <c r="AR3647" s="21" t="s">
        <v>3130</v>
      </c>
    </row>
    <row r="3648" spans="1:44" x14ac:dyDescent="0.2">
      <c r="A3648" s="21" t="s">
        <v>1778</v>
      </c>
      <c r="B3648" s="21" t="s">
        <v>1146</v>
      </c>
      <c r="C3648" s="21" t="s">
        <v>1149</v>
      </c>
      <c r="D3648" s="21" t="s">
        <v>1774</v>
      </c>
      <c r="E3648" s="21" t="s">
        <v>3185</v>
      </c>
      <c r="G3648" s="21" t="s">
        <v>153</v>
      </c>
      <c r="H3648" s="21" t="s">
        <v>1165</v>
      </c>
      <c r="I3648" s="21" t="s">
        <v>3145</v>
      </c>
      <c r="L3648">
        <v>1690</v>
      </c>
      <c r="M3648" s="21" t="s">
        <v>3034</v>
      </c>
      <c r="O3648">
        <v>1988</v>
      </c>
      <c r="S3648" s="9" t="s">
        <v>3169</v>
      </c>
      <c r="T3648" t="s">
        <v>3127</v>
      </c>
      <c r="U3648" s="21" t="s">
        <v>1218</v>
      </c>
      <c r="V3648" s="9" t="s">
        <v>3132</v>
      </c>
      <c r="W3648">
        <f>7*12</f>
        <v>84</v>
      </c>
      <c r="X3648" s="9" t="s">
        <v>1294</v>
      </c>
      <c r="Z3648">
        <v>24</v>
      </c>
      <c r="AD3648" t="s">
        <v>1165</v>
      </c>
      <c r="AF3648" t="s">
        <v>1165</v>
      </c>
      <c r="AI3648" s="21" t="s">
        <v>1165</v>
      </c>
      <c r="AJ3648" s="21" t="s">
        <v>1148</v>
      </c>
      <c r="AK3648">
        <v>92</v>
      </c>
      <c r="AN3648" s="21">
        <v>4</v>
      </c>
      <c r="AO3648" s="21">
        <v>25</v>
      </c>
      <c r="AP3648">
        <v>28</v>
      </c>
      <c r="AQ3648" s="22" t="s">
        <v>1283</v>
      </c>
      <c r="AR3648" s="21" t="s">
        <v>3130</v>
      </c>
    </row>
    <row r="3649" spans="1:44" x14ac:dyDescent="0.2">
      <c r="A3649" s="21" t="s">
        <v>1778</v>
      </c>
      <c r="B3649" s="21" t="s">
        <v>1146</v>
      </c>
      <c r="C3649" s="21" t="s">
        <v>1149</v>
      </c>
      <c r="D3649" s="21" t="s">
        <v>1774</v>
      </c>
      <c r="E3649" s="21" t="s">
        <v>3185</v>
      </c>
      <c r="G3649" s="21" t="s">
        <v>153</v>
      </c>
      <c r="H3649" s="21" t="s">
        <v>1165</v>
      </c>
      <c r="I3649" s="21" t="s">
        <v>3145</v>
      </c>
      <c r="L3649">
        <v>1690</v>
      </c>
      <c r="M3649" s="21" t="s">
        <v>3034</v>
      </c>
      <c r="O3649">
        <v>1988</v>
      </c>
      <c r="S3649" s="9" t="s">
        <v>3169</v>
      </c>
      <c r="T3649" t="s">
        <v>3127</v>
      </c>
      <c r="U3649" s="21" t="s">
        <v>1218</v>
      </c>
      <c r="V3649" s="9" t="s">
        <v>3132</v>
      </c>
      <c r="W3649">
        <f>7*16</f>
        <v>112</v>
      </c>
      <c r="X3649" s="9" t="s">
        <v>1294</v>
      </c>
      <c r="Z3649">
        <v>24</v>
      </c>
      <c r="AD3649" t="s">
        <v>1165</v>
      </c>
      <c r="AF3649" t="s">
        <v>1165</v>
      </c>
      <c r="AI3649" s="21" t="s">
        <v>1165</v>
      </c>
      <c r="AJ3649" s="21" t="s">
        <v>1148</v>
      </c>
      <c r="AK3649">
        <v>96</v>
      </c>
      <c r="AN3649" s="21">
        <v>4</v>
      </c>
      <c r="AO3649" s="21">
        <v>25</v>
      </c>
      <c r="AP3649">
        <v>28</v>
      </c>
      <c r="AQ3649" s="22" t="s">
        <v>1283</v>
      </c>
      <c r="AR3649" s="21" t="s">
        <v>3130</v>
      </c>
    </row>
    <row r="3650" spans="1:44" x14ac:dyDescent="0.2">
      <c r="A3650" s="21" t="s">
        <v>1778</v>
      </c>
      <c r="B3650" s="21" t="s">
        <v>1146</v>
      </c>
      <c r="C3650" s="21" t="s">
        <v>1149</v>
      </c>
      <c r="D3650" s="21" t="s">
        <v>1774</v>
      </c>
      <c r="E3650" s="21" t="s">
        <v>3185</v>
      </c>
      <c r="G3650" s="21" t="s">
        <v>153</v>
      </c>
      <c r="H3650" s="21" t="s">
        <v>1165</v>
      </c>
      <c r="I3650" s="21" t="s">
        <v>3145</v>
      </c>
      <c r="L3650">
        <v>1690</v>
      </c>
      <c r="M3650" s="21" t="s">
        <v>3034</v>
      </c>
      <c r="O3650">
        <v>1988</v>
      </c>
      <c r="S3650" s="9" t="s">
        <v>3169</v>
      </c>
      <c r="T3650" t="s">
        <v>3127</v>
      </c>
      <c r="U3650" s="21" t="s">
        <v>1218</v>
      </c>
      <c r="V3650" s="9" t="s">
        <v>3132</v>
      </c>
      <c r="W3650">
        <f>7*24</f>
        <v>168</v>
      </c>
      <c r="X3650" s="9" t="s">
        <v>1294</v>
      </c>
      <c r="Z3650">
        <v>24</v>
      </c>
      <c r="AD3650" t="s">
        <v>1165</v>
      </c>
      <c r="AF3650" t="s">
        <v>1165</v>
      </c>
      <c r="AI3650" s="21" t="s">
        <v>1165</v>
      </c>
      <c r="AJ3650" s="21" t="s">
        <v>1148</v>
      </c>
      <c r="AK3650">
        <v>100</v>
      </c>
      <c r="AN3650" s="21">
        <v>4</v>
      </c>
      <c r="AO3650" s="21">
        <v>25</v>
      </c>
      <c r="AP3650">
        <v>28</v>
      </c>
      <c r="AQ3650" s="22" t="s">
        <v>1283</v>
      </c>
      <c r="AR3650" s="21" t="s">
        <v>3130</v>
      </c>
    </row>
    <row r="3651" spans="1:44" x14ac:dyDescent="0.2">
      <c r="A3651" s="21" t="s">
        <v>1778</v>
      </c>
      <c r="B3651" s="21" t="s">
        <v>1146</v>
      </c>
      <c r="C3651" s="21" t="s">
        <v>1149</v>
      </c>
      <c r="D3651" s="21" t="s">
        <v>1774</v>
      </c>
      <c r="E3651" s="21" t="s">
        <v>3185</v>
      </c>
      <c r="G3651" s="21" t="s">
        <v>153</v>
      </c>
      <c r="H3651" s="21" t="s">
        <v>1165</v>
      </c>
      <c r="I3651" s="21" t="s">
        <v>3145</v>
      </c>
      <c r="L3651">
        <v>1690</v>
      </c>
      <c r="M3651" s="21" t="s">
        <v>3034</v>
      </c>
      <c r="O3651">
        <v>1988</v>
      </c>
      <c r="S3651" s="9" t="s">
        <v>3169</v>
      </c>
      <c r="T3651" t="s">
        <v>3127</v>
      </c>
      <c r="U3651" s="21" t="s">
        <v>1218</v>
      </c>
      <c r="V3651" s="9" t="s">
        <v>3132</v>
      </c>
      <c r="W3651">
        <f>12*7</f>
        <v>84</v>
      </c>
      <c r="X3651" s="9" t="s">
        <v>1294</v>
      </c>
      <c r="Y3651" t="s">
        <v>3170</v>
      </c>
      <c r="Z3651">
        <v>24</v>
      </c>
      <c r="AD3651" t="s">
        <v>1165</v>
      </c>
      <c r="AF3651" t="s">
        <v>1165</v>
      </c>
      <c r="AI3651" s="21" t="s">
        <v>1165</v>
      </c>
      <c r="AJ3651" s="21" t="s">
        <v>1148</v>
      </c>
      <c r="AK3651">
        <v>96</v>
      </c>
      <c r="AN3651" s="21">
        <v>4</v>
      </c>
      <c r="AO3651" s="21">
        <v>25</v>
      </c>
      <c r="AP3651">
        <v>28</v>
      </c>
      <c r="AQ3651" s="22" t="s">
        <v>1283</v>
      </c>
      <c r="AR3651" s="21" t="s">
        <v>3130</v>
      </c>
    </row>
    <row r="3652" spans="1:44" x14ac:dyDescent="0.2">
      <c r="A3652" s="21" t="s">
        <v>1778</v>
      </c>
      <c r="B3652" s="21" t="s">
        <v>1146</v>
      </c>
      <c r="C3652" s="21" t="s">
        <v>1149</v>
      </c>
      <c r="D3652" s="21" t="s">
        <v>1774</v>
      </c>
      <c r="E3652" s="21" t="s">
        <v>3185</v>
      </c>
      <c r="G3652" s="21" t="s">
        <v>153</v>
      </c>
      <c r="H3652" s="21" t="s">
        <v>1165</v>
      </c>
      <c r="I3652" s="21" t="s">
        <v>3145</v>
      </c>
      <c r="L3652">
        <v>1690</v>
      </c>
      <c r="M3652" s="21" t="s">
        <v>3034</v>
      </c>
      <c r="O3652">
        <v>1988</v>
      </c>
      <c r="S3652" s="9" t="s">
        <v>3169</v>
      </c>
      <c r="T3652" t="s">
        <v>3127</v>
      </c>
      <c r="U3652" s="21" t="s">
        <v>1218</v>
      </c>
      <c r="V3652" s="9" t="s">
        <v>3132</v>
      </c>
      <c r="W3652">
        <f>12*7</f>
        <v>84</v>
      </c>
      <c r="X3652" s="9" t="s">
        <v>1294</v>
      </c>
      <c r="Y3652" t="s">
        <v>3134</v>
      </c>
      <c r="Z3652">
        <v>24</v>
      </c>
      <c r="AD3652" t="s">
        <v>1165</v>
      </c>
      <c r="AF3652" t="s">
        <v>1165</v>
      </c>
      <c r="AI3652" s="21" t="s">
        <v>1165</v>
      </c>
      <c r="AJ3652" s="21" t="s">
        <v>1148</v>
      </c>
      <c r="AK3652">
        <v>72</v>
      </c>
      <c r="AN3652" s="21">
        <v>4</v>
      </c>
      <c r="AO3652" s="21">
        <v>25</v>
      </c>
      <c r="AP3652">
        <v>28</v>
      </c>
      <c r="AQ3652" s="22" t="s">
        <v>1283</v>
      </c>
      <c r="AR3652" s="21" t="s">
        <v>3130</v>
      </c>
    </row>
    <row r="3653" spans="1:44" x14ac:dyDescent="0.2">
      <c r="A3653" s="21" t="s">
        <v>1778</v>
      </c>
      <c r="B3653" s="21" t="s">
        <v>1146</v>
      </c>
      <c r="C3653" s="21" t="s">
        <v>1149</v>
      </c>
      <c r="D3653" s="21" t="s">
        <v>1774</v>
      </c>
      <c r="E3653" s="21" t="s">
        <v>3185</v>
      </c>
      <c r="G3653" s="21" t="s">
        <v>153</v>
      </c>
      <c r="H3653" s="21" t="s">
        <v>1165</v>
      </c>
      <c r="I3653" s="21" t="s">
        <v>3145</v>
      </c>
      <c r="L3653">
        <v>1690</v>
      </c>
      <c r="M3653" s="21" t="s">
        <v>3034</v>
      </c>
      <c r="O3653">
        <v>1988</v>
      </c>
      <c r="S3653" s="9" t="s">
        <v>3169</v>
      </c>
      <c r="T3653" t="s">
        <v>3127</v>
      </c>
      <c r="U3653" s="21" t="s">
        <v>1218</v>
      </c>
      <c r="V3653" s="9" t="s">
        <v>3132</v>
      </c>
      <c r="W3653">
        <f>12*7</f>
        <v>84</v>
      </c>
      <c r="X3653" s="9" t="s">
        <v>1294</v>
      </c>
      <c r="Y3653" t="s">
        <v>3135</v>
      </c>
      <c r="Z3653">
        <v>24</v>
      </c>
      <c r="AD3653" t="s">
        <v>1165</v>
      </c>
      <c r="AF3653" t="s">
        <v>1165</v>
      </c>
      <c r="AI3653" s="21" t="s">
        <v>1165</v>
      </c>
      <c r="AJ3653" s="21" t="s">
        <v>1148</v>
      </c>
      <c r="AK3653">
        <v>87</v>
      </c>
      <c r="AN3653" s="21">
        <v>4</v>
      </c>
      <c r="AO3653" s="21">
        <v>25</v>
      </c>
      <c r="AP3653">
        <v>28</v>
      </c>
      <c r="AQ3653" s="22" t="s">
        <v>1283</v>
      </c>
      <c r="AR3653" s="21" t="s">
        <v>3130</v>
      </c>
    </row>
    <row r="3654" spans="1:44" x14ac:dyDescent="0.2">
      <c r="A3654" s="21" t="s">
        <v>1778</v>
      </c>
      <c r="B3654" s="21" t="s">
        <v>1146</v>
      </c>
      <c r="C3654" s="21" t="s">
        <v>1149</v>
      </c>
      <c r="D3654" s="21" t="s">
        <v>1774</v>
      </c>
      <c r="E3654" s="21" t="s">
        <v>3185</v>
      </c>
      <c r="G3654" s="21" t="s">
        <v>153</v>
      </c>
      <c r="H3654" s="21" t="s">
        <v>1165</v>
      </c>
      <c r="I3654" s="21" t="s">
        <v>3149</v>
      </c>
      <c r="L3654">
        <v>1720</v>
      </c>
      <c r="M3654" s="21" t="s">
        <v>3034</v>
      </c>
      <c r="O3654">
        <v>1988</v>
      </c>
      <c r="S3654" s="9" t="s">
        <v>3169</v>
      </c>
      <c r="T3654" t="s">
        <v>3127</v>
      </c>
      <c r="U3654" s="21" t="s">
        <v>1147</v>
      </c>
      <c r="Z3654">
        <v>24</v>
      </c>
      <c r="AD3654" t="s">
        <v>1165</v>
      </c>
      <c r="AF3654" t="s">
        <v>1165</v>
      </c>
      <c r="AI3654" s="21" t="s">
        <v>1165</v>
      </c>
      <c r="AJ3654" s="21" t="s">
        <v>1148</v>
      </c>
      <c r="AK3654">
        <v>11</v>
      </c>
      <c r="AN3654" s="21">
        <v>4</v>
      </c>
      <c r="AO3654" s="21">
        <v>25</v>
      </c>
      <c r="AP3654">
        <v>28</v>
      </c>
      <c r="AQ3654" s="22" t="s">
        <v>1283</v>
      </c>
      <c r="AR3654" s="21" t="s">
        <v>3130</v>
      </c>
    </row>
    <row r="3655" spans="1:44" x14ac:dyDescent="0.2">
      <c r="A3655" s="21" t="s">
        <v>1778</v>
      </c>
      <c r="B3655" s="21" t="s">
        <v>1146</v>
      </c>
      <c r="C3655" s="21" t="s">
        <v>1149</v>
      </c>
      <c r="D3655" s="21" t="s">
        <v>1774</v>
      </c>
      <c r="E3655" s="21" t="s">
        <v>3185</v>
      </c>
      <c r="G3655" s="21" t="s">
        <v>153</v>
      </c>
      <c r="H3655" s="21" t="s">
        <v>1165</v>
      </c>
      <c r="I3655" s="21" t="s">
        <v>3149</v>
      </c>
      <c r="L3655">
        <v>1720</v>
      </c>
      <c r="M3655" s="21" t="s">
        <v>3034</v>
      </c>
      <c r="O3655">
        <v>1988</v>
      </c>
      <c r="S3655" s="9" t="s">
        <v>3169</v>
      </c>
      <c r="T3655" t="s">
        <v>3127</v>
      </c>
      <c r="U3655" s="21" t="s">
        <v>1218</v>
      </c>
      <c r="V3655" s="9" t="s">
        <v>3132</v>
      </c>
      <c r="W3655">
        <v>28</v>
      </c>
      <c r="X3655" s="9" t="s">
        <v>1294</v>
      </c>
      <c r="Z3655">
        <v>24</v>
      </c>
      <c r="AD3655" t="s">
        <v>1165</v>
      </c>
      <c r="AF3655" t="s">
        <v>1165</v>
      </c>
      <c r="AI3655" s="21" t="s">
        <v>1165</v>
      </c>
      <c r="AJ3655" s="21" t="s">
        <v>1148</v>
      </c>
      <c r="AK3655">
        <v>30</v>
      </c>
      <c r="AN3655" s="21">
        <v>4</v>
      </c>
      <c r="AO3655" s="21">
        <v>25</v>
      </c>
      <c r="AP3655">
        <v>28</v>
      </c>
      <c r="AQ3655" s="22" t="s">
        <v>1283</v>
      </c>
      <c r="AR3655" s="21" t="s">
        <v>3130</v>
      </c>
    </row>
    <row r="3656" spans="1:44" x14ac:dyDescent="0.2">
      <c r="A3656" s="21" t="s">
        <v>1778</v>
      </c>
      <c r="B3656" s="21" t="s">
        <v>1146</v>
      </c>
      <c r="C3656" s="21" t="s">
        <v>1149</v>
      </c>
      <c r="D3656" s="21" t="s">
        <v>1774</v>
      </c>
      <c r="E3656" s="21" t="s">
        <v>3185</v>
      </c>
      <c r="G3656" s="21" t="s">
        <v>153</v>
      </c>
      <c r="H3656" s="21" t="s">
        <v>1165</v>
      </c>
      <c r="I3656" s="21" t="s">
        <v>3149</v>
      </c>
      <c r="L3656">
        <v>1720</v>
      </c>
      <c r="M3656" s="21" t="s">
        <v>3034</v>
      </c>
      <c r="O3656">
        <v>1988</v>
      </c>
      <c r="S3656" s="9" t="s">
        <v>3169</v>
      </c>
      <c r="T3656" t="s">
        <v>3127</v>
      </c>
      <c r="U3656" s="21" t="s">
        <v>1218</v>
      </c>
      <c r="V3656" s="9" t="s">
        <v>3132</v>
      </c>
      <c r="W3656">
        <f>56</f>
        <v>56</v>
      </c>
      <c r="X3656" s="9" t="s">
        <v>1294</v>
      </c>
      <c r="Z3656">
        <v>24</v>
      </c>
      <c r="AD3656" t="s">
        <v>1165</v>
      </c>
      <c r="AF3656" t="s">
        <v>1165</v>
      </c>
      <c r="AI3656" s="21" t="s">
        <v>1165</v>
      </c>
      <c r="AJ3656" s="21" t="s">
        <v>1148</v>
      </c>
      <c r="AK3656">
        <v>31</v>
      </c>
      <c r="AN3656" s="21">
        <v>4</v>
      </c>
      <c r="AO3656" s="21">
        <v>25</v>
      </c>
      <c r="AP3656">
        <v>28</v>
      </c>
      <c r="AQ3656" s="22" t="s">
        <v>1283</v>
      </c>
      <c r="AR3656" s="21" t="s">
        <v>3130</v>
      </c>
    </row>
    <row r="3657" spans="1:44" x14ac:dyDescent="0.2">
      <c r="A3657" s="21" t="s">
        <v>1778</v>
      </c>
      <c r="B3657" s="21" t="s">
        <v>1146</v>
      </c>
      <c r="C3657" s="21" t="s">
        <v>1149</v>
      </c>
      <c r="D3657" s="21" t="s">
        <v>1774</v>
      </c>
      <c r="E3657" s="21" t="s">
        <v>3185</v>
      </c>
      <c r="G3657" s="21" t="s">
        <v>153</v>
      </c>
      <c r="H3657" s="21" t="s">
        <v>1165</v>
      </c>
      <c r="I3657" s="21" t="s">
        <v>3149</v>
      </c>
      <c r="L3657">
        <v>1720</v>
      </c>
      <c r="M3657" s="21" t="s">
        <v>3034</v>
      </c>
      <c r="O3657">
        <v>1988</v>
      </c>
      <c r="S3657" s="9" t="s">
        <v>3169</v>
      </c>
      <c r="T3657" t="s">
        <v>3127</v>
      </c>
      <c r="U3657" s="21" t="s">
        <v>1218</v>
      </c>
      <c r="V3657" s="9" t="s">
        <v>3132</v>
      </c>
      <c r="W3657">
        <f>7*12</f>
        <v>84</v>
      </c>
      <c r="X3657" s="9" t="s">
        <v>1294</v>
      </c>
      <c r="Z3657">
        <v>24</v>
      </c>
      <c r="AD3657" t="s">
        <v>1165</v>
      </c>
      <c r="AF3657" t="s">
        <v>1165</v>
      </c>
      <c r="AI3657" s="21" t="s">
        <v>1165</v>
      </c>
      <c r="AJ3657" s="21" t="s">
        <v>1148</v>
      </c>
      <c r="AK3657">
        <v>84</v>
      </c>
      <c r="AN3657" s="21">
        <v>4</v>
      </c>
      <c r="AO3657" s="21">
        <v>25</v>
      </c>
      <c r="AP3657">
        <v>28</v>
      </c>
      <c r="AQ3657" s="22" t="s">
        <v>1283</v>
      </c>
      <c r="AR3657" s="21" t="s">
        <v>3130</v>
      </c>
    </row>
    <row r="3658" spans="1:44" x14ac:dyDescent="0.2">
      <c r="A3658" s="21" t="s">
        <v>1778</v>
      </c>
      <c r="B3658" s="21" t="s">
        <v>1146</v>
      </c>
      <c r="C3658" s="21" t="s">
        <v>1149</v>
      </c>
      <c r="D3658" s="21" t="s">
        <v>1774</v>
      </c>
      <c r="E3658" s="21" t="s">
        <v>3185</v>
      </c>
      <c r="G3658" s="21" t="s">
        <v>153</v>
      </c>
      <c r="H3658" s="21" t="s">
        <v>1165</v>
      </c>
      <c r="I3658" s="21" t="s">
        <v>3149</v>
      </c>
      <c r="L3658">
        <v>1720</v>
      </c>
      <c r="M3658" s="21" t="s">
        <v>3034</v>
      </c>
      <c r="O3658">
        <v>1988</v>
      </c>
      <c r="S3658" s="9" t="s">
        <v>3169</v>
      </c>
      <c r="T3658" t="s">
        <v>3127</v>
      </c>
      <c r="U3658" s="21" t="s">
        <v>1218</v>
      </c>
      <c r="V3658" s="9" t="s">
        <v>3132</v>
      </c>
      <c r="W3658">
        <f>7*16</f>
        <v>112</v>
      </c>
      <c r="X3658" s="9" t="s">
        <v>1294</v>
      </c>
      <c r="Z3658">
        <v>24</v>
      </c>
      <c r="AD3658" t="s">
        <v>1165</v>
      </c>
      <c r="AF3658" t="s">
        <v>1165</v>
      </c>
      <c r="AI3658" s="21" t="s">
        <v>1165</v>
      </c>
      <c r="AJ3658" s="21" t="s">
        <v>1148</v>
      </c>
      <c r="AK3658">
        <v>91</v>
      </c>
      <c r="AN3658" s="21">
        <v>4</v>
      </c>
      <c r="AO3658" s="21">
        <v>25</v>
      </c>
      <c r="AP3658">
        <v>28</v>
      </c>
      <c r="AQ3658" s="22" t="s">
        <v>1283</v>
      </c>
      <c r="AR3658" s="21" t="s">
        <v>3130</v>
      </c>
    </row>
    <row r="3659" spans="1:44" x14ac:dyDescent="0.2">
      <c r="A3659" s="21" t="s">
        <v>1778</v>
      </c>
      <c r="B3659" s="21" t="s">
        <v>1146</v>
      </c>
      <c r="C3659" s="21" t="s">
        <v>1149</v>
      </c>
      <c r="D3659" s="21" t="s">
        <v>1774</v>
      </c>
      <c r="E3659" s="21" t="s">
        <v>3185</v>
      </c>
      <c r="G3659" s="21" t="s">
        <v>153</v>
      </c>
      <c r="H3659" s="21" t="s">
        <v>1165</v>
      </c>
      <c r="I3659" s="21" t="s">
        <v>3149</v>
      </c>
      <c r="L3659">
        <v>1720</v>
      </c>
      <c r="M3659" s="21" t="s">
        <v>3034</v>
      </c>
      <c r="O3659">
        <v>1988</v>
      </c>
      <c r="S3659" s="9" t="s">
        <v>3169</v>
      </c>
      <c r="T3659" t="s">
        <v>3127</v>
      </c>
      <c r="U3659" s="21" t="s">
        <v>1218</v>
      </c>
      <c r="V3659" s="9" t="s">
        <v>3132</v>
      </c>
      <c r="W3659">
        <f>7*24</f>
        <v>168</v>
      </c>
      <c r="X3659" s="9" t="s">
        <v>1294</v>
      </c>
      <c r="Z3659">
        <v>24</v>
      </c>
      <c r="AD3659" t="s">
        <v>1165</v>
      </c>
      <c r="AF3659" t="s">
        <v>1165</v>
      </c>
      <c r="AI3659" s="21" t="s">
        <v>1165</v>
      </c>
      <c r="AJ3659" s="21" t="s">
        <v>1148</v>
      </c>
      <c r="AK3659">
        <v>91</v>
      </c>
      <c r="AN3659" s="21">
        <v>4</v>
      </c>
      <c r="AO3659" s="21">
        <v>25</v>
      </c>
      <c r="AP3659">
        <v>28</v>
      </c>
      <c r="AQ3659" s="22" t="s">
        <v>1283</v>
      </c>
      <c r="AR3659" s="21" t="s">
        <v>3130</v>
      </c>
    </row>
    <row r="3660" spans="1:44" x14ac:dyDescent="0.2">
      <c r="A3660" s="21" t="s">
        <v>1778</v>
      </c>
      <c r="B3660" s="21" t="s">
        <v>1146</v>
      </c>
      <c r="C3660" s="21" t="s">
        <v>1149</v>
      </c>
      <c r="D3660" s="21" t="s">
        <v>1774</v>
      </c>
      <c r="E3660" s="21" t="s">
        <v>3185</v>
      </c>
      <c r="G3660" s="21" t="s">
        <v>153</v>
      </c>
      <c r="H3660" s="21" t="s">
        <v>1165</v>
      </c>
      <c r="I3660" s="21" t="s">
        <v>3149</v>
      </c>
      <c r="L3660">
        <v>1720</v>
      </c>
      <c r="M3660" s="21" t="s">
        <v>3034</v>
      </c>
      <c r="O3660">
        <v>1988</v>
      </c>
      <c r="S3660" s="9" t="s">
        <v>3169</v>
      </c>
      <c r="T3660" t="s">
        <v>3127</v>
      </c>
      <c r="U3660" s="21" t="s">
        <v>1218</v>
      </c>
      <c r="V3660" s="9" t="s">
        <v>3132</v>
      </c>
      <c r="W3660">
        <f>12*7</f>
        <v>84</v>
      </c>
      <c r="X3660" s="9" t="s">
        <v>1294</v>
      </c>
      <c r="Y3660" t="s">
        <v>3170</v>
      </c>
      <c r="Z3660">
        <v>24</v>
      </c>
      <c r="AD3660" t="s">
        <v>1165</v>
      </c>
      <c r="AF3660" t="s">
        <v>1165</v>
      </c>
      <c r="AI3660" s="21" t="s">
        <v>1165</v>
      </c>
      <c r="AJ3660" s="21" t="s">
        <v>1148</v>
      </c>
      <c r="AK3660">
        <v>79</v>
      </c>
      <c r="AN3660" s="21">
        <v>4</v>
      </c>
      <c r="AO3660" s="21">
        <v>25</v>
      </c>
      <c r="AP3660">
        <v>28</v>
      </c>
      <c r="AQ3660" s="22" t="s">
        <v>1283</v>
      </c>
      <c r="AR3660" s="21" t="s">
        <v>3130</v>
      </c>
    </row>
    <row r="3661" spans="1:44" x14ac:dyDescent="0.2">
      <c r="A3661" s="21" t="s">
        <v>1778</v>
      </c>
      <c r="B3661" s="21" t="s">
        <v>1146</v>
      </c>
      <c r="C3661" s="21" t="s">
        <v>1149</v>
      </c>
      <c r="D3661" s="21" t="s">
        <v>1774</v>
      </c>
      <c r="E3661" s="21" t="s">
        <v>3185</v>
      </c>
      <c r="G3661" s="21" t="s">
        <v>153</v>
      </c>
      <c r="H3661" s="21" t="s">
        <v>1165</v>
      </c>
      <c r="I3661" s="21" t="s">
        <v>3149</v>
      </c>
      <c r="L3661">
        <v>1720</v>
      </c>
      <c r="M3661" s="21" t="s">
        <v>3034</v>
      </c>
      <c r="O3661">
        <v>1988</v>
      </c>
      <c r="S3661" s="9" t="s">
        <v>3169</v>
      </c>
      <c r="T3661" t="s">
        <v>3127</v>
      </c>
      <c r="U3661" s="21" t="s">
        <v>1218</v>
      </c>
      <c r="V3661" s="9" t="s">
        <v>3132</v>
      </c>
      <c r="W3661">
        <f>12*7</f>
        <v>84</v>
      </c>
      <c r="X3661" s="9" t="s">
        <v>1294</v>
      </c>
      <c r="Y3661" t="s">
        <v>3134</v>
      </c>
      <c r="Z3661">
        <v>24</v>
      </c>
      <c r="AD3661" t="s">
        <v>1165</v>
      </c>
      <c r="AF3661" t="s">
        <v>1165</v>
      </c>
      <c r="AI3661" s="21" t="s">
        <v>1165</v>
      </c>
      <c r="AJ3661" s="21" t="s">
        <v>1148</v>
      </c>
      <c r="AK3661">
        <v>40</v>
      </c>
      <c r="AN3661" s="21">
        <v>4</v>
      </c>
      <c r="AO3661" s="21">
        <v>25</v>
      </c>
      <c r="AP3661">
        <v>28</v>
      </c>
      <c r="AQ3661" s="22" t="s">
        <v>1283</v>
      </c>
      <c r="AR3661" s="21" t="s">
        <v>3130</v>
      </c>
    </row>
    <row r="3662" spans="1:44" x14ac:dyDescent="0.2">
      <c r="A3662" s="21" t="s">
        <v>1778</v>
      </c>
      <c r="B3662" s="21" t="s">
        <v>1146</v>
      </c>
      <c r="C3662" s="21" t="s">
        <v>1149</v>
      </c>
      <c r="D3662" s="21" t="s">
        <v>1774</v>
      </c>
      <c r="E3662" s="21" t="s">
        <v>3185</v>
      </c>
      <c r="G3662" s="21" t="s">
        <v>153</v>
      </c>
      <c r="H3662" s="21" t="s">
        <v>1165</v>
      </c>
      <c r="I3662" s="21" t="s">
        <v>3149</v>
      </c>
      <c r="L3662">
        <v>1720</v>
      </c>
      <c r="M3662" s="21" t="s">
        <v>3034</v>
      </c>
      <c r="O3662">
        <v>1988</v>
      </c>
      <c r="S3662" s="9" t="s">
        <v>3169</v>
      </c>
      <c r="T3662" t="s">
        <v>3127</v>
      </c>
      <c r="U3662" s="21" t="s">
        <v>1218</v>
      </c>
      <c r="V3662" s="9" t="s">
        <v>3132</v>
      </c>
      <c r="W3662">
        <f>12*7</f>
        <v>84</v>
      </c>
      <c r="X3662" s="9" t="s">
        <v>1294</v>
      </c>
      <c r="Y3662" t="s">
        <v>3135</v>
      </c>
      <c r="Z3662">
        <v>24</v>
      </c>
      <c r="AD3662" t="s">
        <v>1165</v>
      </c>
      <c r="AF3662" t="s">
        <v>1165</v>
      </c>
      <c r="AI3662" s="21" t="s">
        <v>1165</v>
      </c>
      <c r="AJ3662" s="21" t="s">
        <v>1148</v>
      </c>
      <c r="AK3662">
        <v>46</v>
      </c>
      <c r="AN3662" s="21">
        <v>4</v>
      </c>
      <c r="AO3662" s="21">
        <v>25</v>
      </c>
      <c r="AP3662">
        <v>28</v>
      </c>
      <c r="AQ3662" s="22" t="s">
        <v>1283</v>
      </c>
      <c r="AR3662" s="21" t="s">
        <v>3130</v>
      </c>
    </row>
    <row r="3663" spans="1:44" x14ac:dyDescent="0.2">
      <c r="A3663" s="21" t="s">
        <v>1778</v>
      </c>
      <c r="B3663" s="21" t="s">
        <v>1146</v>
      </c>
      <c r="C3663" s="21" t="s">
        <v>1149</v>
      </c>
      <c r="D3663" s="21" t="s">
        <v>1774</v>
      </c>
      <c r="E3663" s="21" t="s">
        <v>3187</v>
      </c>
      <c r="G3663" s="21" t="s">
        <v>153</v>
      </c>
      <c r="H3663" s="21" t="s">
        <v>1165</v>
      </c>
      <c r="I3663" s="21" t="s">
        <v>3188</v>
      </c>
      <c r="L3663">
        <v>1590</v>
      </c>
      <c r="M3663" s="21" t="s">
        <v>3034</v>
      </c>
      <c r="O3663">
        <v>1988</v>
      </c>
      <c r="S3663" s="9" t="s">
        <v>3169</v>
      </c>
      <c r="T3663" t="s">
        <v>3127</v>
      </c>
      <c r="U3663" s="21" t="s">
        <v>1147</v>
      </c>
      <c r="Z3663">
        <v>24</v>
      </c>
      <c r="AD3663" t="s">
        <v>1165</v>
      </c>
      <c r="AF3663" t="s">
        <v>1165</v>
      </c>
      <c r="AI3663" s="21" t="s">
        <v>1165</v>
      </c>
      <c r="AJ3663" s="21" t="s">
        <v>1148</v>
      </c>
      <c r="AK3663">
        <v>1</v>
      </c>
      <c r="AN3663" s="21">
        <v>4</v>
      </c>
      <c r="AO3663" s="21">
        <v>25</v>
      </c>
      <c r="AP3663">
        <v>28</v>
      </c>
      <c r="AQ3663" s="22" t="s">
        <v>1283</v>
      </c>
      <c r="AR3663" s="21" t="s">
        <v>3130</v>
      </c>
    </row>
    <row r="3664" spans="1:44" x14ac:dyDescent="0.2">
      <c r="A3664" s="21" t="s">
        <v>1778</v>
      </c>
      <c r="B3664" s="21" t="s">
        <v>1146</v>
      </c>
      <c r="C3664" s="21" t="s">
        <v>1149</v>
      </c>
      <c r="D3664" s="21" t="s">
        <v>1774</v>
      </c>
      <c r="E3664" s="21" t="s">
        <v>3187</v>
      </c>
      <c r="G3664" s="21" t="s">
        <v>153</v>
      </c>
      <c r="H3664" s="21" t="s">
        <v>1165</v>
      </c>
      <c r="I3664" s="21" t="s">
        <v>3188</v>
      </c>
      <c r="L3664">
        <v>1590</v>
      </c>
      <c r="M3664" s="21" t="s">
        <v>3034</v>
      </c>
      <c r="O3664">
        <v>1988</v>
      </c>
      <c r="S3664" s="9" t="s">
        <v>3169</v>
      </c>
      <c r="T3664" t="s">
        <v>3127</v>
      </c>
      <c r="U3664" s="21" t="s">
        <v>1218</v>
      </c>
      <c r="V3664" s="9" t="s">
        <v>3132</v>
      </c>
      <c r="W3664">
        <v>28</v>
      </c>
      <c r="X3664" s="9" t="s">
        <v>1294</v>
      </c>
      <c r="Z3664">
        <v>24</v>
      </c>
      <c r="AD3664" t="s">
        <v>1165</v>
      </c>
      <c r="AF3664" t="s">
        <v>1165</v>
      </c>
      <c r="AI3664" s="21" t="s">
        <v>1165</v>
      </c>
      <c r="AJ3664" s="21" t="s">
        <v>1148</v>
      </c>
      <c r="AK3664">
        <v>2</v>
      </c>
      <c r="AN3664" s="21">
        <v>4</v>
      </c>
      <c r="AO3664" s="21">
        <v>25</v>
      </c>
      <c r="AP3664">
        <v>28</v>
      </c>
      <c r="AQ3664" s="22" t="s">
        <v>1283</v>
      </c>
      <c r="AR3664" s="21" t="s">
        <v>3130</v>
      </c>
    </row>
    <row r="3665" spans="1:44" x14ac:dyDescent="0.2">
      <c r="A3665" s="21" t="s">
        <v>1778</v>
      </c>
      <c r="B3665" s="21" t="s">
        <v>1146</v>
      </c>
      <c r="C3665" s="21" t="s">
        <v>1149</v>
      </c>
      <c r="D3665" s="21" t="s">
        <v>1774</v>
      </c>
      <c r="E3665" s="21" t="s">
        <v>3187</v>
      </c>
      <c r="G3665" s="21" t="s">
        <v>153</v>
      </c>
      <c r="H3665" s="21" t="s">
        <v>1165</v>
      </c>
      <c r="I3665" s="21" t="s">
        <v>3188</v>
      </c>
      <c r="L3665">
        <v>1590</v>
      </c>
      <c r="M3665" s="21" t="s">
        <v>3034</v>
      </c>
      <c r="O3665">
        <v>1988</v>
      </c>
      <c r="S3665" s="9" t="s">
        <v>3169</v>
      </c>
      <c r="T3665" t="s">
        <v>3127</v>
      </c>
      <c r="U3665" s="21" t="s">
        <v>1218</v>
      </c>
      <c r="V3665" s="9" t="s">
        <v>3132</v>
      </c>
      <c r="W3665">
        <f>56</f>
        <v>56</v>
      </c>
      <c r="X3665" s="9" t="s">
        <v>1294</v>
      </c>
      <c r="Z3665">
        <v>24</v>
      </c>
      <c r="AD3665" t="s">
        <v>1165</v>
      </c>
      <c r="AF3665" t="s">
        <v>1165</v>
      </c>
      <c r="AI3665" s="21" t="s">
        <v>1165</v>
      </c>
      <c r="AJ3665" s="21" t="s">
        <v>1148</v>
      </c>
      <c r="AK3665">
        <v>31</v>
      </c>
      <c r="AN3665" s="21">
        <v>4</v>
      </c>
      <c r="AO3665" s="21">
        <v>25</v>
      </c>
      <c r="AP3665">
        <v>28</v>
      </c>
      <c r="AQ3665" s="22" t="s">
        <v>1283</v>
      </c>
      <c r="AR3665" s="21" t="s">
        <v>3130</v>
      </c>
    </row>
    <row r="3666" spans="1:44" x14ac:dyDescent="0.2">
      <c r="A3666" s="21" t="s">
        <v>1778</v>
      </c>
      <c r="B3666" s="21" t="s">
        <v>1146</v>
      </c>
      <c r="C3666" s="21" t="s">
        <v>1149</v>
      </c>
      <c r="D3666" s="21" t="s">
        <v>1774</v>
      </c>
      <c r="E3666" s="21" t="s">
        <v>3187</v>
      </c>
      <c r="G3666" s="21" t="s">
        <v>153</v>
      </c>
      <c r="H3666" s="21" t="s">
        <v>1165</v>
      </c>
      <c r="I3666" s="21" t="s">
        <v>3188</v>
      </c>
      <c r="L3666">
        <v>1590</v>
      </c>
      <c r="M3666" s="21" t="s">
        <v>3034</v>
      </c>
      <c r="O3666">
        <v>1988</v>
      </c>
      <c r="S3666" s="9" t="s">
        <v>3169</v>
      </c>
      <c r="T3666" t="s">
        <v>3127</v>
      </c>
      <c r="U3666" s="21" t="s">
        <v>1218</v>
      </c>
      <c r="V3666" s="9" t="s">
        <v>3132</v>
      </c>
      <c r="W3666">
        <f>7*12</f>
        <v>84</v>
      </c>
      <c r="X3666" s="9" t="s">
        <v>1294</v>
      </c>
      <c r="Z3666">
        <v>24</v>
      </c>
      <c r="AD3666" t="s">
        <v>1165</v>
      </c>
      <c r="AF3666" t="s">
        <v>1165</v>
      </c>
      <c r="AI3666" s="21" t="s">
        <v>1165</v>
      </c>
      <c r="AJ3666" s="21" t="s">
        <v>1148</v>
      </c>
      <c r="AK3666">
        <v>96</v>
      </c>
      <c r="AN3666" s="21">
        <v>4</v>
      </c>
      <c r="AO3666" s="21">
        <v>25</v>
      </c>
      <c r="AP3666">
        <v>28</v>
      </c>
      <c r="AQ3666" s="22" t="s">
        <v>1283</v>
      </c>
      <c r="AR3666" s="21" t="s">
        <v>3130</v>
      </c>
    </row>
    <row r="3667" spans="1:44" x14ac:dyDescent="0.2">
      <c r="A3667" s="21" t="s">
        <v>1778</v>
      </c>
      <c r="B3667" s="21" t="s">
        <v>1146</v>
      </c>
      <c r="C3667" s="21" t="s">
        <v>1149</v>
      </c>
      <c r="D3667" s="21" t="s">
        <v>1774</v>
      </c>
      <c r="E3667" s="21" t="s">
        <v>3187</v>
      </c>
      <c r="G3667" s="21" t="s">
        <v>153</v>
      </c>
      <c r="H3667" s="21" t="s">
        <v>1165</v>
      </c>
      <c r="I3667" s="21" t="s">
        <v>3188</v>
      </c>
      <c r="L3667">
        <v>1590</v>
      </c>
      <c r="M3667" s="21" t="s">
        <v>3034</v>
      </c>
      <c r="O3667">
        <v>1988</v>
      </c>
      <c r="S3667" s="9" t="s">
        <v>3169</v>
      </c>
      <c r="T3667" t="s">
        <v>3127</v>
      </c>
      <c r="U3667" s="21" t="s">
        <v>1218</v>
      </c>
      <c r="V3667" s="9" t="s">
        <v>3132</v>
      </c>
      <c r="W3667">
        <f>7*16</f>
        <v>112</v>
      </c>
      <c r="X3667" s="9" t="s">
        <v>1294</v>
      </c>
      <c r="Z3667">
        <v>24</v>
      </c>
      <c r="AD3667" t="s">
        <v>1165</v>
      </c>
      <c r="AF3667" t="s">
        <v>1165</v>
      </c>
      <c r="AI3667" s="21" t="s">
        <v>1165</v>
      </c>
      <c r="AJ3667" s="21" t="s">
        <v>1148</v>
      </c>
      <c r="AK3667">
        <v>90</v>
      </c>
      <c r="AN3667" s="21">
        <v>4</v>
      </c>
      <c r="AO3667" s="21">
        <v>25</v>
      </c>
      <c r="AP3667">
        <v>28</v>
      </c>
      <c r="AQ3667" s="22" t="s">
        <v>1283</v>
      </c>
      <c r="AR3667" s="21" t="s">
        <v>3130</v>
      </c>
    </row>
    <row r="3668" spans="1:44" x14ac:dyDescent="0.2">
      <c r="A3668" s="21" t="s">
        <v>1778</v>
      </c>
      <c r="B3668" s="21" t="s">
        <v>1146</v>
      </c>
      <c r="C3668" s="21" t="s">
        <v>1149</v>
      </c>
      <c r="D3668" s="21" t="s">
        <v>1774</v>
      </c>
      <c r="E3668" s="21" t="s">
        <v>3187</v>
      </c>
      <c r="G3668" s="21" t="s">
        <v>153</v>
      </c>
      <c r="H3668" s="21" t="s">
        <v>1165</v>
      </c>
      <c r="I3668" s="21" t="s">
        <v>3188</v>
      </c>
      <c r="L3668">
        <v>1590</v>
      </c>
      <c r="M3668" s="21" t="s">
        <v>3034</v>
      </c>
      <c r="O3668">
        <v>1988</v>
      </c>
      <c r="S3668" s="9" t="s">
        <v>3169</v>
      </c>
      <c r="T3668" t="s">
        <v>3127</v>
      </c>
      <c r="U3668" s="21" t="s">
        <v>1218</v>
      </c>
      <c r="V3668" s="9" t="s">
        <v>3132</v>
      </c>
      <c r="W3668">
        <f>7*24</f>
        <v>168</v>
      </c>
      <c r="X3668" s="9" t="s">
        <v>1294</v>
      </c>
      <c r="Z3668">
        <v>24</v>
      </c>
      <c r="AD3668" t="s">
        <v>1165</v>
      </c>
      <c r="AF3668" t="s">
        <v>1165</v>
      </c>
      <c r="AI3668" s="21" t="s">
        <v>1165</v>
      </c>
      <c r="AJ3668" s="21" t="s">
        <v>1148</v>
      </c>
      <c r="AK3668">
        <v>84</v>
      </c>
      <c r="AN3668" s="21">
        <v>4</v>
      </c>
      <c r="AO3668" s="21">
        <v>25</v>
      </c>
      <c r="AP3668">
        <v>28</v>
      </c>
      <c r="AQ3668" s="22" t="s">
        <v>1283</v>
      </c>
      <c r="AR3668" s="21" t="s">
        <v>3130</v>
      </c>
    </row>
    <row r="3669" spans="1:44" x14ac:dyDescent="0.2">
      <c r="A3669" s="21" t="s">
        <v>1778</v>
      </c>
      <c r="B3669" s="21" t="s">
        <v>1146</v>
      </c>
      <c r="C3669" s="21" t="s">
        <v>1149</v>
      </c>
      <c r="D3669" s="21" t="s">
        <v>1774</v>
      </c>
      <c r="E3669" s="21" t="s">
        <v>3187</v>
      </c>
      <c r="G3669" s="21" t="s">
        <v>153</v>
      </c>
      <c r="H3669" s="21" t="s">
        <v>1165</v>
      </c>
      <c r="I3669" s="21" t="s">
        <v>3188</v>
      </c>
      <c r="L3669">
        <v>1590</v>
      </c>
      <c r="M3669" s="21" t="s">
        <v>3034</v>
      </c>
      <c r="O3669">
        <v>1988</v>
      </c>
      <c r="S3669" s="9" t="s">
        <v>3169</v>
      </c>
      <c r="T3669" t="s">
        <v>3127</v>
      </c>
      <c r="U3669" s="21" t="s">
        <v>1218</v>
      </c>
      <c r="V3669" s="9" t="s">
        <v>3132</v>
      </c>
      <c r="W3669">
        <f>12*7</f>
        <v>84</v>
      </c>
      <c r="X3669" s="9" t="s">
        <v>1294</v>
      </c>
      <c r="Y3669" t="s">
        <v>3170</v>
      </c>
      <c r="Z3669">
        <v>24</v>
      </c>
      <c r="AD3669" t="s">
        <v>1165</v>
      </c>
      <c r="AF3669" t="s">
        <v>1165</v>
      </c>
      <c r="AI3669" s="21" t="s">
        <v>1165</v>
      </c>
      <c r="AJ3669" s="21" t="s">
        <v>1148</v>
      </c>
      <c r="AK3669">
        <v>99</v>
      </c>
      <c r="AN3669" s="21">
        <v>4</v>
      </c>
      <c r="AO3669" s="21">
        <v>25</v>
      </c>
      <c r="AP3669">
        <v>28</v>
      </c>
      <c r="AQ3669" s="22" t="s">
        <v>1283</v>
      </c>
      <c r="AR3669" s="21" t="s">
        <v>3130</v>
      </c>
    </row>
    <row r="3670" spans="1:44" x14ac:dyDescent="0.2">
      <c r="A3670" s="21" t="s">
        <v>1778</v>
      </c>
      <c r="B3670" s="21" t="s">
        <v>1146</v>
      </c>
      <c r="C3670" s="21" t="s">
        <v>1149</v>
      </c>
      <c r="D3670" s="21" t="s">
        <v>1774</v>
      </c>
      <c r="E3670" s="21" t="s">
        <v>3187</v>
      </c>
      <c r="G3670" s="21" t="s">
        <v>153</v>
      </c>
      <c r="H3670" s="21" t="s">
        <v>1165</v>
      </c>
      <c r="I3670" s="21" t="s">
        <v>3188</v>
      </c>
      <c r="L3670">
        <v>1590</v>
      </c>
      <c r="M3670" s="21" t="s">
        <v>3034</v>
      </c>
      <c r="O3670">
        <v>1988</v>
      </c>
      <c r="S3670" s="9" t="s">
        <v>3169</v>
      </c>
      <c r="T3670" t="s">
        <v>3127</v>
      </c>
      <c r="U3670" s="21" t="s">
        <v>1218</v>
      </c>
      <c r="V3670" s="9" t="s">
        <v>3132</v>
      </c>
      <c r="W3670">
        <f>12*7</f>
        <v>84</v>
      </c>
      <c r="X3670" s="9" t="s">
        <v>1294</v>
      </c>
      <c r="Y3670" t="s">
        <v>3134</v>
      </c>
      <c r="Z3670">
        <v>24</v>
      </c>
      <c r="AD3670" t="s">
        <v>1165</v>
      </c>
      <c r="AF3670" t="s">
        <v>1165</v>
      </c>
      <c r="AI3670" s="21" t="s">
        <v>1165</v>
      </c>
      <c r="AJ3670" s="21" t="s">
        <v>1148</v>
      </c>
      <c r="AK3670">
        <v>62</v>
      </c>
      <c r="AN3670" s="21">
        <v>4</v>
      </c>
      <c r="AO3670" s="21">
        <v>25</v>
      </c>
      <c r="AP3670">
        <v>28</v>
      </c>
      <c r="AQ3670" s="22" t="s">
        <v>1283</v>
      </c>
      <c r="AR3670" s="21" t="s">
        <v>3130</v>
      </c>
    </row>
    <row r="3671" spans="1:44" x14ac:dyDescent="0.2">
      <c r="A3671" s="21" t="s">
        <v>1778</v>
      </c>
      <c r="B3671" s="21" t="s">
        <v>1146</v>
      </c>
      <c r="C3671" s="21" t="s">
        <v>1149</v>
      </c>
      <c r="D3671" s="21" t="s">
        <v>1774</v>
      </c>
      <c r="E3671" s="21" t="s">
        <v>3187</v>
      </c>
      <c r="G3671" s="21" t="s">
        <v>153</v>
      </c>
      <c r="H3671" s="21" t="s">
        <v>1165</v>
      </c>
      <c r="I3671" s="21" t="s">
        <v>3188</v>
      </c>
      <c r="L3671">
        <v>1590</v>
      </c>
      <c r="M3671" s="21" t="s">
        <v>3034</v>
      </c>
      <c r="O3671">
        <v>1988</v>
      </c>
      <c r="S3671" s="9" t="s">
        <v>3169</v>
      </c>
      <c r="T3671" t="s">
        <v>3127</v>
      </c>
      <c r="U3671" s="21" t="s">
        <v>1218</v>
      </c>
      <c r="V3671" s="9" t="s">
        <v>3132</v>
      </c>
      <c r="W3671">
        <f>12*7</f>
        <v>84</v>
      </c>
      <c r="X3671" s="9" t="s">
        <v>1294</v>
      </c>
      <c r="Y3671" t="s">
        <v>3135</v>
      </c>
      <c r="Z3671">
        <v>24</v>
      </c>
      <c r="AD3671" t="s">
        <v>1165</v>
      </c>
      <c r="AF3671" t="s">
        <v>1165</v>
      </c>
      <c r="AI3671" s="21" t="s">
        <v>1165</v>
      </c>
      <c r="AJ3671" s="21" t="s">
        <v>1148</v>
      </c>
      <c r="AK3671">
        <v>69</v>
      </c>
      <c r="AN3671" s="21">
        <v>4</v>
      </c>
      <c r="AO3671" s="21">
        <v>25</v>
      </c>
      <c r="AP3671">
        <v>28</v>
      </c>
      <c r="AQ3671" s="22" t="s">
        <v>1283</v>
      </c>
      <c r="AR3671" s="21" t="s">
        <v>3130</v>
      </c>
    </row>
    <row r="3672" spans="1:44" x14ac:dyDescent="0.2">
      <c r="A3672" s="21" t="s">
        <v>1778</v>
      </c>
      <c r="B3672" s="21" t="s">
        <v>1146</v>
      </c>
      <c r="C3672" s="21" t="s">
        <v>1149</v>
      </c>
      <c r="D3672" s="21" t="s">
        <v>1774</v>
      </c>
      <c r="E3672" s="21" t="s">
        <v>3187</v>
      </c>
      <c r="G3672" s="21" t="s">
        <v>153</v>
      </c>
      <c r="H3672" s="21" t="s">
        <v>1165</v>
      </c>
      <c r="I3672" s="21" t="s">
        <v>3189</v>
      </c>
      <c r="L3672">
        <v>1350</v>
      </c>
      <c r="M3672" s="21" t="s">
        <v>3034</v>
      </c>
      <c r="O3672">
        <v>1988</v>
      </c>
      <c r="S3672" s="9" t="s">
        <v>3169</v>
      </c>
      <c r="T3672" t="s">
        <v>3127</v>
      </c>
      <c r="U3672" s="21" t="s">
        <v>1147</v>
      </c>
      <c r="Z3672">
        <v>24</v>
      </c>
      <c r="AD3672" t="s">
        <v>1165</v>
      </c>
      <c r="AF3672" t="s">
        <v>1165</v>
      </c>
      <c r="AI3672" s="21" t="s">
        <v>1165</v>
      </c>
      <c r="AJ3672" s="21" t="s">
        <v>1148</v>
      </c>
      <c r="AK3672">
        <v>1</v>
      </c>
      <c r="AN3672" s="21">
        <v>4</v>
      </c>
      <c r="AO3672" s="21">
        <v>25</v>
      </c>
      <c r="AP3672">
        <v>28</v>
      </c>
      <c r="AQ3672" s="22" t="s">
        <v>1283</v>
      </c>
      <c r="AR3672" s="21" t="s">
        <v>3130</v>
      </c>
    </row>
    <row r="3673" spans="1:44" x14ac:dyDescent="0.2">
      <c r="A3673" s="21" t="s">
        <v>1778</v>
      </c>
      <c r="B3673" s="21" t="s">
        <v>1146</v>
      </c>
      <c r="C3673" s="21" t="s">
        <v>1149</v>
      </c>
      <c r="D3673" s="21" t="s">
        <v>1774</v>
      </c>
      <c r="E3673" s="21" t="s">
        <v>3187</v>
      </c>
      <c r="G3673" s="21" t="s">
        <v>153</v>
      </c>
      <c r="H3673" s="21" t="s">
        <v>1165</v>
      </c>
      <c r="I3673" s="21" t="s">
        <v>3189</v>
      </c>
      <c r="L3673">
        <v>1350</v>
      </c>
      <c r="M3673" s="21" t="s">
        <v>3034</v>
      </c>
      <c r="O3673">
        <v>1988</v>
      </c>
      <c r="S3673" s="9" t="s">
        <v>3169</v>
      </c>
      <c r="T3673" t="s">
        <v>3127</v>
      </c>
      <c r="U3673" s="21" t="s">
        <v>1218</v>
      </c>
      <c r="V3673" s="9" t="s">
        <v>3132</v>
      </c>
      <c r="W3673">
        <v>28</v>
      </c>
      <c r="X3673" s="9" t="s">
        <v>1294</v>
      </c>
      <c r="Z3673">
        <v>24</v>
      </c>
      <c r="AD3673" t="s">
        <v>1165</v>
      </c>
      <c r="AF3673" t="s">
        <v>1165</v>
      </c>
      <c r="AI3673" s="21" t="s">
        <v>1165</v>
      </c>
      <c r="AJ3673" s="21" t="s">
        <v>1148</v>
      </c>
      <c r="AK3673">
        <v>5</v>
      </c>
      <c r="AN3673" s="21">
        <v>4</v>
      </c>
      <c r="AO3673" s="21">
        <v>25</v>
      </c>
      <c r="AP3673">
        <v>28</v>
      </c>
      <c r="AQ3673" s="22" t="s">
        <v>1283</v>
      </c>
      <c r="AR3673" s="21" t="s">
        <v>3130</v>
      </c>
    </row>
    <row r="3674" spans="1:44" x14ac:dyDescent="0.2">
      <c r="A3674" s="21" t="s">
        <v>1778</v>
      </c>
      <c r="B3674" s="21" t="s">
        <v>1146</v>
      </c>
      <c r="C3674" s="21" t="s">
        <v>1149</v>
      </c>
      <c r="D3674" s="21" t="s">
        <v>1774</v>
      </c>
      <c r="E3674" s="21" t="s">
        <v>3187</v>
      </c>
      <c r="G3674" s="21" t="s">
        <v>153</v>
      </c>
      <c r="H3674" s="21" t="s">
        <v>1165</v>
      </c>
      <c r="I3674" s="21" t="s">
        <v>3189</v>
      </c>
      <c r="L3674">
        <v>1350</v>
      </c>
      <c r="M3674" s="21" t="s">
        <v>3034</v>
      </c>
      <c r="O3674">
        <v>1988</v>
      </c>
      <c r="S3674" s="9" t="s">
        <v>3169</v>
      </c>
      <c r="T3674" t="s">
        <v>3127</v>
      </c>
      <c r="U3674" s="21" t="s">
        <v>1218</v>
      </c>
      <c r="V3674" s="9" t="s">
        <v>3132</v>
      </c>
      <c r="W3674">
        <f>56</f>
        <v>56</v>
      </c>
      <c r="X3674" s="9" t="s">
        <v>1294</v>
      </c>
      <c r="Z3674">
        <v>24</v>
      </c>
      <c r="AD3674" t="s">
        <v>1165</v>
      </c>
      <c r="AF3674" t="s">
        <v>1165</v>
      </c>
      <c r="AI3674" s="21" t="s">
        <v>1165</v>
      </c>
      <c r="AJ3674" s="21" t="s">
        <v>1148</v>
      </c>
      <c r="AK3674">
        <v>33</v>
      </c>
      <c r="AN3674" s="21">
        <v>4</v>
      </c>
      <c r="AO3674" s="21">
        <v>25</v>
      </c>
      <c r="AP3674">
        <v>28</v>
      </c>
      <c r="AQ3674" s="22" t="s">
        <v>1283</v>
      </c>
      <c r="AR3674" s="21" t="s">
        <v>3130</v>
      </c>
    </row>
    <row r="3675" spans="1:44" x14ac:dyDescent="0.2">
      <c r="A3675" s="21" t="s">
        <v>1778</v>
      </c>
      <c r="B3675" s="21" t="s">
        <v>1146</v>
      </c>
      <c r="C3675" s="21" t="s">
        <v>1149</v>
      </c>
      <c r="D3675" s="21" t="s">
        <v>1774</v>
      </c>
      <c r="E3675" s="21" t="s">
        <v>3187</v>
      </c>
      <c r="G3675" s="21" t="s">
        <v>153</v>
      </c>
      <c r="H3675" s="21" t="s">
        <v>1165</v>
      </c>
      <c r="I3675" s="21" t="s">
        <v>3189</v>
      </c>
      <c r="L3675">
        <v>1350</v>
      </c>
      <c r="M3675" s="21" t="s">
        <v>3034</v>
      </c>
      <c r="O3675">
        <v>1988</v>
      </c>
      <c r="S3675" s="9" t="s">
        <v>3169</v>
      </c>
      <c r="T3675" t="s">
        <v>3127</v>
      </c>
      <c r="U3675" s="21" t="s">
        <v>1218</v>
      </c>
      <c r="V3675" s="9" t="s">
        <v>3132</v>
      </c>
      <c r="W3675">
        <f>7*12</f>
        <v>84</v>
      </c>
      <c r="X3675" s="9" t="s">
        <v>1294</v>
      </c>
      <c r="Z3675">
        <v>24</v>
      </c>
      <c r="AD3675" t="s">
        <v>1165</v>
      </c>
      <c r="AF3675" t="s">
        <v>1165</v>
      </c>
      <c r="AI3675" s="21" t="s">
        <v>1165</v>
      </c>
      <c r="AJ3675" s="21" t="s">
        <v>1148</v>
      </c>
      <c r="AK3675">
        <v>76</v>
      </c>
      <c r="AN3675" s="21">
        <v>4</v>
      </c>
      <c r="AO3675" s="21">
        <v>25</v>
      </c>
      <c r="AP3675">
        <v>28</v>
      </c>
      <c r="AQ3675" s="22" t="s">
        <v>1283</v>
      </c>
      <c r="AR3675" s="21" t="s">
        <v>3130</v>
      </c>
    </row>
    <row r="3676" spans="1:44" x14ac:dyDescent="0.2">
      <c r="A3676" s="21" t="s">
        <v>1778</v>
      </c>
      <c r="B3676" s="21" t="s">
        <v>1146</v>
      </c>
      <c r="C3676" s="21" t="s">
        <v>1149</v>
      </c>
      <c r="D3676" s="21" t="s">
        <v>1774</v>
      </c>
      <c r="E3676" s="21" t="s">
        <v>3187</v>
      </c>
      <c r="G3676" s="21" t="s">
        <v>153</v>
      </c>
      <c r="H3676" s="21" t="s">
        <v>1165</v>
      </c>
      <c r="I3676" s="21" t="s">
        <v>3189</v>
      </c>
      <c r="L3676">
        <v>1350</v>
      </c>
      <c r="M3676" s="21" t="s">
        <v>3034</v>
      </c>
      <c r="O3676">
        <v>1988</v>
      </c>
      <c r="S3676" s="9" t="s">
        <v>3169</v>
      </c>
      <c r="T3676" t="s">
        <v>3127</v>
      </c>
      <c r="U3676" s="21" t="s">
        <v>1218</v>
      </c>
      <c r="V3676" s="9" t="s">
        <v>3132</v>
      </c>
      <c r="W3676">
        <f>7*16</f>
        <v>112</v>
      </c>
      <c r="X3676" s="9" t="s">
        <v>1294</v>
      </c>
      <c r="Z3676">
        <v>24</v>
      </c>
      <c r="AD3676" t="s">
        <v>1165</v>
      </c>
      <c r="AF3676" t="s">
        <v>1165</v>
      </c>
      <c r="AI3676" s="21" t="s">
        <v>1165</v>
      </c>
      <c r="AJ3676" s="21" t="s">
        <v>1148</v>
      </c>
      <c r="AK3676">
        <v>84</v>
      </c>
      <c r="AN3676" s="21">
        <v>4</v>
      </c>
      <c r="AO3676" s="21">
        <v>25</v>
      </c>
      <c r="AP3676">
        <v>28</v>
      </c>
      <c r="AQ3676" s="22" t="s">
        <v>1283</v>
      </c>
      <c r="AR3676" s="21" t="s">
        <v>3130</v>
      </c>
    </row>
    <row r="3677" spans="1:44" x14ac:dyDescent="0.2">
      <c r="A3677" s="21" t="s">
        <v>1778</v>
      </c>
      <c r="B3677" s="21" t="s">
        <v>1146</v>
      </c>
      <c r="C3677" s="21" t="s">
        <v>1149</v>
      </c>
      <c r="D3677" s="21" t="s">
        <v>1774</v>
      </c>
      <c r="E3677" s="21" t="s">
        <v>3187</v>
      </c>
      <c r="G3677" s="21" t="s">
        <v>153</v>
      </c>
      <c r="H3677" s="21" t="s">
        <v>1165</v>
      </c>
      <c r="I3677" s="21" t="s">
        <v>3189</v>
      </c>
      <c r="L3677">
        <v>1350</v>
      </c>
      <c r="M3677" s="21" t="s">
        <v>3034</v>
      </c>
      <c r="O3677">
        <v>1988</v>
      </c>
      <c r="S3677" s="9" t="s">
        <v>3169</v>
      </c>
      <c r="T3677" t="s">
        <v>3127</v>
      </c>
      <c r="U3677" s="21" t="s">
        <v>1218</v>
      </c>
      <c r="V3677" s="9" t="s">
        <v>3132</v>
      </c>
      <c r="W3677">
        <f>7*24</f>
        <v>168</v>
      </c>
      <c r="X3677" s="9" t="s">
        <v>1294</v>
      </c>
      <c r="Z3677">
        <v>24</v>
      </c>
      <c r="AD3677" t="s">
        <v>1165</v>
      </c>
      <c r="AF3677" t="s">
        <v>1165</v>
      </c>
      <c r="AI3677" s="21" t="s">
        <v>1165</v>
      </c>
      <c r="AJ3677" s="21" t="s">
        <v>1148</v>
      </c>
      <c r="AK3677">
        <v>74</v>
      </c>
      <c r="AN3677" s="21">
        <v>4</v>
      </c>
      <c r="AO3677" s="21">
        <v>25</v>
      </c>
      <c r="AP3677">
        <v>28</v>
      </c>
      <c r="AQ3677" s="22" t="s">
        <v>1283</v>
      </c>
      <c r="AR3677" s="21" t="s">
        <v>3130</v>
      </c>
    </row>
    <row r="3678" spans="1:44" x14ac:dyDescent="0.2">
      <c r="A3678" s="21" t="s">
        <v>1778</v>
      </c>
      <c r="B3678" s="21" t="s">
        <v>1146</v>
      </c>
      <c r="C3678" s="21" t="s">
        <v>1149</v>
      </c>
      <c r="D3678" s="21" t="s">
        <v>1774</v>
      </c>
      <c r="E3678" s="21" t="s">
        <v>3187</v>
      </c>
      <c r="G3678" s="21" t="s">
        <v>153</v>
      </c>
      <c r="H3678" s="21" t="s">
        <v>1165</v>
      </c>
      <c r="I3678" s="21" t="s">
        <v>3189</v>
      </c>
      <c r="L3678">
        <v>1350</v>
      </c>
      <c r="M3678" s="21" t="s">
        <v>3034</v>
      </c>
      <c r="O3678">
        <v>1988</v>
      </c>
      <c r="S3678" s="9" t="s">
        <v>3169</v>
      </c>
      <c r="T3678" t="s">
        <v>3127</v>
      </c>
      <c r="U3678" s="21" t="s">
        <v>1218</v>
      </c>
      <c r="V3678" s="9" t="s">
        <v>3132</v>
      </c>
      <c r="W3678">
        <f>12*7</f>
        <v>84</v>
      </c>
      <c r="X3678" s="9" t="s">
        <v>1294</v>
      </c>
      <c r="Y3678" t="s">
        <v>3170</v>
      </c>
      <c r="Z3678">
        <v>24</v>
      </c>
      <c r="AD3678" t="s">
        <v>1165</v>
      </c>
      <c r="AF3678" t="s">
        <v>1165</v>
      </c>
      <c r="AI3678" s="21" t="s">
        <v>1165</v>
      </c>
      <c r="AJ3678" s="21" t="s">
        <v>1148</v>
      </c>
      <c r="AK3678">
        <v>95</v>
      </c>
      <c r="AN3678" s="21">
        <v>4</v>
      </c>
      <c r="AO3678" s="21">
        <v>25</v>
      </c>
      <c r="AP3678">
        <v>28</v>
      </c>
      <c r="AQ3678" s="22" t="s">
        <v>1283</v>
      </c>
      <c r="AR3678" s="21" t="s">
        <v>3130</v>
      </c>
    </row>
    <row r="3679" spans="1:44" x14ac:dyDescent="0.2">
      <c r="A3679" s="21" t="s">
        <v>1778</v>
      </c>
      <c r="B3679" s="21" t="s">
        <v>1146</v>
      </c>
      <c r="C3679" s="21" t="s">
        <v>1149</v>
      </c>
      <c r="D3679" s="21" t="s">
        <v>1774</v>
      </c>
      <c r="E3679" s="21" t="s">
        <v>3187</v>
      </c>
      <c r="G3679" s="21" t="s">
        <v>153</v>
      </c>
      <c r="H3679" s="21" t="s">
        <v>1165</v>
      </c>
      <c r="I3679" s="21" t="s">
        <v>3189</v>
      </c>
      <c r="L3679">
        <v>1350</v>
      </c>
      <c r="M3679" s="21" t="s">
        <v>3034</v>
      </c>
      <c r="O3679">
        <v>1988</v>
      </c>
      <c r="S3679" s="9" t="s">
        <v>3169</v>
      </c>
      <c r="T3679" t="s">
        <v>3127</v>
      </c>
      <c r="U3679" s="21" t="s">
        <v>1218</v>
      </c>
      <c r="V3679" s="9" t="s">
        <v>3132</v>
      </c>
      <c r="W3679">
        <f>12*7</f>
        <v>84</v>
      </c>
      <c r="X3679" s="9" t="s">
        <v>1294</v>
      </c>
      <c r="Y3679" t="s">
        <v>3134</v>
      </c>
      <c r="Z3679">
        <v>24</v>
      </c>
      <c r="AD3679" t="s">
        <v>1165</v>
      </c>
      <c r="AF3679" t="s">
        <v>1165</v>
      </c>
      <c r="AI3679" s="21" t="s">
        <v>1165</v>
      </c>
      <c r="AJ3679" s="21" t="s">
        <v>1148</v>
      </c>
      <c r="AK3679">
        <v>50</v>
      </c>
      <c r="AN3679" s="21">
        <v>4</v>
      </c>
      <c r="AO3679" s="21">
        <v>25</v>
      </c>
      <c r="AP3679">
        <v>28</v>
      </c>
      <c r="AQ3679" s="22" t="s">
        <v>1283</v>
      </c>
      <c r="AR3679" s="21" t="s">
        <v>3130</v>
      </c>
    </row>
    <row r="3680" spans="1:44" x14ac:dyDescent="0.2">
      <c r="A3680" s="21" t="s">
        <v>1778</v>
      </c>
      <c r="B3680" s="21" t="s">
        <v>1146</v>
      </c>
      <c r="C3680" s="21" t="s">
        <v>1149</v>
      </c>
      <c r="D3680" s="21" t="s">
        <v>1774</v>
      </c>
      <c r="E3680" s="21" t="s">
        <v>3187</v>
      </c>
      <c r="G3680" s="21" t="s">
        <v>153</v>
      </c>
      <c r="H3680" s="21" t="s">
        <v>1165</v>
      </c>
      <c r="I3680" s="21" t="s">
        <v>3189</v>
      </c>
      <c r="L3680">
        <v>1350</v>
      </c>
      <c r="M3680" s="21" t="s">
        <v>3034</v>
      </c>
      <c r="O3680">
        <v>1988</v>
      </c>
      <c r="S3680" s="9" t="s">
        <v>3169</v>
      </c>
      <c r="T3680" t="s">
        <v>3127</v>
      </c>
      <c r="U3680" s="21" t="s">
        <v>1218</v>
      </c>
      <c r="V3680" s="9" t="s">
        <v>3132</v>
      </c>
      <c r="W3680">
        <f>12*7</f>
        <v>84</v>
      </c>
      <c r="X3680" s="9" t="s">
        <v>1294</v>
      </c>
      <c r="Y3680" t="s">
        <v>3135</v>
      </c>
      <c r="Z3680">
        <v>24</v>
      </c>
      <c r="AD3680" t="s">
        <v>1165</v>
      </c>
      <c r="AF3680" t="s">
        <v>1165</v>
      </c>
      <c r="AI3680" s="21" t="s">
        <v>1165</v>
      </c>
      <c r="AJ3680" s="21" t="s">
        <v>1148</v>
      </c>
      <c r="AK3680">
        <v>49</v>
      </c>
      <c r="AN3680" s="21">
        <v>4</v>
      </c>
      <c r="AO3680" s="21">
        <v>25</v>
      </c>
      <c r="AP3680">
        <v>28</v>
      </c>
      <c r="AQ3680" s="22" t="s">
        <v>1283</v>
      </c>
      <c r="AR3680" s="21" t="s">
        <v>3130</v>
      </c>
    </row>
    <row r="3681" spans="1:44" x14ac:dyDescent="0.2">
      <c r="A3681" s="21" t="s">
        <v>1778</v>
      </c>
      <c r="B3681" s="21" t="s">
        <v>1146</v>
      </c>
      <c r="C3681" s="21" t="s">
        <v>1149</v>
      </c>
      <c r="D3681" s="21" t="s">
        <v>1774</v>
      </c>
      <c r="E3681" s="21" t="s">
        <v>3190</v>
      </c>
      <c r="G3681" s="21" t="s">
        <v>153</v>
      </c>
      <c r="H3681" s="21" t="s">
        <v>1165</v>
      </c>
      <c r="I3681" s="21" t="s">
        <v>3191</v>
      </c>
      <c r="L3681">
        <v>1510</v>
      </c>
      <c r="M3681" s="21" t="s">
        <v>3034</v>
      </c>
      <c r="O3681">
        <v>1988</v>
      </c>
      <c r="S3681" s="9" t="s">
        <v>3169</v>
      </c>
      <c r="T3681" t="s">
        <v>3127</v>
      </c>
      <c r="U3681" s="21" t="s">
        <v>1147</v>
      </c>
      <c r="Z3681">
        <v>24</v>
      </c>
      <c r="AD3681" t="s">
        <v>1165</v>
      </c>
      <c r="AF3681" t="s">
        <v>1165</v>
      </c>
      <c r="AI3681" s="21" t="s">
        <v>1165</v>
      </c>
      <c r="AJ3681" s="21" t="s">
        <v>1148</v>
      </c>
      <c r="AK3681">
        <v>44</v>
      </c>
      <c r="AN3681" s="21">
        <v>4</v>
      </c>
      <c r="AO3681" s="21">
        <v>25</v>
      </c>
      <c r="AP3681">
        <v>28</v>
      </c>
      <c r="AQ3681" s="22" t="s">
        <v>1283</v>
      </c>
      <c r="AR3681" s="21" t="s">
        <v>3130</v>
      </c>
    </row>
    <row r="3682" spans="1:44" x14ac:dyDescent="0.2">
      <c r="A3682" s="21" t="s">
        <v>1778</v>
      </c>
      <c r="B3682" s="21" t="s">
        <v>1146</v>
      </c>
      <c r="C3682" s="21" t="s">
        <v>1149</v>
      </c>
      <c r="D3682" s="21" t="s">
        <v>1774</v>
      </c>
      <c r="E3682" s="21" t="s">
        <v>3190</v>
      </c>
      <c r="G3682" s="21" t="s">
        <v>153</v>
      </c>
      <c r="H3682" s="21" t="s">
        <v>1165</v>
      </c>
      <c r="I3682" s="21" t="s">
        <v>3191</v>
      </c>
      <c r="L3682">
        <v>1510</v>
      </c>
      <c r="M3682" s="21" t="s">
        <v>3034</v>
      </c>
      <c r="O3682">
        <v>1988</v>
      </c>
      <c r="S3682" s="9" t="s">
        <v>3169</v>
      </c>
      <c r="T3682" t="s">
        <v>3127</v>
      </c>
      <c r="U3682" s="21" t="s">
        <v>1218</v>
      </c>
      <c r="V3682" s="9" t="s">
        <v>3132</v>
      </c>
      <c r="W3682">
        <v>28</v>
      </c>
      <c r="X3682" s="9" t="s">
        <v>1294</v>
      </c>
      <c r="Z3682">
        <v>24</v>
      </c>
      <c r="AD3682" t="s">
        <v>1165</v>
      </c>
      <c r="AF3682" t="s">
        <v>1165</v>
      </c>
      <c r="AI3682" s="21" t="s">
        <v>1165</v>
      </c>
      <c r="AJ3682" s="21" t="s">
        <v>1148</v>
      </c>
      <c r="AK3682">
        <v>28</v>
      </c>
      <c r="AN3682" s="21">
        <v>4</v>
      </c>
      <c r="AO3682" s="21">
        <v>25</v>
      </c>
      <c r="AP3682">
        <v>28</v>
      </c>
      <c r="AQ3682" s="22" t="s">
        <v>1283</v>
      </c>
      <c r="AR3682" s="21" t="s">
        <v>3130</v>
      </c>
    </row>
    <row r="3683" spans="1:44" x14ac:dyDescent="0.2">
      <c r="A3683" s="21" t="s">
        <v>1778</v>
      </c>
      <c r="B3683" s="21" t="s">
        <v>1146</v>
      </c>
      <c r="C3683" s="21" t="s">
        <v>1149</v>
      </c>
      <c r="D3683" s="21" t="s">
        <v>1774</v>
      </c>
      <c r="E3683" s="21" t="s">
        <v>3190</v>
      </c>
      <c r="G3683" s="21" t="s">
        <v>153</v>
      </c>
      <c r="H3683" s="21" t="s">
        <v>1165</v>
      </c>
      <c r="I3683" s="21" t="s">
        <v>3191</v>
      </c>
      <c r="L3683">
        <v>1510</v>
      </c>
      <c r="M3683" s="21" t="s">
        <v>3034</v>
      </c>
      <c r="O3683">
        <v>1988</v>
      </c>
      <c r="S3683" s="9" t="s">
        <v>3169</v>
      </c>
      <c r="T3683" t="s">
        <v>3127</v>
      </c>
      <c r="U3683" s="21" t="s">
        <v>1218</v>
      </c>
      <c r="V3683" s="9" t="s">
        <v>3132</v>
      </c>
      <c r="W3683">
        <f>56</f>
        <v>56</v>
      </c>
      <c r="X3683" s="9" t="s">
        <v>1294</v>
      </c>
      <c r="Z3683">
        <v>24</v>
      </c>
      <c r="AD3683" t="s">
        <v>1165</v>
      </c>
      <c r="AF3683" t="s">
        <v>1165</v>
      </c>
      <c r="AI3683" s="21" t="s">
        <v>1165</v>
      </c>
      <c r="AJ3683" s="21" t="s">
        <v>1148</v>
      </c>
      <c r="AK3683">
        <v>76</v>
      </c>
      <c r="AN3683" s="21">
        <v>4</v>
      </c>
      <c r="AO3683" s="21">
        <v>25</v>
      </c>
      <c r="AP3683">
        <v>28</v>
      </c>
      <c r="AQ3683" s="22" t="s">
        <v>1283</v>
      </c>
      <c r="AR3683" s="21" t="s">
        <v>3130</v>
      </c>
    </row>
    <row r="3684" spans="1:44" x14ac:dyDescent="0.2">
      <c r="A3684" s="21" t="s">
        <v>1778</v>
      </c>
      <c r="B3684" s="21" t="s">
        <v>1146</v>
      </c>
      <c r="C3684" s="21" t="s">
        <v>1149</v>
      </c>
      <c r="D3684" s="21" t="s">
        <v>1774</v>
      </c>
      <c r="E3684" s="21" t="s">
        <v>3190</v>
      </c>
      <c r="G3684" s="21" t="s">
        <v>153</v>
      </c>
      <c r="H3684" s="21" t="s">
        <v>1165</v>
      </c>
      <c r="I3684" s="21" t="s">
        <v>3191</v>
      </c>
      <c r="L3684">
        <v>1510</v>
      </c>
      <c r="M3684" s="21" t="s">
        <v>3034</v>
      </c>
      <c r="O3684">
        <v>1988</v>
      </c>
      <c r="S3684" s="9" t="s">
        <v>3169</v>
      </c>
      <c r="T3684" t="s">
        <v>3127</v>
      </c>
      <c r="U3684" s="21" t="s">
        <v>1218</v>
      </c>
      <c r="V3684" s="9" t="s">
        <v>3132</v>
      </c>
      <c r="W3684">
        <f>7*12</f>
        <v>84</v>
      </c>
      <c r="X3684" s="9" t="s">
        <v>1294</v>
      </c>
      <c r="Z3684">
        <v>24</v>
      </c>
      <c r="AD3684" t="s">
        <v>1165</v>
      </c>
      <c r="AF3684" t="s">
        <v>1165</v>
      </c>
      <c r="AI3684" s="21" t="s">
        <v>1165</v>
      </c>
      <c r="AJ3684" s="21" t="s">
        <v>1148</v>
      </c>
      <c r="AK3684">
        <v>93</v>
      </c>
      <c r="AN3684" s="21">
        <v>4</v>
      </c>
      <c r="AO3684" s="21">
        <v>25</v>
      </c>
      <c r="AP3684">
        <v>28</v>
      </c>
      <c r="AQ3684" s="22" t="s">
        <v>1283</v>
      </c>
      <c r="AR3684" s="21" t="s">
        <v>3130</v>
      </c>
    </row>
    <row r="3685" spans="1:44" x14ac:dyDescent="0.2">
      <c r="A3685" s="21" t="s">
        <v>1778</v>
      </c>
      <c r="B3685" s="21" t="s">
        <v>1146</v>
      </c>
      <c r="C3685" s="21" t="s">
        <v>1149</v>
      </c>
      <c r="D3685" s="21" t="s">
        <v>1774</v>
      </c>
      <c r="E3685" s="21" t="s">
        <v>3190</v>
      </c>
      <c r="G3685" s="21" t="s">
        <v>153</v>
      </c>
      <c r="H3685" s="21" t="s">
        <v>1165</v>
      </c>
      <c r="I3685" s="21" t="s">
        <v>3191</v>
      </c>
      <c r="L3685">
        <v>1510</v>
      </c>
      <c r="M3685" s="21" t="s">
        <v>3034</v>
      </c>
      <c r="O3685">
        <v>1988</v>
      </c>
      <c r="S3685" s="9" t="s">
        <v>3169</v>
      </c>
      <c r="T3685" t="s">
        <v>3127</v>
      </c>
      <c r="U3685" s="21" t="s">
        <v>1218</v>
      </c>
      <c r="V3685" s="9" t="s">
        <v>3132</v>
      </c>
      <c r="W3685">
        <f>7*16</f>
        <v>112</v>
      </c>
      <c r="X3685" s="9" t="s">
        <v>1294</v>
      </c>
      <c r="Z3685">
        <v>24</v>
      </c>
      <c r="AD3685" t="s">
        <v>1165</v>
      </c>
      <c r="AF3685" t="s">
        <v>1165</v>
      </c>
      <c r="AI3685" s="21" t="s">
        <v>1165</v>
      </c>
      <c r="AJ3685" s="21" t="s">
        <v>1148</v>
      </c>
      <c r="AK3685">
        <v>87</v>
      </c>
      <c r="AN3685" s="21">
        <v>4</v>
      </c>
      <c r="AO3685" s="21">
        <v>25</v>
      </c>
      <c r="AP3685">
        <v>28</v>
      </c>
      <c r="AQ3685" s="22" t="s">
        <v>1283</v>
      </c>
      <c r="AR3685" s="21" t="s">
        <v>3130</v>
      </c>
    </row>
    <row r="3686" spans="1:44" x14ac:dyDescent="0.2">
      <c r="A3686" s="21" t="s">
        <v>1778</v>
      </c>
      <c r="B3686" s="21" t="s">
        <v>1146</v>
      </c>
      <c r="C3686" s="21" t="s">
        <v>1149</v>
      </c>
      <c r="D3686" s="21" t="s">
        <v>1774</v>
      </c>
      <c r="E3686" s="21" t="s">
        <v>3190</v>
      </c>
      <c r="G3686" s="21" t="s">
        <v>153</v>
      </c>
      <c r="H3686" s="21" t="s">
        <v>1165</v>
      </c>
      <c r="I3686" s="21" t="s">
        <v>3191</v>
      </c>
      <c r="L3686">
        <v>1510</v>
      </c>
      <c r="M3686" s="21" t="s">
        <v>3034</v>
      </c>
      <c r="O3686">
        <v>1988</v>
      </c>
      <c r="S3686" s="9" t="s">
        <v>3169</v>
      </c>
      <c r="T3686" t="s">
        <v>3127</v>
      </c>
      <c r="U3686" s="21" t="s">
        <v>1218</v>
      </c>
      <c r="V3686" s="9" t="s">
        <v>3132</v>
      </c>
      <c r="W3686">
        <f>7*24</f>
        <v>168</v>
      </c>
      <c r="X3686" s="9" t="s">
        <v>1294</v>
      </c>
      <c r="Z3686">
        <v>24</v>
      </c>
      <c r="AD3686" t="s">
        <v>1165</v>
      </c>
      <c r="AF3686" t="s">
        <v>1165</v>
      </c>
      <c r="AI3686" s="21" t="s">
        <v>1165</v>
      </c>
      <c r="AJ3686" s="21" t="s">
        <v>1148</v>
      </c>
      <c r="AK3686">
        <v>98</v>
      </c>
      <c r="AN3686" s="21">
        <v>4</v>
      </c>
      <c r="AO3686" s="21">
        <v>25</v>
      </c>
      <c r="AP3686">
        <v>28</v>
      </c>
      <c r="AQ3686" s="22" t="s">
        <v>1283</v>
      </c>
      <c r="AR3686" s="21" t="s">
        <v>3130</v>
      </c>
    </row>
    <row r="3687" spans="1:44" x14ac:dyDescent="0.2">
      <c r="A3687" s="21" t="s">
        <v>1778</v>
      </c>
      <c r="B3687" s="21" t="s">
        <v>1146</v>
      </c>
      <c r="C3687" s="21" t="s">
        <v>1149</v>
      </c>
      <c r="D3687" s="21" t="s">
        <v>1774</v>
      </c>
      <c r="E3687" s="21" t="s">
        <v>3190</v>
      </c>
      <c r="G3687" s="21" t="s">
        <v>153</v>
      </c>
      <c r="H3687" s="21" t="s">
        <v>1165</v>
      </c>
      <c r="I3687" s="21" t="s">
        <v>3191</v>
      </c>
      <c r="L3687">
        <v>1510</v>
      </c>
      <c r="M3687" s="21" t="s">
        <v>3034</v>
      </c>
      <c r="O3687">
        <v>1988</v>
      </c>
      <c r="S3687" s="9" t="s">
        <v>3169</v>
      </c>
      <c r="T3687" t="s">
        <v>3127</v>
      </c>
      <c r="U3687" s="21" t="s">
        <v>1218</v>
      </c>
      <c r="V3687" s="9" t="s">
        <v>3132</v>
      </c>
      <c r="W3687">
        <f>12*7</f>
        <v>84</v>
      </c>
      <c r="X3687" s="9" t="s">
        <v>1294</v>
      </c>
      <c r="Y3687" t="s">
        <v>3170</v>
      </c>
      <c r="Z3687">
        <v>24</v>
      </c>
      <c r="AD3687" t="s">
        <v>1165</v>
      </c>
      <c r="AF3687" t="s">
        <v>1165</v>
      </c>
      <c r="AI3687" s="21" t="s">
        <v>1165</v>
      </c>
      <c r="AJ3687" s="21" t="s">
        <v>1148</v>
      </c>
      <c r="AK3687">
        <v>98</v>
      </c>
      <c r="AN3687" s="21">
        <v>4</v>
      </c>
      <c r="AO3687" s="21">
        <v>25</v>
      </c>
      <c r="AP3687">
        <v>28</v>
      </c>
      <c r="AQ3687" s="22" t="s">
        <v>1283</v>
      </c>
      <c r="AR3687" s="21" t="s">
        <v>3130</v>
      </c>
    </row>
    <row r="3688" spans="1:44" x14ac:dyDescent="0.2">
      <c r="A3688" s="21" t="s">
        <v>1778</v>
      </c>
      <c r="B3688" s="21" t="s">
        <v>1146</v>
      </c>
      <c r="C3688" s="21" t="s">
        <v>1149</v>
      </c>
      <c r="D3688" s="21" t="s">
        <v>1774</v>
      </c>
      <c r="E3688" s="21" t="s">
        <v>3190</v>
      </c>
      <c r="G3688" s="21" t="s">
        <v>153</v>
      </c>
      <c r="H3688" s="21" t="s">
        <v>1165</v>
      </c>
      <c r="I3688" s="21" t="s">
        <v>3191</v>
      </c>
      <c r="L3688">
        <v>1510</v>
      </c>
      <c r="M3688" s="21" t="s">
        <v>3034</v>
      </c>
      <c r="O3688">
        <v>1988</v>
      </c>
      <c r="S3688" s="9" t="s">
        <v>3169</v>
      </c>
      <c r="T3688" t="s">
        <v>3127</v>
      </c>
      <c r="U3688" s="21" t="s">
        <v>1218</v>
      </c>
      <c r="V3688" s="9" t="s">
        <v>3132</v>
      </c>
      <c r="W3688">
        <f>12*7</f>
        <v>84</v>
      </c>
      <c r="X3688" s="9" t="s">
        <v>1294</v>
      </c>
      <c r="Y3688" t="s">
        <v>3134</v>
      </c>
      <c r="Z3688">
        <v>24</v>
      </c>
      <c r="AD3688" t="s">
        <v>1165</v>
      </c>
      <c r="AF3688" t="s">
        <v>1165</v>
      </c>
      <c r="AI3688" s="21" t="s">
        <v>1165</v>
      </c>
      <c r="AJ3688" s="21" t="s">
        <v>1148</v>
      </c>
      <c r="AK3688">
        <v>82</v>
      </c>
      <c r="AN3688" s="21">
        <v>4</v>
      </c>
      <c r="AO3688" s="21">
        <v>25</v>
      </c>
      <c r="AP3688">
        <v>28</v>
      </c>
      <c r="AQ3688" s="22" t="s">
        <v>1283</v>
      </c>
      <c r="AR3688" s="21" t="s">
        <v>3130</v>
      </c>
    </row>
    <row r="3689" spans="1:44" x14ac:dyDescent="0.2">
      <c r="A3689" s="21" t="s">
        <v>1778</v>
      </c>
      <c r="B3689" s="21" t="s">
        <v>1146</v>
      </c>
      <c r="C3689" s="21" t="s">
        <v>1149</v>
      </c>
      <c r="D3689" s="21" t="s">
        <v>1774</v>
      </c>
      <c r="E3689" s="21" t="s">
        <v>3190</v>
      </c>
      <c r="G3689" s="21" t="s">
        <v>153</v>
      </c>
      <c r="H3689" s="21" t="s">
        <v>1165</v>
      </c>
      <c r="I3689" s="21" t="s">
        <v>3191</v>
      </c>
      <c r="L3689">
        <v>1510</v>
      </c>
      <c r="M3689" s="21" t="s">
        <v>3034</v>
      </c>
      <c r="O3689">
        <v>1988</v>
      </c>
      <c r="S3689" s="9" t="s">
        <v>3169</v>
      </c>
      <c r="T3689" t="s">
        <v>3127</v>
      </c>
      <c r="U3689" s="21" t="s">
        <v>1218</v>
      </c>
      <c r="V3689" s="9" t="s">
        <v>3132</v>
      </c>
      <c r="W3689">
        <f>12*7</f>
        <v>84</v>
      </c>
      <c r="X3689" s="9" t="s">
        <v>1294</v>
      </c>
      <c r="Y3689" t="s">
        <v>3135</v>
      </c>
      <c r="Z3689">
        <v>24</v>
      </c>
      <c r="AD3689" t="s">
        <v>1165</v>
      </c>
      <c r="AF3689" t="s">
        <v>1165</v>
      </c>
      <c r="AI3689" s="21" t="s">
        <v>1165</v>
      </c>
      <c r="AJ3689" s="21" t="s">
        <v>1148</v>
      </c>
      <c r="AK3689">
        <v>84</v>
      </c>
      <c r="AN3689" s="21">
        <v>4</v>
      </c>
      <c r="AO3689" s="21">
        <v>25</v>
      </c>
      <c r="AP3689">
        <v>28</v>
      </c>
      <c r="AQ3689" s="22" t="s">
        <v>1283</v>
      </c>
      <c r="AR3689" s="21" t="s">
        <v>3130</v>
      </c>
    </row>
    <row r="3690" spans="1:44" x14ac:dyDescent="0.2">
      <c r="A3690" s="21" t="s">
        <v>1778</v>
      </c>
      <c r="B3690" s="21" t="s">
        <v>1146</v>
      </c>
      <c r="C3690" s="21" t="s">
        <v>1149</v>
      </c>
      <c r="D3690" s="21" t="s">
        <v>1774</v>
      </c>
      <c r="E3690" s="21" t="s">
        <v>3190</v>
      </c>
      <c r="G3690" s="21" t="s">
        <v>153</v>
      </c>
      <c r="H3690" s="21" t="s">
        <v>1165</v>
      </c>
      <c r="I3690" s="21" t="s">
        <v>3192</v>
      </c>
      <c r="L3690">
        <v>1900</v>
      </c>
      <c r="M3690" s="21" t="s">
        <v>3034</v>
      </c>
      <c r="O3690">
        <v>1988</v>
      </c>
      <c r="S3690" s="9" t="s">
        <v>3169</v>
      </c>
      <c r="T3690" t="s">
        <v>3127</v>
      </c>
      <c r="U3690" s="21" t="s">
        <v>1147</v>
      </c>
      <c r="Z3690">
        <v>24</v>
      </c>
      <c r="AD3690" t="s">
        <v>1165</v>
      </c>
      <c r="AF3690" t="s">
        <v>1165</v>
      </c>
      <c r="AI3690" s="21" t="s">
        <v>1165</v>
      </c>
      <c r="AJ3690" s="21" t="s">
        <v>1148</v>
      </c>
      <c r="AK3690">
        <v>3</v>
      </c>
      <c r="AN3690" s="21">
        <v>4</v>
      </c>
      <c r="AO3690" s="21">
        <v>25</v>
      </c>
      <c r="AP3690">
        <v>28</v>
      </c>
      <c r="AQ3690" s="22" t="s">
        <v>1283</v>
      </c>
      <c r="AR3690" s="21" t="s">
        <v>3130</v>
      </c>
    </row>
    <row r="3691" spans="1:44" x14ac:dyDescent="0.2">
      <c r="A3691" s="21" t="s">
        <v>1778</v>
      </c>
      <c r="B3691" s="21" t="s">
        <v>1146</v>
      </c>
      <c r="C3691" s="21" t="s">
        <v>1149</v>
      </c>
      <c r="D3691" s="21" t="s">
        <v>1774</v>
      </c>
      <c r="E3691" s="21" t="s">
        <v>3190</v>
      </c>
      <c r="G3691" s="21" t="s">
        <v>153</v>
      </c>
      <c r="H3691" s="21" t="s">
        <v>1165</v>
      </c>
      <c r="I3691" s="21" t="s">
        <v>3192</v>
      </c>
      <c r="L3691">
        <v>1900</v>
      </c>
      <c r="M3691" s="21" t="s">
        <v>3034</v>
      </c>
      <c r="O3691">
        <v>1988</v>
      </c>
      <c r="S3691" s="9" t="s">
        <v>3169</v>
      </c>
      <c r="T3691" t="s">
        <v>3127</v>
      </c>
      <c r="U3691" s="21" t="s">
        <v>1218</v>
      </c>
      <c r="V3691" s="9" t="s">
        <v>3132</v>
      </c>
      <c r="W3691">
        <v>28</v>
      </c>
      <c r="X3691" s="9" t="s">
        <v>1294</v>
      </c>
      <c r="Z3691">
        <v>24</v>
      </c>
      <c r="AD3691" t="s">
        <v>1165</v>
      </c>
      <c r="AF3691" t="s">
        <v>1165</v>
      </c>
      <c r="AI3691" s="21" t="s">
        <v>1165</v>
      </c>
      <c r="AJ3691" s="21" t="s">
        <v>1148</v>
      </c>
      <c r="AK3691">
        <v>7</v>
      </c>
      <c r="AN3691" s="21">
        <v>4</v>
      </c>
      <c r="AO3691" s="21">
        <v>25</v>
      </c>
      <c r="AP3691">
        <v>28</v>
      </c>
      <c r="AQ3691" s="22" t="s">
        <v>1283</v>
      </c>
      <c r="AR3691" s="21" t="s">
        <v>3130</v>
      </c>
    </row>
    <row r="3692" spans="1:44" x14ac:dyDescent="0.2">
      <c r="A3692" s="21" t="s">
        <v>1778</v>
      </c>
      <c r="B3692" s="21" t="s">
        <v>1146</v>
      </c>
      <c r="C3692" s="21" t="s">
        <v>1149</v>
      </c>
      <c r="D3692" s="21" t="s">
        <v>1774</v>
      </c>
      <c r="E3692" s="21" t="s">
        <v>3190</v>
      </c>
      <c r="G3692" s="21" t="s">
        <v>153</v>
      </c>
      <c r="H3692" s="21" t="s">
        <v>1165</v>
      </c>
      <c r="I3692" s="21" t="s">
        <v>3192</v>
      </c>
      <c r="L3692">
        <v>1900</v>
      </c>
      <c r="M3692" s="21" t="s">
        <v>3034</v>
      </c>
      <c r="O3692">
        <v>1988</v>
      </c>
      <c r="S3692" s="9" t="s">
        <v>3169</v>
      </c>
      <c r="T3692" t="s">
        <v>3127</v>
      </c>
      <c r="U3692" s="21" t="s">
        <v>1218</v>
      </c>
      <c r="V3692" s="9" t="s">
        <v>3132</v>
      </c>
      <c r="W3692">
        <f>56</f>
        <v>56</v>
      </c>
      <c r="X3692" s="9" t="s">
        <v>1294</v>
      </c>
      <c r="Z3692">
        <v>24</v>
      </c>
      <c r="AD3692" t="s">
        <v>1165</v>
      </c>
      <c r="AF3692" t="s">
        <v>1165</v>
      </c>
      <c r="AI3692" s="21" t="s">
        <v>1165</v>
      </c>
      <c r="AJ3692" s="21" t="s">
        <v>1148</v>
      </c>
      <c r="AK3692">
        <v>43</v>
      </c>
      <c r="AN3692" s="21">
        <v>4</v>
      </c>
      <c r="AO3692" s="21">
        <v>25</v>
      </c>
      <c r="AP3692">
        <v>28</v>
      </c>
      <c r="AQ3692" s="22" t="s">
        <v>1283</v>
      </c>
      <c r="AR3692" s="21" t="s">
        <v>3130</v>
      </c>
    </row>
    <row r="3693" spans="1:44" x14ac:dyDescent="0.2">
      <c r="A3693" s="21" t="s">
        <v>1778</v>
      </c>
      <c r="B3693" s="21" t="s">
        <v>1146</v>
      </c>
      <c r="C3693" s="21" t="s">
        <v>1149</v>
      </c>
      <c r="D3693" s="21" t="s">
        <v>1774</v>
      </c>
      <c r="E3693" s="21" t="s">
        <v>3190</v>
      </c>
      <c r="G3693" s="21" t="s">
        <v>153</v>
      </c>
      <c r="H3693" s="21" t="s">
        <v>1165</v>
      </c>
      <c r="I3693" s="21" t="s">
        <v>3192</v>
      </c>
      <c r="L3693">
        <v>1900</v>
      </c>
      <c r="M3693" s="21" t="s">
        <v>3034</v>
      </c>
      <c r="O3693">
        <v>1988</v>
      </c>
      <c r="S3693" s="9" t="s">
        <v>3169</v>
      </c>
      <c r="T3693" t="s">
        <v>3127</v>
      </c>
      <c r="U3693" s="21" t="s">
        <v>1218</v>
      </c>
      <c r="V3693" s="9" t="s">
        <v>3132</v>
      </c>
      <c r="W3693">
        <f>7*12</f>
        <v>84</v>
      </c>
      <c r="X3693" s="9" t="s">
        <v>1294</v>
      </c>
      <c r="Z3693">
        <v>24</v>
      </c>
      <c r="AD3693" t="s">
        <v>1165</v>
      </c>
      <c r="AF3693" t="s">
        <v>1165</v>
      </c>
      <c r="AI3693" s="21" t="s">
        <v>1165</v>
      </c>
      <c r="AJ3693" s="21" t="s">
        <v>1148</v>
      </c>
      <c r="AK3693">
        <v>86</v>
      </c>
      <c r="AN3693" s="21">
        <v>4</v>
      </c>
      <c r="AO3693" s="21">
        <v>25</v>
      </c>
      <c r="AP3693">
        <v>28</v>
      </c>
      <c r="AQ3693" s="22" t="s">
        <v>1283</v>
      </c>
      <c r="AR3693" s="21" t="s">
        <v>3130</v>
      </c>
    </row>
    <row r="3694" spans="1:44" x14ac:dyDescent="0.2">
      <c r="A3694" s="21" t="s">
        <v>1778</v>
      </c>
      <c r="B3694" s="21" t="s">
        <v>1146</v>
      </c>
      <c r="C3694" s="21" t="s">
        <v>1149</v>
      </c>
      <c r="D3694" s="21" t="s">
        <v>1774</v>
      </c>
      <c r="E3694" s="21" t="s">
        <v>3190</v>
      </c>
      <c r="G3694" s="21" t="s">
        <v>153</v>
      </c>
      <c r="H3694" s="21" t="s">
        <v>1165</v>
      </c>
      <c r="I3694" s="21" t="s">
        <v>3192</v>
      </c>
      <c r="L3694">
        <v>1900</v>
      </c>
      <c r="M3694" s="21" t="s">
        <v>3034</v>
      </c>
      <c r="O3694">
        <v>1988</v>
      </c>
      <c r="S3694" s="9" t="s">
        <v>3169</v>
      </c>
      <c r="T3694" t="s">
        <v>3127</v>
      </c>
      <c r="U3694" s="21" t="s">
        <v>1218</v>
      </c>
      <c r="V3694" s="9" t="s">
        <v>3132</v>
      </c>
      <c r="W3694">
        <f>7*16</f>
        <v>112</v>
      </c>
      <c r="X3694" s="9" t="s">
        <v>1294</v>
      </c>
      <c r="Z3694">
        <v>24</v>
      </c>
      <c r="AD3694" t="s">
        <v>1165</v>
      </c>
      <c r="AF3694" t="s">
        <v>1165</v>
      </c>
      <c r="AI3694" s="21" t="s">
        <v>1165</v>
      </c>
      <c r="AJ3694" s="21" t="s">
        <v>1148</v>
      </c>
      <c r="AK3694">
        <v>84</v>
      </c>
      <c r="AN3694" s="21">
        <v>4</v>
      </c>
      <c r="AO3694" s="21">
        <v>25</v>
      </c>
      <c r="AP3694">
        <v>28</v>
      </c>
      <c r="AQ3694" s="22" t="s">
        <v>1283</v>
      </c>
      <c r="AR3694" s="21" t="s">
        <v>3130</v>
      </c>
    </row>
    <row r="3695" spans="1:44" x14ac:dyDescent="0.2">
      <c r="A3695" s="21" t="s">
        <v>1778</v>
      </c>
      <c r="B3695" s="21" t="s">
        <v>1146</v>
      </c>
      <c r="C3695" s="21" t="s">
        <v>1149</v>
      </c>
      <c r="D3695" s="21" t="s">
        <v>1774</v>
      </c>
      <c r="E3695" s="21" t="s">
        <v>3190</v>
      </c>
      <c r="G3695" s="21" t="s">
        <v>153</v>
      </c>
      <c r="H3695" s="21" t="s">
        <v>1165</v>
      </c>
      <c r="I3695" s="21" t="s">
        <v>3192</v>
      </c>
      <c r="L3695">
        <v>1900</v>
      </c>
      <c r="M3695" s="21" t="s">
        <v>3034</v>
      </c>
      <c r="O3695">
        <v>1988</v>
      </c>
      <c r="S3695" s="9" t="s">
        <v>3169</v>
      </c>
      <c r="T3695" t="s">
        <v>3127</v>
      </c>
      <c r="U3695" s="21" t="s">
        <v>1218</v>
      </c>
      <c r="V3695" s="9" t="s">
        <v>3132</v>
      </c>
      <c r="W3695">
        <f>7*24</f>
        <v>168</v>
      </c>
      <c r="X3695" s="9" t="s">
        <v>1294</v>
      </c>
      <c r="Z3695">
        <v>24</v>
      </c>
      <c r="AD3695" t="s">
        <v>1165</v>
      </c>
      <c r="AF3695" t="s">
        <v>1165</v>
      </c>
      <c r="AI3695" s="21" t="s">
        <v>1165</v>
      </c>
      <c r="AJ3695" s="21" t="s">
        <v>1148</v>
      </c>
      <c r="AK3695">
        <v>76</v>
      </c>
      <c r="AN3695" s="21">
        <v>4</v>
      </c>
      <c r="AO3695" s="21">
        <v>25</v>
      </c>
      <c r="AP3695">
        <v>28</v>
      </c>
      <c r="AQ3695" s="22" t="s">
        <v>1283</v>
      </c>
      <c r="AR3695" s="21" t="s">
        <v>3130</v>
      </c>
    </row>
    <row r="3696" spans="1:44" x14ac:dyDescent="0.2">
      <c r="A3696" s="21" t="s">
        <v>1778</v>
      </c>
      <c r="B3696" s="21" t="s">
        <v>1146</v>
      </c>
      <c r="C3696" s="21" t="s">
        <v>1149</v>
      </c>
      <c r="D3696" s="21" t="s">
        <v>1774</v>
      </c>
      <c r="E3696" s="21" t="s">
        <v>3190</v>
      </c>
      <c r="G3696" s="21" t="s">
        <v>153</v>
      </c>
      <c r="H3696" s="21" t="s">
        <v>1165</v>
      </c>
      <c r="I3696" s="21" t="s">
        <v>3192</v>
      </c>
      <c r="L3696">
        <v>1900</v>
      </c>
      <c r="M3696" s="21" t="s">
        <v>3034</v>
      </c>
      <c r="O3696">
        <v>1988</v>
      </c>
      <c r="S3696" s="9" t="s">
        <v>3169</v>
      </c>
      <c r="T3696" t="s">
        <v>3127</v>
      </c>
      <c r="U3696" s="21" t="s">
        <v>1218</v>
      </c>
      <c r="V3696" s="9" t="s">
        <v>3132</v>
      </c>
      <c r="W3696">
        <f>12*7</f>
        <v>84</v>
      </c>
      <c r="X3696" s="9" t="s">
        <v>1294</v>
      </c>
      <c r="Y3696" t="s">
        <v>3170</v>
      </c>
      <c r="Z3696">
        <v>24</v>
      </c>
      <c r="AD3696" t="s">
        <v>1165</v>
      </c>
      <c r="AF3696" t="s">
        <v>1165</v>
      </c>
      <c r="AI3696" s="21" t="s">
        <v>1165</v>
      </c>
      <c r="AJ3696" s="21" t="s">
        <v>1148</v>
      </c>
      <c r="AK3696">
        <v>92</v>
      </c>
      <c r="AN3696" s="21">
        <v>4</v>
      </c>
      <c r="AO3696" s="21">
        <v>25</v>
      </c>
      <c r="AP3696">
        <v>28</v>
      </c>
      <c r="AQ3696" s="22" t="s">
        <v>1283</v>
      </c>
      <c r="AR3696" s="21" t="s">
        <v>3130</v>
      </c>
    </row>
    <row r="3697" spans="1:44" x14ac:dyDescent="0.2">
      <c r="A3697" s="21" t="s">
        <v>1778</v>
      </c>
      <c r="B3697" s="21" t="s">
        <v>1146</v>
      </c>
      <c r="C3697" s="21" t="s">
        <v>1149</v>
      </c>
      <c r="D3697" s="21" t="s">
        <v>1774</v>
      </c>
      <c r="E3697" s="21" t="s">
        <v>3190</v>
      </c>
      <c r="G3697" s="21" t="s">
        <v>153</v>
      </c>
      <c r="H3697" s="21" t="s">
        <v>1165</v>
      </c>
      <c r="I3697" s="21" t="s">
        <v>3192</v>
      </c>
      <c r="L3697">
        <v>1900</v>
      </c>
      <c r="M3697" s="21" t="s">
        <v>3034</v>
      </c>
      <c r="O3697">
        <v>1988</v>
      </c>
      <c r="S3697" s="9" t="s">
        <v>3169</v>
      </c>
      <c r="T3697" t="s">
        <v>3127</v>
      </c>
      <c r="U3697" s="21" t="s">
        <v>1218</v>
      </c>
      <c r="V3697" s="9" t="s">
        <v>3132</v>
      </c>
      <c r="W3697">
        <f>12*7</f>
        <v>84</v>
      </c>
      <c r="X3697" s="9" t="s">
        <v>1294</v>
      </c>
      <c r="Y3697" t="s">
        <v>3134</v>
      </c>
      <c r="Z3697">
        <v>24</v>
      </c>
      <c r="AD3697" t="s">
        <v>1165</v>
      </c>
      <c r="AF3697" t="s">
        <v>1165</v>
      </c>
      <c r="AI3697" s="21" t="s">
        <v>1165</v>
      </c>
      <c r="AJ3697" s="21" t="s">
        <v>1148</v>
      </c>
      <c r="AK3697">
        <v>41</v>
      </c>
      <c r="AN3697" s="21">
        <v>4</v>
      </c>
      <c r="AO3697" s="21">
        <v>25</v>
      </c>
      <c r="AP3697">
        <v>28</v>
      </c>
      <c r="AQ3697" s="22" t="s">
        <v>1283</v>
      </c>
      <c r="AR3697" s="21" t="s">
        <v>3130</v>
      </c>
    </row>
    <row r="3698" spans="1:44" x14ac:dyDescent="0.2">
      <c r="A3698" s="21" t="s">
        <v>1778</v>
      </c>
      <c r="B3698" s="21" t="s">
        <v>1146</v>
      </c>
      <c r="C3698" s="21" t="s">
        <v>1149</v>
      </c>
      <c r="D3698" s="21" t="s">
        <v>1774</v>
      </c>
      <c r="E3698" s="21" t="s">
        <v>3190</v>
      </c>
      <c r="G3698" s="21" t="s">
        <v>153</v>
      </c>
      <c r="H3698" s="21" t="s">
        <v>1165</v>
      </c>
      <c r="I3698" s="21" t="s">
        <v>3192</v>
      </c>
      <c r="L3698">
        <v>1900</v>
      </c>
      <c r="M3698" s="21" t="s">
        <v>3034</v>
      </c>
      <c r="O3698">
        <v>1988</v>
      </c>
      <c r="S3698" s="9" t="s">
        <v>3169</v>
      </c>
      <c r="T3698" t="s">
        <v>3127</v>
      </c>
      <c r="U3698" s="21" t="s">
        <v>1218</v>
      </c>
      <c r="V3698" s="9" t="s">
        <v>3132</v>
      </c>
      <c r="W3698">
        <f>12*7</f>
        <v>84</v>
      </c>
      <c r="X3698" s="9" t="s">
        <v>1294</v>
      </c>
      <c r="Y3698" t="s">
        <v>3135</v>
      </c>
      <c r="Z3698">
        <v>24</v>
      </c>
      <c r="AD3698" t="s">
        <v>1165</v>
      </c>
      <c r="AF3698" t="s">
        <v>1165</v>
      </c>
      <c r="AI3698" s="21" t="s">
        <v>1165</v>
      </c>
      <c r="AJ3698" s="21" t="s">
        <v>1148</v>
      </c>
      <c r="AK3698">
        <v>54</v>
      </c>
      <c r="AN3698" s="21">
        <v>4</v>
      </c>
      <c r="AO3698" s="21">
        <v>25</v>
      </c>
      <c r="AP3698">
        <v>28</v>
      </c>
      <c r="AQ3698" s="22" t="s">
        <v>1283</v>
      </c>
      <c r="AR3698" s="21" t="s">
        <v>3130</v>
      </c>
    </row>
    <row r="3699" spans="1:44" x14ac:dyDescent="0.2">
      <c r="A3699" s="21" t="s">
        <v>1778</v>
      </c>
      <c r="B3699" s="21" t="s">
        <v>1146</v>
      </c>
      <c r="C3699" s="21" t="s">
        <v>1149</v>
      </c>
      <c r="D3699" s="21" t="s">
        <v>1774</v>
      </c>
      <c r="E3699" s="21" t="s">
        <v>3190</v>
      </c>
      <c r="G3699" s="21" t="s">
        <v>153</v>
      </c>
      <c r="H3699" s="21" t="s">
        <v>1165</v>
      </c>
      <c r="I3699" s="21" t="s">
        <v>3186</v>
      </c>
      <c r="L3699">
        <v>1980</v>
      </c>
      <c r="M3699" s="21" t="s">
        <v>3034</v>
      </c>
      <c r="O3699">
        <v>1988</v>
      </c>
      <c r="S3699" s="9" t="s">
        <v>3169</v>
      </c>
      <c r="T3699" t="s">
        <v>3127</v>
      </c>
      <c r="U3699" s="21" t="s">
        <v>1147</v>
      </c>
      <c r="Z3699">
        <v>24</v>
      </c>
      <c r="AD3699" t="s">
        <v>1165</v>
      </c>
      <c r="AF3699" t="s">
        <v>1165</v>
      </c>
      <c r="AI3699" s="21" t="s">
        <v>1165</v>
      </c>
      <c r="AJ3699" s="21" t="s">
        <v>1148</v>
      </c>
      <c r="AK3699">
        <v>0</v>
      </c>
      <c r="AN3699" s="21">
        <v>4</v>
      </c>
      <c r="AO3699" s="21">
        <v>25</v>
      </c>
      <c r="AP3699">
        <v>28</v>
      </c>
      <c r="AQ3699" s="22" t="s">
        <v>1283</v>
      </c>
      <c r="AR3699" s="21" t="s">
        <v>3130</v>
      </c>
    </row>
    <row r="3700" spans="1:44" x14ac:dyDescent="0.2">
      <c r="A3700" s="21" t="s">
        <v>1778</v>
      </c>
      <c r="B3700" s="21" t="s">
        <v>1146</v>
      </c>
      <c r="C3700" s="21" t="s">
        <v>1149</v>
      </c>
      <c r="D3700" s="21" t="s">
        <v>1774</v>
      </c>
      <c r="E3700" s="21" t="s">
        <v>3190</v>
      </c>
      <c r="G3700" s="21" t="s">
        <v>153</v>
      </c>
      <c r="H3700" s="21" t="s">
        <v>1165</v>
      </c>
      <c r="I3700" s="21" t="s">
        <v>3186</v>
      </c>
      <c r="L3700">
        <v>1980</v>
      </c>
      <c r="M3700" s="21" t="s">
        <v>3034</v>
      </c>
      <c r="O3700">
        <v>1988</v>
      </c>
      <c r="S3700" s="9" t="s">
        <v>3169</v>
      </c>
      <c r="T3700" t="s">
        <v>3127</v>
      </c>
      <c r="U3700" s="21" t="s">
        <v>1218</v>
      </c>
      <c r="V3700" s="9" t="s">
        <v>3132</v>
      </c>
      <c r="W3700">
        <v>28</v>
      </c>
      <c r="X3700" s="9" t="s">
        <v>1294</v>
      </c>
      <c r="Z3700">
        <v>24</v>
      </c>
      <c r="AD3700" t="s">
        <v>1165</v>
      </c>
      <c r="AF3700" t="s">
        <v>1165</v>
      </c>
      <c r="AI3700" s="21" t="s">
        <v>1165</v>
      </c>
      <c r="AJ3700" s="21" t="s">
        <v>1148</v>
      </c>
      <c r="AK3700">
        <v>5</v>
      </c>
      <c r="AN3700" s="21">
        <v>4</v>
      </c>
      <c r="AO3700" s="21">
        <v>25</v>
      </c>
      <c r="AP3700">
        <v>28</v>
      </c>
      <c r="AQ3700" s="22" t="s">
        <v>1283</v>
      </c>
      <c r="AR3700" s="21" t="s">
        <v>3130</v>
      </c>
    </row>
    <row r="3701" spans="1:44" x14ac:dyDescent="0.2">
      <c r="A3701" s="21" t="s">
        <v>1778</v>
      </c>
      <c r="B3701" s="21" t="s">
        <v>1146</v>
      </c>
      <c r="C3701" s="21" t="s">
        <v>1149</v>
      </c>
      <c r="D3701" s="21" t="s">
        <v>1774</v>
      </c>
      <c r="E3701" s="21" t="s">
        <v>3190</v>
      </c>
      <c r="G3701" s="21" t="s">
        <v>153</v>
      </c>
      <c r="H3701" s="21" t="s">
        <v>1165</v>
      </c>
      <c r="I3701" s="21" t="s">
        <v>3186</v>
      </c>
      <c r="L3701">
        <v>1980</v>
      </c>
      <c r="M3701" s="21" t="s">
        <v>3034</v>
      </c>
      <c r="O3701">
        <v>1988</v>
      </c>
      <c r="S3701" s="9" t="s">
        <v>3169</v>
      </c>
      <c r="T3701" t="s">
        <v>3127</v>
      </c>
      <c r="U3701" s="21" t="s">
        <v>1218</v>
      </c>
      <c r="V3701" s="9" t="s">
        <v>3132</v>
      </c>
      <c r="W3701">
        <f>56</f>
        <v>56</v>
      </c>
      <c r="X3701" s="9" t="s">
        <v>1294</v>
      </c>
      <c r="Z3701">
        <v>24</v>
      </c>
      <c r="AD3701" t="s">
        <v>1165</v>
      </c>
      <c r="AF3701" t="s">
        <v>1165</v>
      </c>
      <c r="AI3701" s="21" t="s">
        <v>1165</v>
      </c>
      <c r="AJ3701" s="21" t="s">
        <v>1148</v>
      </c>
      <c r="AK3701">
        <v>47</v>
      </c>
      <c r="AN3701" s="21">
        <v>4</v>
      </c>
      <c r="AO3701" s="21">
        <v>25</v>
      </c>
      <c r="AP3701">
        <v>28</v>
      </c>
      <c r="AQ3701" s="22" t="s">
        <v>1283</v>
      </c>
      <c r="AR3701" s="21" t="s">
        <v>3130</v>
      </c>
    </row>
    <row r="3702" spans="1:44" x14ac:dyDescent="0.2">
      <c r="A3702" s="21" t="s">
        <v>1778</v>
      </c>
      <c r="B3702" s="21" t="s">
        <v>1146</v>
      </c>
      <c r="C3702" s="21" t="s">
        <v>1149</v>
      </c>
      <c r="D3702" s="21" t="s">
        <v>1774</v>
      </c>
      <c r="E3702" s="21" t="s">
        <v>3190</v>
      </c>
      <c r="G3702" s="21" t="s">
        <v>153</v>
      </c>
      <c r="H3702" s="21" t="s">
        <v>1165</v>
      </c>
      <c r="I3702" s="21" t="s">
        <v>3186</v>
      </c>
      <c r="L3702">
        <v>1980</v>
      </c>
      <c r="M3702" s="21" t="s">
        <v>3034</v>
      </c>
      <c r="O3702">
        <v>1988</v>
      </c>
      <c r="S3702" s="9" t="s">
        <v>3169</v>
      </c>
      <c r="T3702" t="s">
        <v>3127</v>
      </c>
      <c r="U3702" s="21" t="s">
        <v>1218</v>
      </c>
      <c r="V3702" s="9" t="s">
        <v>3132</v>
      </c>
      <c r="W3702">
        <f>7*12</f>
        <v>84</v>
      </c>
      <c r="X3702" s="9" t="s">
        <v>1294</v>
      </c>
      <c r="Z3702">
        <v>24</v>
      </c>
      <c r="AD3702" t="s">
        <v>1165</v>
      </c>
      <c r="AF3702" t="s">
        <v>1165</v>
      </c>
      <c r="AI3702" s="21" t="s">
        <v>1165</v>
      </c>
      <c r="AJ3702" s="21" t="s">
        <v>1148</v>
      </c>
      <c r="AK3702">
        <v>98</v>
      </c>
      <c r="AN3702" s="21">
        <v>4</v>
      </c>
      <c r="AO3702" s="21">
        <v>25</v>
      </c>
      <c r="AP3702">
        <v>28</v>
      </c>
      <c r="AQ3702" s="22" t="s">
        <v>1283</v>
      </c>
      <c r="AR3702" s="21" t="s">
        <v>3130</v>
      </c>
    </row>
    <row r="3703" spans="1:44" x14ac:dyDescent="0.2">
      <c r="A3703" s="21" t="s">
        <v>1778</v>
      </c>
      <c r="B3703" s="21" t="s">
        <v>1146</v>
      </c>
      <c r="C3703" s="21" t="s">
        <v>1149</v>
      </c>
      <c r="D3703" s="21" t="s">
        <v>1774</v>
      </c>
      <c r="E3703" s="21" t="s">
        <v>3190</v>
      </c>
      <c r="G3703" s="21" t="s">
        <v>153</v>
      </c>
      <c r="H3703" s="21" t="s">
        <v>1165</v>
      </c>
      <c r="I3703" s="21" t="s">
        <v>3186</v>
      </c>
      <c r="L3703">
        <v>1980</v>
      </c>
      <c r="M3703" s="21" t="s">
        <v>3034</v>
      </c>
      <c r="O3703">
        <v>1988</v>
      </c>
      <c r="S3703" s="9" t="s">
        <v>3169</v>
      </c>
      <c r="T3703" t="s">
        <v>3127</v>
      </c>
      <c r="U3703" s="21" t="s">
        <v>1218</v>
      </c>
      <c r="V3703" s="9" t="s">
        <v>3132</v>
      </c>
      <c r="W3703">
        <f>7*16</f>
        <v>112</v>
      </c>
      <c r="X3703" s="9" t="s">
        <v>1294</v>
      </c>
      <c r="Z3703">
        <v>24</v>
      </c>
      <c r="AD3703" t="s">
        <v>1165</v>
      </c>
      <c r="AF3703" t="s">
        <v>1165</v>
      </c>
      <c r="AI3703" s="21" t="s">
        <v>1165</v>
      </c>
      <c r="AJ3703" s="21" t="s">
        <v>1148</v>
      </c>
      <c r="AK3703">
        <v>95</v>
      </c>
      <c r="AN3703" s="21">
        <v>4</v>
      </c>
      <c r="AO3703" s="21">
        <v>25</v>
      </c>
      <c r="AP3703">
        <v>28</v>
      </c>
      <c r="AQ3703" s="22" t="s">
        <v>1283</v>
      </c>
      <c r="AR3703" s="21" t="s">
        <v>3130</v>
      </c>
    </row>
    <row r="3704" spans="1:44" x14ac:dyDescent="0.2">
      <c r="A3704" s="21" t="s">
        <v>1778</v>
      </c>
      <c r="B3704" s="21" t="s">
        <v>1146</v>
      </c>
      <c r="C3704" s="21" t="s">
        <v>1149</v>
      </c>
      <c r="D3704" s="21" t="s">
        <v>1774</v>
      </c>
      <c r="E3704" s="21" t="s">
        <v>3190</v>
      </c>
      <c r="G3704" s="21" t="s">
        <v>153</v>
      </c>
      <c r="H3704" s="21" t="s">
        <v>1165</v>
      </c>
      <c r="I3704" s="21" t="s">
        <v>3186</v>
      </c>
      <c r="L3704">
        <v>1980</v>
      </c>
      <c r="M3704" s="21" t="s">
        <v>3034</v>
      </c>
      <c r="O3704">
        <v>1988</v>
      </c>
      <c r="S3704" s="9" t="s">
        <v>3169</v>
      </c>
      <c r="T3704" t="s">
        <v>3127</v>
      </c>
      <c r="U3704" s="21" t="s">
        <v>1218</v>
      </c>
      <c r="V3704" s="9" t="s">
        <v>3132</v>
      </c>
      <c r="W3704">
        <f>7*24</f>
        <v>168</v>
      </c>
      <c r="X3704" s="9" t="s">
        <v>1294</v>
      </c>
      <c r="Z3704">
        <v>24</v>
      </c>
      <c r="AD3704" t="s">
        <v>1165</v>
      </c>
      <c r="AF3704" t="s">
        <v>1165</v>
      </c>
      <c r="AI3704" s="21" t="s">
        <v>1165</v>
      </c>
      <c r="AJ3704" s="21" t="s">
        <v>1148</v>
      </c>
      <c r="AK3704">
        <v>97</v>
      </c>
      <c r="AN3704" s="21">
        <v>4</v>
      </c>
      <c r="AO3704" s="21">
        <v>25</v>
      </c>
      <c r="AP3704">
        <v>28</v>
      </c>
      <c r="AQ3704" s="22" t="s">
        <v>1283</v>
      </c>
      <c r="AR3704" s="21" t="s">
        <v>3130</v>
      </c>
    </row>
    <row r="3705" spans="1:44" x14ac:dyDescent="0.2">
      <c r="A3705" s="21" t="s">
        <v>1778</v>
      </c>
      <c r="B3705" s="21" t="s">
        <v>1146</v>
      </c>
      <c r="C3705" s="21" t="s">
        <v>1149</v>
      </c>
      <c r="D3705" s="21" t="s">
        <v>1774</v>
      </c>
      <c r="E3705" s="21" t="s">
        <v>3190</v>
      </c>
      <c r="G3705" s="21" t="s">
        <v>153</v>
      </c>
      <c r="H3705" s="21" t="s">
        <v>1165</v>
      </c>
      <c r="I3705" s="21" t="s">
        <v>3186</v>
      </c>
      <c r="L3705">
        <v>1980</v>
      </c>
      <c r="M3705" s="21" t="s">
        <v>3034</v>
      </c>
      <c r="O3705">
        <v>1988</v>
      </c>
      <c r="S3705" s="9" t="s">
        <v>3169</v>
      </c>
      <c r="T3705" t="s">
        <v>3127</v>
      </c>
      <c r="U3705" s="21" t="s">
        <v>1218</v>
      </c>
      <c r="V3705" s="9" t="s">
        <v>3132</v>
      </c>
      <c r="W3705">
        <f>12*7</f>
        <v>84</v>
      </c>
      <c r="X3705" s="9" t="s">
        <v>1294</v>
      </c>
      <c r="Y3705" t="s">
        <v>3170</v>
      </c>
      <c r="Z3705">
        <v>24</v>
      </c>
      <c r="AD3705" t="s">
        <v>1165</v>
      </c>
      <c r="AF3705" t="s">
        <v>1165</v>
      </c>
      <c r="AI3705" s="21" t="s">
        <v>1165</v>
      </c>
      <c r="AJ3705" s="21" t="s">
        <v>1148</v>
      </c>
      <c r="AK3705">
        <v>96</v>
      </c>
      <c r="AN3705" s="21">
        <v>4</v>
      </c>
      <c r="AO3705" s="21">
        <v>25</v>
      </c>
      <c r="AP3705">
        <v>28</v>
      </c>
      <c r="AQ3705" s="22" t="s">
        <v>1283</v>
      </c>
      <c r="AR3705" s="21" t="s">
        <v>3130</v>
      </c>
    </row>
    <row r="3706" spans="1:44" x14ac:dyDescent="0.2">
      <c r="A3706" s="21" t="s">
        <v>1778</v>
      </c>
      <c r="B3706" s="21" t="s">
        <v>1146</v>
      </c>
      <c r="C3706" s="21" t="s">
        <v>1149</v>
      </c>
      <c r="D3706" s="21" t="s">
        <v>1774</v>
      </c>
      <c r="E3706" s="21" t="s">
        <v>3190</v>
      </c>
      <c r="G3706" s="21" t="s">
        <v>153</v>
      </c>
      <c r="H3706" s="21" t="s">
        <v>1165</v>
      </c>
      <c r="I3706" s="21" t="s">
        <v>3186</v>
      </c>
      <c r="L3706">
        <v>1980</v>
      </c>
      <c r="M3706" s="21" t="s">
        <v>3034</v>
      </c>
      <c r="O3706">
        <v>1988</v>
      </c>
      <c r="S3706" s="9" t="s">
        <v>3169</v>
      </c>
      <c r="T3706" t="s">
        <v>3127</v>
      </c>
      <c r="U3706" s="21" t="s">
        <v>1218</v>
      </c>
      <c r="V3706" s="9" t="s">
        <v>3132</v>
      </c>
      <c r="W3706">
        <f>12*7</f>
        <v>84</v>
      </c>
      <c r="X3706" s="9" t="s">
        <v>1294</v>
      </c>
      <c r="Y3706" t="s">
        <v>3134</v>
      </c>
      <c r="Z3706">
        <v>24</v>
      </c>
      <c r="AD3706" t="s">
        <v>1165</v>
      </c>
      <c r="AF3706" t="s">
        <v>1165</v>
      </c>
      <c r="AI3706" s="21" t="s">
        <v>1165</v>
      </c>
      <c r="AJ3706" s="21" t="s">
        <v>1148</v>
      </c>
      <c r="AK3706">
        <v>47</v>
      </c>
      <c r="AN3706" s="21">
        <v>4</v>
      </c>
      <c r="AO3706" s="21">
        <v>25</v>
      </c>
      <c r="AP3706">
        <v>28</v>
      </c>
      <c r="AQ3706" s="22" t="s">
        <v>1283</v>
      </c>
      <c r="AR3706" s="21" t="s">
        <v>3130</v>
      </c>
    </row>
    <row r="3707" spans="1:44" x14ac:dyDescent="0.2">
      <c r="A3707" s="21" t="s">
        <v>1778</v>
      </c>
      <c r="B3707" s="21" t="s">
        <v>1146</v>
      </c>
      <c r="C3707" s="21" t="s">
        <v>1149</v>
      </c>
      <c r="D3707" s="21" t="s">
        <v>1774</v>
      </c>
      <c r="E3707" s="21" t="s">
        <v>3190</v>
      </c>
      <c r="G3707" s="21" t="s">
        <v>153</v>
      </c>
      <c r="H3707" s="21" t="s">
        <v>1165</v>
      </c>
      <c r="I3707" s="21" t="s">
        <v>3186</v>
      </c>
      <c r="L3707">
        <v>1980</v>
      </c>
      <c r="M3707" s="21" t="s">
        <v>3034</v>
      </c>
      <c r="O3707">
        <v>1988</v>
      </c>
      <c r="S3707" s="9" t="s">
        <v>3169</v>
      </c>
      <c r="T3707" t="s">
        <v>3127</v>
      </c>
      <c r="U3707" s="21" t="s">
        <v>1218</v>
      </c>
      <c r="V3707" s="9" t="s">
        <v>3132</v>
      </c>
      <c r="W3707">
        <f>12*7</f>
        <v>84</v>
      </c>
      <c r="X3707" s="9" t="s">
        <v>1294</v>
      </c>
      <c r="Y3707" t="s">
        <v>3135</v>
      </c>
      <c r="Z3707">
        <v>24</v>
      </c>
      <c r="AD3707" t="s">
        <v>1165</v>
      </c>
      <c r="AF3707" t="s">
        <v>1165</v>
      </c>
      <c r="AI3707" s="21" t="s">
        <v>1165</v>
      </c>
      <c r="AJ3707" s="21" t="s">
        <v>1148</v>
      </c>
      <c r="AK3707">
        <v>75</v>
      </c>
      <c r="AN3707" s="21">
        <v>4</v>
      </c>
      <c r="AO3707" s="21">
        <v>25</v>
      </c>
      <c r="AP3707">
        <v>28</v>
      </c>
      <c r="AQ3707" s="22" t="s">
        <v>1283</v>
      </c>
      <c r="AR3707" s="21" t="s">
        <v>3130</v>
      </c>
    </row>
    <row r="3708" spans="1:44" x14ac:dyDescent="0.2">
      <c r="A3708" s="21" t="s">
        <v>1778</v>
      </c>
      <c r="B3708" s="21" t="s">
        <v>1146</v>
      </c>
      <c r="C3708" s="21" t="s">
        <v>1149</v>
      </c>
      <c r="D3708" s="21" t="s">
        <v>1774</v>
      </c>
      <c r="E3708" s="21" t="s">
        <v>3190</v>
      </c>
      <c r="G3708" s="21" t="s">
        <v>153</v>
      </c>
      <c r="H3708" s="21" t="s">
        <v>1165</v>
      </c>
      <c r="I3708" s="21" t="s">
        <v>3145</v>
      </c>
      <c r="L3708">
        <v>1690</v>
      </c>
      <c r="M3708" s="21" t="s">
        <v>3034</v>
      </c>
      <c r="O3708">
        <v>1988</v>
      </c>
      <c r="S3708" s="9" t="s">
        <v>3169</v>
      </c>
      <c r="T3708" t="s">
        <v>3127</v>
      </c>
      <c r="U3708" s="21" t="s">
        <v>1147</v>
      </c>
      <c r="Z3708">
        <v>24</v>
      </c>
      <c r="AD3708" t="s">
        <v>1165</v>
      </c>
      <c r="AF3708" t="s">
        <v>1165</v>
      </c>
      <c r="AI3708" s="21" t="s">
        <v>1165</v>
      </c>
      <c r="AJ3708" s="21" t="s">
        <v>1148</v>
      </c>
      <c r="AK3708">
        <v>1</v>
      </c>
      <c r="AN3708" s="21">
        <v>4</v>
      </c>
      <c r="AO3708" s="21">
        <v>25</v>
      </c>
      <c r="AP3708">
        <v>28</v>
      </c>
      <c r="AQ3708" s="22" t="s">
        <v>1283</v>
      </c>
      <c r="AR3708" s="21" t="s">
        <v>3130</v>
      </c>
    </row>
    <row r="3709" spans="1:44" x14ac:dyDescent="0.2">
      <c r="A3709" s="21" t="s">
        <v>1778</v>
      </c>
      <c r="B3709" s="21" t="s">
        <v>1146</v>
      </c>
      <c r="C3709" s="21" t="s">
        <v>1149</v>
      </c>
      <c r="D3709" s="21" t="s">
        <v>1774</v>
      </c>
      <c r="E3709" s="21" t="s">
        <v>3190</v>
      </c>
      <c r="G3709" s="21" t="s">
        <v>153</v>
      </c>
      <c r="H3709" s="21" t="s">
        <v>1165</v>
      </c>
      <c r="I3709" s="21" t="s">
        <v>3145</v>
      </c>
      <c r="L3709">
        <v>1690</v>
      </c>
      <c r="M3709" s="21" t="s">
        <v>3034</v>
      </c>
      <c r="O3709">
        <v>1988</v>
      </c>
      <c r="S3709" s="9" t="s">
        <v>3169</v>
      </c>
      <c r="T3709" t="s">
        <v>3127</v>
      </c>
      <c r="U3709" s="21" t="s">
        <v>1218</v>
      </c>
      <c r="V3709" s="9" t="s">
        <v>3132</v>
      </c>
      <c r="W3709">
        <v>28</v>
      </c>
      <c r="X3709" s="9" t="s">
        <v>1294</v>
      </c>
      <c r="Z3709">
        <v>24</v>
      </c>
      <c r="AD3709" t="s">
        <v>1165</v>
      </c>
      <c r="AF3709" t="s">
        <v>1165</v>
      </c>
      <c r="AI3709" s="21" t="s">
        <v>1165</v>
      </c>
      <c r="AJ3709" s="21" t="s">
        <v>1148</v>
      </c>
      <c r="AK3709">
        <v>11</v>
      </c>
      <c r="AN3709" s="21">
        <v>4</v>
      </c>
      <c r="AO3709" s="21">
        <v>25</v>
      </c>
      <c r="AP3709">
        <v>28</v>
      </c>
      <c r="AQ3709" s="22" t="s">
        <v>1283</v>
      </c>
      <c r="AR3709" s="21" t="s">
        <v>3130</v>
      </c>
    </row>
    <row r="3710" spans="1:44" x14ac:dyDescent="0.2">
      <c r="A3710" s="21" t="s">
        <v>1778</v>
      </c>
      <c r="B3710" s="21" t="s">
        <v>1146</v>
      </c>
      <c r="C3710" s="21" t="s">
        <v>1149</v>
      </c>
      <c r="D3710" s="21" t="s">
        <v>1774</v>
      </c>
      <c r="E3710" s="21" t="s">
        <v>3190</v>
      </c>
      <c r="G3710" s="21" t="s">
        <v>153</v>
      </c>
      <c r="H3710" s="21" t="s">
        <v>1165</v>
      </c>
      <c r="I3710" s="21" t="s">
        <v>3145</v>
      </c>
      <c r="L3710">
        <v>1690</v>
      </c>
      <c r="M3710" s="21" t="s">
        <v>3034</v>
      </c>
      <c r="O3710">
        <v>1988</v>
      </c>
      <c r="S3710" s="9" t="s">
        <v>3169</v>
      </c>
      <c r="T3710" t="s">
        <v>3127</v>
      </c>
      <c r="U3710" s="21" t="s">
        <v>1218</v>
      </c>
      <c r="V3710" s="9" t="s">
        <v>3132</v>
      </c>
      <c r="W3710">
        <f>56</f>
        <v>56</v>
      </c>
      <c r="X3710" s="9" t="s">
        <v>1294</v>
      </c>
      <c r="Z3710">
        <v>24</v>
      </c>
      <c r="AD3710" t="s">
        <v>1165</v>
      </c>
      <c r="AF3710" t="s">
        <v>1165</v>
      </c>
      <c r="AI3710" s="21" t="s">
        <v>1165</v>
      </c>
      <c r="AJ3710" s="21" t="s">
        <v>1148</v>
      </c>
      <c r="AK3710">
        <v>26</v>
      </c>
      <c r="AN3710" s="21">
        <v>4</v>
      </c>
      <c r="AO3710" s="21">
        <v>25</v>
      </c>
      <c r="AP3710">
        <v>28</v>
      </c>
      <c r="AQ3710" s="22" t="s">
        <v>1283</v>
      </c>
      <c r="AR3710" s="21" t="s">
        <v>3130</v>
      </c>
    </row>
    <row r="3711" spans="1:44" x14ac:dyDescent="0.2">
      <c r="A3711" s="21" t="s">
        <v>1778</v>
      </c>
      <c r="B3711" s="21" t="s">
        <v>1146</v>
      </c>
      <c r="C3711" s="21" t="s">
        <v>1149</v>
      </c>
      <c r="D3711" s="21" t="s">
        <v>1774</v>
      </c>
      <c r="E3711" s="21" t="s">
        <v>3190</v>
      </c>
      <c r="G3711" s="21" t="s">
        <v>153</v>
      </c>
      <c r="H3711" s="21" t="s">
        <v>1165</v>
      </c>
      <c r="I3711" s="21" t="s">
        <v>3145</v>
      </c>
      <c r="L3711">
        <v>1690</v>
      </c>
      <c r="M3711" s="21" t="s">
        <v>3034</v>
      </c>
      <c r="O3711">
        <v>1988</v>
      </c>
      <c r="S3711" s="9" t="s">
        <v>3169</v>
      </c>
      <c r="T3711" t="s">
        <v>3127</v>
      </c>
      <c r="U3711" s="21" t="s">
        <v>1218</v>
      </c>
      <c r="V3711" s="9" t="s">
        <v>3132</v>
      </c>
      <c r="W3711">
        <f>7*12</f>
        <v>84</v>
      </c>
      <c r="X3711" s="9" t="s">
        <v>1294</v>
      </c>
      <c r="Z3711">
        <v>24</v>
      </c>
      <c r="AD3711" t="s">
        <v>1165</v>
      </c>
      <c r="AF3711" t="s">
        <v>1165</v>
      </c>
      <c r="AI3711" s="21" t="s">
        <v>1165</v>
      </c>
      <c r="AJ3711" s="21" t="s">
        <v>1148</v>
      </c>
      <c r="AK3711">
        <v>97</v>
      </c>
      <c r="AN3711" s="21">
        <v>4</v>
      </c>
      <c r="AO3711" s="21">
        <v>25</v>
      </c>
      <c r="AP3711">
        <v>28</v>
      </c>
      <c r="AQ3711" s="22" t="s">
        <v>1283</v>
      </c>
      <c r="AR3711" s="21" t="s">
        <v>3130</v>
      </c>
    </row>
    <row r="3712" spans="1:44" x14ac:dyDescent="0.2">
      <c r="A3712" s="21" t="s">
        <v>1778</v>
      </c>
      <c r="B3712" s="21" t="s">
        <v>1146</v>
      </c>
      <c r="C3712" s="21" t="s">
        <v>1149</v>
      </c>
      <c r="D3712" s="21" t="s">
        <v>1774</v>
      </c>
      <c r="E3712" s="21" t="s">
        <v>3190</v>
      </c>
      <c r="G3712" s="21" t="s">
        <v>153</v>
      </c>
      <c r="H3712" s="21" t="s">
        <v>1165</v>
      </c>
      <c r="I3712" s="21" t="s">
        <v>3145</v>
      </c>
      <c r="L3712">
        <v>1690</v>
      </c>
      <c r="M3712" s="21" t="s">
        <v>3034</v>
      </c>
      <c r="O3712">
        <v>1988</v>
      </c>
      <c r="S3712" s="9" t="s">
        <v>3169</v>
      </c>
      <c r="T3712" t="s">
        <v>3127</v>
      </c>
      <c r="U3712" s="21" t="s">
        <v>1218</v>
      </c>
      <c r="V3712" s="9" t="s">
        <v>3132</v>
      </c>
      <c r="W3712">
        <f>7*16</f>
        <v>112</v>
      </c>
      <c r="X3712" s="9" t="s">
        <v>1294</v>
      </c>
      <c r="Z3712">
        <v>24</v>
      </c>
      <c r="AD3712" t="s">
        <v>1165</v>
      </c>
      <c r="AF3712" t="s">
        <v>1165</v>
      </c>
      <c r="AI3712" s="21" t="s">
        <v>1165</v>
      </c>
      <c r="AJ3712" s="21" t="s">
        <v>1148</v>
      </c>
      <c r="AK3712">
        <v>100</v>
      </c>
      <c r="AN3712" s="21">
        <v>4</v>
      </c>
      <c r="AO3712" s="21">
        <v>25</v>
      </c>
      <c r="AP3712">
        <v>28</v>
      </c>
      <c r="AQ3712" s="22" t="s">
        <v>1283</v>
      </c>
      <c r="AR3712" s="21" t="s">
        <v>3130</v>
      </c>
    </row>
    <row r="3713" spans="1:44" x14ac:dyDescent="0.2">
      <c r="A3713" s="21" t="s">
        <v>1778</v>
      </c>
      <c r="B3713" s="21" t="s">
        <v>1146</v>
      </c>
      <c r="C3713" s="21" t="s">
        <v>1149</v>
      </c>
      <c r="D3713" s="21" t="s">
        <v>1774</v>
      </c>
      <c r="E3713" s="21" t="s">
        <v>3190</v>
      </c>
      <c r="G3713" s="21" t="s">
        <v>153</v>
      </c>
      <c r="H3713" s="21" t="s">
        <v>1165</v>
      </c>
      <c r="I3713" s="21" t="s">
        <v>3145</v>
      </c>
      <c r="L3713">
        <v>1690</v>
      </c>
      <c r="M3713" s="21" t="s">
        <v>3034</v>
      </c>
      <c r="O3713">
        <v>1988</v>
      </c>
      <c r="S3713" s="9" t="s">
        <v>3169</v>
      </c>
      <c r="T3713" t="s">
        <v>3127</v>
      </c>
      <c r="U3713" s="21" t="s">
        <v>1218</v>
      </c>
      <c r="V3713" s="9" t="s">
        <v>3132</v>
      </c>
      <c r="W3713">
        <f>7*24</f>
        <v>168</v>
      </c>
      <c r="X3713" s="9" t="s">
        <v>1294</v>
      </c>
      <c r="Z3713">
        <v>24</v>
      </c>
      <c r="AD3713" t="s">
        <v>1165</v>
      </c>
      <c r="AF3713" t="s">
        <v>1165</v>
      </c>
      <c r="AI3713" s="21" t="s">
        <v>1165</v>
      </c>
      <c r="AJ3713" s="21" t="s">
        <v>1148</v>
      </c>
      <c r="AK3713">
        <v>100</v>
      </c>
      <c r="AN3713" s="21">
        <v>4</v>
      </c>
      <c r="AO3713" s="21">
        <v>25</v>
      </c>
      <c r="AP3713">
        <v>28</v>
      </c>
      <c r="AQ3713" s="22" t="s">
        <v>1283</v>
      </c>
      <c r="AR3713" s="21" t="s">
        <v>3130</v>
      </c>
    </row>
    <row r="3714" spans="1:44" x14ac:dyDescent="0.2">
      <c r="A3714" s="21" t="s">
        <v>1778</v>
      </c>
      <c r="B3714" s="21" t="s">
        <v>1146</v>
      </c>
      <c r="C3714" s="21" t="s">
        <v>1149</v>
      </c>
      <c r="D3714" s="21" t="s">
        <v>1774</v>
      </c>
      <c r="E3714" s="21" t="s">
        <v>3190</v>
      </c>
      <c r="G3714" s="21" t="s">
        <v>153</v>
      </c>
      <c r="H3714" s="21" t="s">
        <v>1165</v>
      </c>
      <c r="I3714" s="21" t="s">
        <v>3145</v>
      </c>
      <c r="L3714">
        <v>1690</v>
      </c>
      <c r="M3714" s="21" t="s">
        <v>3034</v>
      </c>
      <c r="O3714">
        <v>1988</v>
      </c>
      <c r="S3714" s="9" t="s">
        <v>3169</v>
      </c>
      <c r="T3714" t="s">
        <v>3127</v>
      </c>
      <c r="U3714" s="21" t="s">
        <v>1218</v>
      </c>
      <c r="V3714" s="9" t="s">
        <v>3132</v>
      </c>
      <c r="W3714">
        <f>12*7</f>
        <v>84</v>
      </c>
      <c r="X3714" s="9" t="s">
        <v>1294</v>
      </c>
      <c r="Y3714" t="s">
        <v>3170</v>
      </c>
      <c r="Z3714">
        <v>24</v>
      </c>
      <c r="AD3714" t="s">
        <v>1165</v>
      </c>
      <c r="AF3714" t="s">
        <v>1165</v>
      </c>
      <c r="AI3714" s="21" t="s">
        <v>1165</v>
      </c>
      <c r="AJ3714" s="21" t="s">
        <v>1148</v>
      </c>
      <c r="AK3714">
        <v>100</v>
      </c>
      <c r="AN3714" s="21">
        <v>4</v>
      </c>
      <c r="AO3714" s="21">
        <v>25</v>
      </c>
      <c r="AP3714">
        <v>28</v>
      </c>
      <c r="AQ3714" s="22" t="s">
        <v>1283</v>
      </c>
      <c r="AR3714" s="21" t="s">
        <v>3130</v>
      </c>
    </row>
    <row r="3715" spans="1:44" ht="17" customHeight="1" x14ac:dyDescent="0.2">
      <c r="A3715" s="21" t="s">
        <v>1778</v>
      </c>
      <c r="B3715" s="21" t="s">
        <v>1146</v>
      </c>
      <c r="C3715" s="21" t="s">
        <v>1149</v>
      </c>
      <c r="D3715" s="21" t="s">
        <v>1774</v>
      </c>
      <c r="E3715" s="21" t="s">
        <v>3190</v>
      </c>
      <c r="G3715" s="21" t="s">
        <v>153</v>
      </c>
      <c r="H3715" s="21" t="s">
        <v>1165</v>
      </c>
      <c r="I3715" s="21" t="s">
        <v>3145</v>
      </c>
      <c r="L3715">
        <v>1690</v>
      </c>
      <c r="M3715" s="21" t="s">
        <v>3034</v>
      </c>
      <c r="O3715">
        <v>1988</v>
      </c>
      <c r="S3715" s="9" t="s">
        <v>3169</v>
      </c>
      <c r="T3715" t="s">
        <v>3127</v>
      </c>
      <c r="U3715" s="21" t="s">
        <v>1218</v>
      </c>
      <c r="V3715" s="9" t="s">
        <v>3132</v>
      </c>
      <c r="W3715">
        <f>12*7</f>
        <v>84</v>
      </c>
      <c r="X3715" s="9" t="s">
        <v>1294</v>
      </c>
      <c r="Y3715" t="s">
        <v>3134</v>
      </c>
      <c r="Z3715">
        <v>24</v>
      </c>
      <c r="AD3715" t="s">
        <v>1165</v>
      </c>
      <c r="AF3715" t="s">
        <v>1165</v>
      </c>
      <c r="AI3715" s="21" t="s">
        <v>1165</v>
      </c>
      <c r="AJ3715" s="21" t="s">
        <v>1148</v>
      </c>
      <c r="AK3715">
        <v>68</v>
      </c>
      <c r="AN3715" s="21">
        <v>4</v>
      </c>
      <c r="AO3715" s="21">
        <v>25</v>
      </c>
      <c r="AP3715">
        <v>28</v>
      </c>
      <c r="AQ3715" s="22" t="s">
        <v>1283</v>
      </c>
      <c r="AR3715" s="21" t="s">
        <v>3130</v>
      </c>
    </row>
    <row r="3716" spans="1:44" x14ac:dyDescent="0.2">
      <c r="A3716" s="21" t="s">
        <v>1778</v>
      </c>
      <c r="B3716" s="21" t="s">
        <v>1146</v>
      </c>
      <c r="C3716" s="21" t="s">
        <v>1149</v>
      </c>
      <c r="D3716" s="21" t="s">
        <v>1774</v>
      </c>
      <c r="E3716" s="21" t="s">
        <v>3190</v>
      </c>
      <c r="G3716" s="21" t="s">
        <v>153</v>
      </c>
      <c r="H3716" s="21" t="s">
        <v>1165</v>
      </c>
      <c r="I3716" s="21" t="s">
        <v>3145</v>
      </c>
      <c r="L3716">
        <v>1690</v>
      </c>
      <c r="M3716" s="21" t="s">
        <v>3034</v>
      </c>
      <c r="O3716">
        <v>1988</v>
      </c>
      <c r="S3716" s="9" t="s">
        <v>3169</v>
      </c>
      <c r="T3716" t="s">
        <v>3127</v>
      </c>
      <c r="U3716" s="21" t="s">
        <v>1218</v>
      </c>
      <c r="V3716" s="9" t="s">
        <v>3132</v>
      </c>
      <c r="W3716">
        <f>12*7</f>
        <v>84</v>
      </c>
      <c r="X3716" s="9" t="s">
        <v>1294</v>
      </c>
      <c r="Y3716" t="s">
        <v>3135</v>
      </c>
      <c r="Z3716">
        <v>24</v>
      </c>
      <c r="AD3716" t="s">
        <v>1165</v>
      </c>
      <c r="AF3716" t="s">
        <v>1165</v>
      </c>
      <c r="AI3716" s="21" t="s">
        <v>1165</v>
      </c>
      <c r="AJ3716" s="21" t="s">
        <v>1148</v>
      </c>
      <c r="AK3716">
        <v>58</v>
      </c>
      <c r="AN3716" s="21">
        <v>4</v>
      </c>
      <c r="AO3716" s="21">
        <v>25</v>
      </c>
      <c r="AP3716">
        <v>28</v>
      </c>
      <c r="AQ3716" s="22" t="s">
        <v>1283</v>
      </c>
      <c r="AR3716" s="21" t="s">
        <v>3130</v>
      </c>
    </row>
    <row r="3717" spans="1:44" x14ac:dyDescent="0.2">
      <c r="A3717" s="21" t="s">
        <v>1745</v>
      </c>
      <c r="B3717" s="21" t="s">
        <v>1146</v>
      </c>
      <c r="C3717" s="21" t="s">
        <v>1149</v>
      </c>
      <c r="D3717" s="21" t="s">
        <v>1743</v>
      </c>
      <c r="E3717" s="21" t="s">
        <v>1744</v>
      </c>
      <c r="F3717" s="21" t="s">
        <v>3198</v>
      </c>
      <c r="G3717" s="21" t="s">
        <v>153</v>
      </c>
      <c r="H3717" s="21" t="s">
        <v>1165</v>
      </c>
      <c r="I3717" s="21" t="s">
        <v>3199</v>
      </c>
      <c r="M3717" t="s">
        <v>1157</v>
      </c>
      <c r="U3717" s="21" t="s">
        <v>1147</v>
      </c>
      <c r="X3717" s="9" t="s">
        <v>1334</v>
      </c>
      <c r="Z3717" s="9" t="s">
        <v>3201</v>
      </c>
      <c r="AD3717" t="s">
        <v>1165</v>
      </c>
      <c r="AF3717" t="s">
        <v>153</v>
      </c>
      <c r="AG3717" t="s">
        <v>3200</v>
      </c>
      <c r="AH3717">
        <f>48*60</f>
        <v>2880</v>
      </c>
      <c r="AI3717" s="21" t="s">
        <v>1165</v>
      </c>
      <c r="AJ3717" s="21" t="s">
        <v>1148</v>
      </c>
      <c r="AK3717">
        <v>58.265000000000001</v>
      </c>
      <c r="AL3717" t="s">
        <v>3202</v>
      </c>
      <c r="AM3717">
        <f>69.467-46.516</f>
        <v>22.951000000000001</v>
      </c>
      <c r="AN3717" s="21">
        <v>4</v>
      </c>
      <c r="AO3717" s="21">
        <v>100</v>
      </c>
      <c r="AP3717">
        <f>21</f>
        <v>21</v>
      </c>
      <c r="AQ3717" s="22" t="s">
        <v>1283</v>
      </c>
      <c r="AR3717" s="21" t="s">
        <v>1155</v>
      </c>
    </row>
    <row r="3718" spans="1:44" x14ac:dyDescent="0.2">
      <c r="A3718" s="21" t="s">
        <v>1745</v>
      </c>
      <c r="B3718" s="21" t="s">
        <v>1146</v>
      </c>
      <c r="C3718" s="21" t="s">
        <v>1149</v>
      </c>
      <c r="D3718" s="21" t="s">
        <v>1743</v>
      </c>
      <c r="E3718" s="21" t="s">
        <v>1744</v>
      </c>
      <c r="F3718" s="21" t="s">
        <v>3198</v>
      </c>
      <c r="G3718" s="21" t="s">
        <v>153</v>
      </c>
      <c r="H3718" s="21" t="s">
        <v>1165</v>
      </c>
      <c r="I3718" s="21" t="s">
        <v>3199</v>
      </c>
      <c r="M3718" t="s">
        <v>1157</v>
      </c>
      <c r="U3718" s="21" t="s">
        <v>1246</v>
      </c>
      <c r="V3718" s="9" t="s">
        <v>1217</v>
      </c>
      <c r="W3718">
        <v>21</v>
      </c>
      <c r="X3718" s="9" t="s">
        <v>1334</v>
      </c>
      <c r="Z3718" s="9" t="s">
        <v>3201</v>
      </c>
      <c r="AD3718" t="s">
        <v>1165</v>
      </c>
      <c r="AF3718" t="s">
        <v>153</v>
      </c>
      <c r="AG3718" t="s">
        <v>3200</v>
      </c>
      <c r="AH3718">
        <f>48*60</f>
        <v>2880</v>
      </c>
      <c r="AI3718" s="21" t="s">
        <v>1165</v>
      </c>
      <c r="AJ3718" s="21" t="s">
        <v>1148</v>
      </c>
      <c r="AK3718">
        <v>92.076999999999998</v>
      </c>
      <c r="AL3718" t="s">
        <v>3202</v>
      </c>
      <c r="AM3718">
        <f>99.249-85.587</f>
        <v>13.661999999999992</v>
      </c>
      <c r="AN3718" s="21">
        <v>4</v>
      </c>
      <c r="AO3718" s="21">
        <v>100</v>
      </c>
      <c r="AP3718">
        <v>21</v>
      </c>
      <c r="AQ3718" s="22" t="s">
        <v>1283</v>
      </c>
      <c r="AR3718" s="21" t="s">
        <v>1155</v>
      </c>
    </row>
    <row r="3719" spans="1:44" x14ac:dyDescent="0.2">
      <c r="A3719" s="21" t="s">
        <v>1745</v>
      </c>
      <c r="B3719" s="21" t="s">
        <v>1146</v>
      </c>
      <c r="C3719" s="21" t="s">
        <v>1149</v>
      </c>
      <c r="D3719" s="21" t="s">
        <v>1743</v>
      </c>
      <c r="E3719" s="21" t="s">
        <v>1744</v>
      </c>
      <c r="F3719" s="21" t="s">
        <v>3198</v>
      </c>
      <c r="G3719" s="21" t="s">
        <v>153</v>
      </c>
      <c r="H3719" s="21" t="s">
        <v>1165</v>
      </c>
      <c r="I3719" s="21" t="s">
        <v>3199</v>
      </c>
      <c r="M3719" t="s">
        <v>1157</v>
      </c>
      <c r="U3719" s="21" t="s">
        <v>1246</v>
      </c>
      <c r="V3719" s="9" t="s">
        <v>1217</v>
      </c>
      <c r="W3719">
        <v>35</v>
      </c>
      <c r="X3719" s="9" t="s">
        <v>1334</v>
      </c>
      <c r="Z3719" s="9" t="s">
        <v>3201</v>
      </c>
      <c r="AD3719" t="s">
        <v>1165</v>
      </c>
      <c r="AF3719" t="s">
        <v>153</v>
      </c>
      <c r="AG3719" t="s">
        <v>3200</v>
      </c>
      <c r="AH3719">
        <f>48*60</f>
        <v>2880</v>
      </c>
      <c r="AI3719" s="21" t="s">
        <v>1165</v>
      </c>
      <c r="AJ3719" s="21" t="s">
        <v>1148</v>
      </c>
      <c r="AK3719">
        <v>94.603999999999999</v>
      </c>
      <c r="AL3719" t="s">
        <v>3202</v>
      </c>
      <c r="AM3719">
        <f>97.063-92.145</f>
        <v>4.9180000000000064</v>
      </c>
      <c r="AN3719" s="21">
        <v>4</v>
      </c>
      <c r="AO3719" s="21">
        <v>100</v>
      </c>
      <c r="AP3719">
        <v>21</v>
      </c>
      <c r="AQ3719" s="22" t="s">
        <v>1283</v>
      </c>
      <c r="AR3719" s="21" t="s">
        <v>1155</v>
      </c>
    </row>
    <row r="3720" spans="1:44" x14ac:dyDescent="0.2">
      <c r="A3720" s="21" t="s">
        <v>1745</v>
      </c>
      <c r="B3720" s="21" t="s">
        <v>1146</v>
      </c>
      <c r="C3720" s="21" t="s">
        <v>1149</v>
      </c>
      <c r="D3720" s="21" t="s">
        <v>1743</v>
      </c>
      <c r="E3720" s="21" t="s">
        <v>1744</v>
      </c>
      <c r="F3720" s="21" t="s">
        <v>3198</v>
      </c>
      <c r="G3720" s="21" t="s">
        <v>153</v>
      </c>
      <c r="H3720" s="21" t="s">
        <v>1165</v>
      </c>
      <c r="I3720" s="21" t="s">
        <v>3199</v>
      </c>
      <c r="M3720" t="s">
        <v>1157</v>
      </c>
      <c r="U3720" s="21" t="s">
        <v>1246</v>
      </c>
      <c r="V3720" s="9" t="s">
        <v>1217</v>
      </c>
      <c r="W3720">
        <v>49</v>
      </c>
      <c r="X3720" s="9" t="s">
        <v>1334</v>
      </c>
      <c r="Z3720" s="9" t="s">
        <v>3201</v>
      </c>
      <c r="AD3720" t="s">
        <v>1165</v>
      </c>
      <c r="AF3720" t="s">
        <v>153</v>
      </c>
      <c r="AG3720" t="s">
        <v>3200</v>
      </c>
      <c r="AH3720">
        <f>48*60</f>
        <v>2880</v>
      </c>
      <c r="AI3720" s="21" t="s">
        <v>1165</v>
      </c>
      <c r="AJ3720" s="21" t="s">
        <v>1148</v>
      </c>
      <c r="AK3720">
        <v>97.882999999999996</v>
      </c>
      <c r="AL3720" t="s">
        <v>3202</v>
      </c>
      <c r="AM3720">
        <f>100.342-95.15</f>
        <v>5.1919999999999931</v>
      </c>
      <c r="AN3720" s="21">
        <v>4</v>
      </c>
      <c r="AO3720" s="21">
        <v>100</v>
      </c>
      <c r="AP3720">
        <v>21</v>
      </c>
      <c r="AQ3720" s="22" t="s">
        <v>1283</v>
      </c>
      <c r="AR3720" s="21" t="s">
        <v>1155</v>
      </c>
    </row>
    <row r="3721" spans="1:44" x14ac:dyDescent="0.2">
      <c r="A3721" s="21" t="s">
        <v>1745</v>
      </c>
      <c r="B3721" s="21" t="s">
        <v>1146</v>
      </c>
      <c r="C3721" s="21" t="s">
        <v>1149</v>
      </c>
      <c r="D3721" s="21" t="s">
        <v>1743</v>
      </c>
      <c r="E3721" s="21" t="s">
        <v>1744</v>
      </c>
      <c r="F3721" s="21" t="s">
        <v>3198</v>
      </c>
      <c r="G3721" s="21" t="s">
        <v>153</v>
      </c>
      <c r="H3721" s="21" t="s">
        <v>1165</v>
      </c>
      <c r="I3721" s="21" t="s">
        <v>3199</v>
      </c>
      <c r="M3721" t="s">
        <v>1157</v>
      </c>
      <c r="U3721" s="21" t="s">
        <v>1246</v>
      </c>
      <c r="V3721" s="9" t="s">
        <v>1217</v>
      </c>
      <c r="W3721">
        <f>7*9</f>
        <v>63</v>
      </c>
      <c r="X3721" s="9" t="s">
        <v>1334</v>
      </c>
      <c r="Z3721" s="9" t="s">
        <v>3201</v>
      </c>
      <c r="AD3721" t="s">
        <v>1165</v>
      </c>
      <c r="AF3721" t="s">
        <v>153</v>
      </c>
      <c r="AG3721" t="s">
        <v>3200</v>
      </c>
      <c r="AH3721">
        <f>48*60</f>
        <v>2880</v>
      </c>
      <c r="AI3721" s="21" t="s">
        <v>1165</v>
      </c>
      <c r="AJ3721" s="21" t="s">
        <v>1148</v>
      </c>
      <c r="AK3721">
        <v>93.989000000000004</v>
      </c>
      <c r="AL3721" t="s">
        <v>3202</v>
      </c>
      <c r="AM3721">
        <f>102.801-85.041</f>
        <v>17.760000000000005</v>
      </c>
      <c r="AN3721" s="21">
        <v>4</v>
      </c>
      <c r="AO3721" s="21">
        <v>100</v>
      </c>
      <c r="AP3721">
        <v>21</v>
      </c>
      <c r="AQ3721" s="22" t="s">
        <v>1283</v>
      </c>
      <c r="AR3721" s="21" t="s">
        <v>1155</v>
      </c>
    </row>
    <row r="3722" spans="1:44" x14ac:dyDescent="0.2">
      <c r="A3722" s="21" t="s">
        <v>1745</v>
      </c>
      <c r="B3722" s="21" t="s">
        <v>1146</v>
      </c>
      <c r="C3722" s="21" t="s">
        <v>1149</v>
      </c>
      <c r="D3722" s="21" t="s">
        <v>1743</v>
      </c>
      <c r="E3722" s="21" t="s">
        <v>1744</v>
      </c>
      <c r="F3722" s="21" t="s">
        <v>3198</v>
      </c>
      <c r="G3722" s="21" t="s">
        <v>153</v>
      </c>
      <c r="H3722" s="21" t="s">
        <v>1165</v>
      </c>
      <c r="I3722" s="21" t="s">
        <v>3199</v>
      </c>
      <c r="M3722" t="s">
        <v>1157</v>
      </c>
      <c r="U3722" s="21" t="s">
        <v>1246</v>
      </c>
      <c r="V3722" s="9" t="s">
        <v>1217</v>
      </c>
      <c r="W3722">
        <f>7*16</f>
        <v>112</v>
      </c>
      <c r="X3722" s="9" t="s">
        <v>1334</v>
      </c>
      <c r="Z3722" s="9" t="s">
        <v>3201</v>
      </c>
      <c r="AD3722" t="s">
        <v>1165</v>
      </c>
      <c r="AF3722" t="s">
        <v>153</v>
      </c>
      <c r="AG3722" t="s">
        <v>3200</v>
      </c>
      <c r="AH3722">
        <f>48*60</f>
        <v>2880</v>
      </c>
      <c r="AI3722" s="21" t="s">
        <v>1165</v>
      </c>
      <c r="AJ3722" s="21" t="s">
        <v>1148</v>
      </c>
      <c r="AK3722">
        <v>97.335999999999999</v>
      </c>
      <c r="AL3722" t="s">
        <v>3202</v>
      </c>
      <c r="AM3722">
        <f>101.981-92.691</f>
        <v>9.289999999999992</v>
      </c>
      <c r="AN3722" s="21">
        <v>4</v>
      </c>
      <c r="AO3722" s="21">
        <v>100</v>
      </c>
      <c r="AP3722">
        <v>21</v>
      </c>
      <c r="AQ3722" s="22" t="s">
        <v>1283</v>
      </c>
      <c r="AR3722" s="21" t="s">
        <v>1155</v>
      </c>
    </row>
    <row r="3723" spans="1:44" x14ac:dyDescent="0.2">
      <c r="A3723" s="21" t="s">
        <v>1745</v>
      </c>
      <c r="B3723" s="21" t="s">
        <v>1146</v>
      </c>
      <c r="C3723" s="21" t="s">
        <v>1149</v>
      </c>
      <c r="D3723" s="21" t="s">
        <v>1743</v>
      </c>
      <c r="E3723" s="21" t="s">
        <v>1744</v>
      </c>
      <c r="F3723" s="21" t="s">
        <v>3198</v>
      </c>
      <c r="G3723" s="21" t="s">
        <v>153</v>
      </c>
      <c r="H3723" s="21" t="s">
        <v>1165</v>
      </c>
      <c r="I3723" s="21" t="s">
        <v>3199</v>
      </c>
      <c r="M3723" t="s">
        <v>1157</v>
      </c>
      <c r="U3723" s="21" t="s">
        <v>1147</v>
      </c>
      <c r="X3723" s="9" t="s">
        <v>3203</v>
      </c>
      <c r="Y3723" t="s">
        <v>3205</v>
      </c>
      <c r="Z3723" s="9"/>
      <c r="AD3723" t="s">
        <v>1165</v>
      </c>
      <c r="AF3723" t="s">
        <v>153</v>
      </c>
      <c r="AG3723" t="s">
        <v>3200</v>
      </c>
      <c r="AH3723">
        <f>48*60</f>
        <v>2880</v>
      </c>
      <c r="AI3723" s="21" t="s">
        <v>1165</v>
      </c>
      <c r="AJ3723" s="21" t="s">
        <v>1148</v>
      </c>
      <c r="AK3723">
        <v>0.34200000000000003</v>
      </c>
      <c r="AL3723" t="s">
        <v>3202</v>
      </c>
      <c r="AM3723">
        <f>2.801-(-1.025)</f>
        <v>3.8260000000000001</v>
      </c>
      <c r="AN3723" s="21">
        <v>4</v>
      </c>
      <c r="AO3723" s="21">
        <v>100</v>
      </c>
      <c r="AP3723">
        <f>21</f>
        <v>21</v>
      </c>
      <c r="AQ3723" s="22" t="s">
        <v>1283</v>
      </c>
      <c r="AR3723" s="21" t="s">
        <v>1155</v>
      </c>
    </row>
    <row r="3724" spans="1:44" x14ac:dyDescent="0.2">
      <c r="A3724" s="21" t="s">
        <v>1745</v>
      </c>
      <c r="B3724" s="21" t="s">
        <v>1146</v>
      </c>
      <c r="C3724" s="21" t="s">
        <v>1149</v>
      </c>
      <c r="D3724" s="21" t="s">
        <v>1743</v>
      </c>
      <c r="E3724" s="21" t="s">
        <v>1744</v>
      </c>
      <c r="F3724" s="21" t="s">
        <v>3198</v>
      </c>
      <c r="G3724" s="21" t="s">
        <v>153</v>
      </c>
      <c r="H3724" s="21" t="s">
        <v>1165</v>
      </c>
      <c r="I3724" s="21" t="s">
        <v>3199</v>
      </c>
      <c r="M3724" t="s">
        <v>1157</v>
      </c>
      <c r="U3724" s="21" t="s">
        <v>1246</v>
      </c>
      <c r="V3724" s="9" t="s">
        <v>1217</v>
      </c>
      <c r="W3724">
        <v>21</v>
      </c>
      <c r="X3724" s="9" t="s">
        <v>3203</v>
      </c>
      <c r="Y3724" t="s">
        <v>3205</v>
      </c>
      <c r="Z3724" s="9"/>
      <c r="AD3724" t="s">
        <v>1165</v>
      </c>
      <c r="AF3724" t="s">
        <v>153</v>
      </c>
      <c r="AG3724" t="s">
        <v>3200</v>
      </c>
      <c r="AH3724">
        <f>48*60</f>
        <v>2880</v>
      </c>
      <c r="AI3724" s="21" t="s">
        <v>1165</v>
      </c>
      <c r="AJ3724" s="21" t="s">
        <v>1148</v>
      </c>
      <c r="AK3724">
        <v>1.161</v>
      </c>
      <c r="AL3724" t="s">
        <v>3202</v>
      </c>
      <c r="AM3724">
        <f>4.167-(-1.298)</f>
        <v>5.4649999999999999</v>
      </c>
      <c r="AN3724" s="21">
        <v>4</v>
      </c>
      <c r="AO3724" s="21">
        <v>100</v>
      </c>
      <c r="AP3724">
        <v>21</v>
      </c>
      <c r="AQ3724" s="22" t="s">
        <v>1283</v>
      </c>
      <c r="AR3724" s="21" t="s">
        <v>1155</v>
      </c>
    </row>
    <row r="3725" spans="1:44" x14ac:dyDescent="0.2">
      <c r="A3725" s="21" t="s">
        <v>1745</v>
      </c>
      <c r="B3725" s="21" t="s">
        <v>1146</v>
      </c>
      <c r="C3725" s="21" t="s">
        <v>1149</v>
      </c>
      <c r="D3725" s="21" t="s">
        <v>1743</v>
      </c>
      <c r="E3725" s="21" t="s">
        <v>1744</v>
      </c>
      <c r="F3725" s="21" t="s">
        <v>3198</v>
      </c>
      <c r="G3725" s="21" t="s">
        <v>153</v>
      </c>
      <c r="H3725" s="21" t="s">
        <v>1165</v>
      </c>
      <c r="I3725" s="21" t="s">
        <v>3199</v>
      </c>
      <c r="M3725" t="s">
        <v>1157</v>
      </c>
      <c r="U3725" s="21" t="s">
        <v>1246</v>
      </c>
      <c r="V3725" s="9" t="s">
        <v>1217</v>
      </c>
      <c r="W3725">
        <v>35</v>
      </c>
      <c r="X3725" s="9" t="s">
        <v>3203</v>
      </c>
      <c r="Y3725" t="s">
        <v>3205</v>
      </c>
      <c r="Z3725" s="9"/>
      <c r="AD3725" t="s">
        <v>1165</v>
      </c>
      <c r="AF3725" t="s">
        <v>153</v>
      </c>
      <c r="AG3725" t="s">
        <v>3200</v>
      </c>
      <c r="AH3725">
        <f>48*60</f>
        <v>2880</v>
      </c>
      <c r="AI3725" s="21" t="s">
        <v>1165</v>
      </c>
      <c r="AJ3725" s="21" t="s">
        <v>1148</v>
      </c>
      <c r="AK3725">
        <v>1.708</v>
      </c>
      <c r="AL3725" t="s">
        <v>3202</v>
      </c>
      <c r="AM3725">
        <f>3.074-0.888</f>
        <v>2.1859999999999999</v>
      </c>
      <c r="AN3725" s="21">
        <v>4</v>
      </c>
      <c r="AO3725" s="21">
        <v>100</v>
      </c>
      <c r="AP3725">
        <v>21</v>
      </c>
      <c r="AQ3725" s="22" t="s">
        <v>1283</v>
      </c>
      <c r="AR3725" s="21" t="s">
        <v>1155</v>
      </c>
    </row>
    <row r="3726" spans="1:44" x14ac:dyDescent="0.2">
      <c r="A3726" s="21" t="s">
        <v>1745</v>
      </c>
      <c r="B3726" s="21" t="s">
        <v>1146</v>
      </c>
      <c r="C3726" s="21" t="s">
        <v>1149</v>
      </c>
      <c r="D3726" s="21" t="s">
        <v>1743</v>
      </c>
      <c r="E3726" s="21" t="s">
        <v>1744</v>
      </c>
      <c r="F3726" s="21" t="s">
        <v>3198</v>
      </c>
      <c r="G3726" s="21" t="s">
        <v>153</v>
      </c>
      <c r="H3726" s="21" t="s">
        <v>1165</v>
      </c>
      <c r="I3726" s="21" t="s">
        <v>3199</v>
      </c>
      <c r="M3726" t="s">
        <v>1157</v>
      </c>
      <c r="U3726" s="21" t="s">
        <v>1246</v>
      </c>
      <c r="V3726" s="9" t="s">
        <v>1217</v>
      </c>
      <c r="W3726">
        <v>49</v>
      </c>
      <c r="X3726" s="9" t="s">
        <v>3203</v>
      </c>
      <c r="Y3726" t="s">
        <v>3205</v>
      </c>
      <c r="Z3726" s="9"/>
      <c r="AD3726" t="s">
        <v>1165</v>
      </c>
      <c r="AF3726" t="s">
        <v>153</v>
      </c>
      <c r="AG3726" t="s">
        <v>3200</v>
      </c>
      <c r="AH3726">
        <f>48*60</f>
        <v>2880</v>
      </c>
      <c r="AI3726" s="21" t="s">
        <v>1165</v>
      </c>
      <c r="AJ3726" s="21" t="s">
        <v>1148</v>
      </c>
      <c r="AK3726">
        <v>12.637</v>
      </c>
      <c r="AL3726" t="s">
        <v>3202</v>
      </c>
      <c r="AM3726">
        <f>18.374-7.445</f>
        <v>10.928999999999998</v>
      </c>
      <c r="AN3726" s="21">
        <v>4</v>
      </c>
      <c r="AO3726" s="21">
        <v>100</v>
      </c>
      <c r="AP3726">
        <v>21</v>
      </c>
      <c r="AQ3726" s="22" t="s">
        <v>1283</v>
      </c>
      <c r="AR3726" s="21" t="s">
        <v>1155</v>
      </c>
    </row>
    <row r="3727" spans="1:44" x14ac:dyDescent="0.2">
      <c r="A3727" s="21" t="s">
        <v>1745</v>
      </c>
      <c r="B3727" s="21" t="s">
        <v>1146</v>
      </c>
      <c r="C3727" s="21" t="s">
        <v>1149</v>
      </c>
      <c r="D3727" s="21" t="s">
        <v>1743</v>
      </c>
      <c r="E3727" s="21" t="s">
        <v>1744</v>
      </c>
      <c r="F3727" s="21" t="s">
        <v>3198</v>
      </c>
      <c r="G3727" s="21" t="s">
        <v>153</v>
      </c>
      <c r="H3727" s="21" t="s">
        <v>1165</v>
      </c>
      <c r="I3727" s="21" t="s">
        <v>3199</v>
      </c>
      <c r="M3727" t="s">
        <v>1157</v>
      </c>
      <c r="U3727" s="21" t="s">
        <v>1246</v>
      </c>
      <c r="V3727" s="9" t="s">
        <v>1217</v>
      </c>
      <c r="W3727">
        <f>7*9</f>
        <v>63</v>
      </c>
      <c r="X3727" s="9" t="s">
        <v>3203</v>
      </c>
      <c r="Y3727" t="s">
        <v>3205</v>
      </c>
      <c r="Z3727" s="9"/>
      <c r="AD3727" t="s">
        <v>1165</v>
      </c>
      <c r="AF3727" t="s">
        <v>153</v>
      </c>
      <c r="AG3727" t="s">
        <v>3200</v>
      </c>
      <c r="AH3727">
        <f>48*60</f>
        <v>2880</v>
      </c>
      <c r="AI3727" s="21" t="s">
        <v>1165</v>
      </c>
      <c r="AJ3727" s="21" t="s">
        <v>1148</v>
      </c>
      <c r="AK3727">
        <v>25.751000000000001</v>
      </c>
      <c r="AL3727" t="s">
        <v>3202</v>
      </c>
      <c r="AM3727">
        <f>39.686-11.817</f>
        <v>27.869</v>
      </c>
      <c r="AN3727" s="21">
        <v>4</v>
      </c>
      <c r="AO3727" s="21">
        <v>100</v>
      </c>
      <c r="AP3727">
        <v>21</v>
      </c>
      <c r="AQ3727" s="22" t="s">
        <v>1283</v>
      </c>
      <c r="AR3727" s="21" t="s">
        <v>1155</v>
      </c>
    </row>
    <row r="3728" spans="1:44" x14ac:dyDescent="0.2">
      <c r="A3728" s="21" t="s">
        <v>1745</v>
      </c>
      <c r="B3728" s="21" t="s">
        <v>1146</v>
      </c>
      <c r="C3728" s="21" t="s">
        <v>1149</v>
      </c>
      <c r="D3728" s="21" t="s">
        <v>1743</v>
      </c>
      <c r="E3728" s="21" t="s">
        <v>1744</v>
      </c>
      <c r="F3728" s="21" t="s">
        <v>3198</v>
      </c>
      <c r="G3728" s="21" t="s">
        <v>153</v>
      </c>
      <c r="H3728" s="21" t="s">
        <v>1165</v>
      </c>
      <c r="I3728" s="21" t="s">
        <v>3199</v>
      </c>
      <c r="M3728" t="s">
        <v>1157</v>
      </c>
      <c r="U3728" s="21" t="s">
        <v>1246</v>
      </c>
      <c r="V3728" s="9" t="s">
        <v>1217</v>
      </c>
      <c r="W3728">
        <f>7*16</f>
        <v>112</v>
      </c>
      <c r="X3728" s="9" t="s">
        <v>3203</v>
      </c>
      <c r="Y3728" t="s">
        <v>3205</v>
      </c>
      <c r="Z3728" s="9"/>
      <c r="AD3728" t="s">
        <v>1165</v>
      </c>
      <c r="AF3728" t="s">
        <v>153</v>
      </c>
      <c r="AG3728" t="s">
        <v>3200</v>
      </c>
      <c r="AH3728">
        <f>48*60</f>
        <v>2880</v>
      </c>
      <c r="AI3728" s="21" t="s">
        <v>1165</v>
      </c>
      <c r="AJ3728" s="21" t="s">
        <v>1148</v>
      </c>
      <c r="AK3728">
        <v>82.24</v>
      </c>
      <c r="AL3728" t="s">
        <v>3202</v>
      </c>
      <c r="AM3728">
        <f>85.041-80.396</f>
        <v>4.644999999999996</v>
      </c>
      <c r="AN3728" s="21">
        <v>4</v>
      </c>
      <c r="AO3728" s="21">
        <v>100</v>
      </c>
      <c r="AP3728">
        <v>21</v>
      </c>
      <c r="AQ3728" s="22" t="s">
        <v>1283</v>
      </c>
      <c r="AR3728" s="21" t="s">
        <v>1155</v>
      </c>
    </row>
    <row r="3729" spans="1:44" x14ac:dyDescent="0.2">
      <c r="A3729" s="21" t="s">
        <v>1745</v>
      </c>
      <c r="B3729" s="21" t="s">
        <v>1146</v>
      </c>
      <c r="C3729" s="21" t="s">
        <v>1149</v>
      </c>
      <c r="D3729" s="21" t="s">
        <v>1743</v>
      </c>
      <c r="E3729" s="21" t="s">
        <v>1744</v>
      </c>
      <c r="F3729" s="21" t="s">
        <v>3198</v>
      </c>
      <c r="G3729" s="21" t="s">
        <v>153</v>
      </c>
      <c r="H3729" s="21" t="s">
        <v>1165</v>
      </c>
      <c r="I3729" s="21" t="s">
        <v>3199</v>
      </c>
      <c r="M3729" t="s">
        <v>1157</v>
      </c>
      <c r="U3729" s="21" t="s">
        <v>1147</v>
      </c>
      <c r="X3729" s="9" t="s">
        <v>3204</v>
      </c>
      <c r="Y3729" t="s">
        <v>3206</v>
      </c>
      <c r="Z3729" s="9"/>
      <c r="AD3729" t="s">
        <v>1165</v>
      </c>
      <c r="AF3729" t="s">
        <v>153</v>
      </c>
      <c r="AG3729" t="s">
        <v>3200</v>
      </c>
      <c r="AH3729">
        <f>48*60</f>
        <v>2880</v>
      </c>
      <c r="AI3729" s="21" t="s">
        <v>1165</v>
      </c>
      <c r="AJ3729" s="21" t="s">
        <v>1148</v>
      </c>
      <c r="AK3729">
        <v>7.1719999999999997</v>
      </c>
      <c r="AL3729" t="s">
        <v>3202</v>
      </c>
      <c r="AM3729">
        <f>11.817-2.801</f>
        <v>9.016</v>
      </c>
      <c r="AN3729" s="21">
        <v>4</v>
      </c>
      <c r="AO3729" s="21">
        <v>100</v>
      </c>
      <c r="AP3729">
        <f>21</f>
        <v>21</v>
      </c>
      <c r="AQ3729" s="22" t="s">
        <v>1283</v>
      </c>
      <c r="AR3729" s="21" t="s">
        <v>1155</v>
      </c>
    </row>
    <row r="3730" spans="1:44" x14ac:dyDescent="0.2">
      <c r="A3730" s="21" t="s">
        <v>1745</v>
      </c>
      <c r="B3730" s="21" t="s">
        <v>1146</v>
      </c>
      <c r="C3730" s="21" t="s">
        <v>1149</v>
      </c>
      <c r="D3730" s="21" t="s">
        <v>1743</v>
      </c>
      <c r="E3730" s="21" t="s">
        <v>1744</v>
      </c>
      <c r="F3730" s="21" t="s">
        <v>3198</v>
      </c>
      <c r="G3730" s="21" t="s">
        <v>153</v>
      </c>
      <c r="H3730" s="21" t="s">
        <v>1165</v>
      </c>
      <c r="I3730" s="21" t="s">
        <v>3199</v>
      </c>
      <c r="M3730" t="s">
        <v>1157</v>
      </c>
      <c r="U3730" s="21" t="s">
        <v>1246</v>
      </c>
      <c r="V3730" s="9" t="s">
        <v>1217</v>
      </c>
      <c r="W3730">
        <v>21</v>
      </c>
      <c r="X3730" s="9" t="s">
        <v>3204</v>
      </c>
      <c r="Y3730" t="s">
        <v>3206</v>
      </c>
      <c r="Z3730" s="9"/>
      <c r="AD3730" t="s">
        <v>1165</v>
      </c>
      <c r="AF3730" t="s">
        <v>153</v>
      </c>
      <c r="AG3730" t="s">
        <v>3200</v>
      </c>
      <c r="AH3730">
        <f>48*60</f>
        <v>2880</v>
      </c>
      <c r="AI3730" s="21" t="s">
        <v>1165</v>
      </c>
      <c r="AJ3730" s="21" t="s">
        <v>1148</v>
      </c>
      <c r="AK3730">
        <v>53.631</v>
      </c>
      <c r="AL3730" t="s">
        <v>3202</v>
      </c>
      <c r="AM3730">
        <f>66.462-53.074</f>
        <v>13.388000000000005</v>
      </c>
      <c r="AN3730" s="21">
        <v>4</v>
      </c>
      <c r="AO3730" s="21">
        <v>100</v>
      </c>
      <c r="AP3730">
        <v>21</v>
      </c>
      <c r="AQ3730" s="22" t="s">
        <v>1283</v>
      </c>
      <c r="AR3730" s="21" t="s">
        <v>1155</v>
      </c>
    </row>
    <row r="3731" spans="1:44" x14ac:dyDescent="0.2">
      <c r="A3731" s="21" t="s">
        <v>1745</v>
      </c>
      <c r="B3731" s="21" t="s">
        <v>1146</v>
      </c>
      <c r="C3731" s="21" t="s">
        <v>1149</v>
      </c>
      <c r="D3731" s="21" t="s">
        <v>1743</v>
      </c>
      <c r="E3731" s="21" t="s">
        <v>1744</v>
      </c>
      <c r="F3731" s="21" t="s">
        <v>3198</v>
      </c>
      <c r="G3731" s="21" t="s">
        <v>153</v>
      </c>
      <c r="H3731" s="21" t="s">
        <v>1165</v>
      </c>
      <c r="I3731" s="21" t="s">
        <v>3199</v>
      </c>
      <c r="M3731" t="s">
        <v>1157</v>
      </c>
      <c r="U3731" s="21" t="s">
        <v>1246</v>
      </c>
      <c r="V3731" s="9" t="s">
        <v>1217</v>
      </c>
      <c r="W3731">
        <v>35</v>
      </c>
      <c r="X3731" s="9" t="s">
        <v>3204</v>
      </c>
      <c r="Y3731" t="s">
        <v>3206</v>
      </c>
      <c r="Z3731" s="9"/>
      <c r="AD3731" t="s">
        <v>1165</v>
      </c>
      <c r="AF3731" t="s">
        <v>153</v>
      </c>
      <c r="AG3731" t="s">
        <v>3200</v>
      </c>
      <c r="AH3731">
        <f>48*60</f>
        <v>2880</v>
      </c>
      <c r="AI3731" s="21" t="s">
        <v>1165</v>
      </c>
      <c r="AJ3731" s="21" t="s">
        <v>1148</v>
      </c>
      <c r="AK3731">
        <v>75.137</v>
      </c>
      <c r="AL3731" t="s">
        <v>3202</v>
      </c>
      <c r="AM3731">
        <f>88.593-62.637</f>
        <v>25.956000000000003</v>
      </c>
      <c r="AN3731" s="21">
        <v>4</v>
      </c>
      <c r="AO3731" s="21">
        <v>100</v>
      </c>
      <c r="AP3731">
        <v>21</v>
      </c>
      <c r="AQ3731" s="22" t="s">
        <v>1283</v>
      </c>
      <c r="AR3731" s="21" t="s">
        <v>1155</v>
      </c>
    </row>
    <row r="3732" spans="1:44" x14ac:dyDescent="0.2">
      <c r="A3732" s="21" t="s">
        <v>1745</v>
      </c>
      <c r="B3732" s="21" t="s">
        <v>1146</v>
      </c>
      <c r="C3732" s="21" t="s">
        <v>1149</v>
      </c>
      <c r="D3732" s="21" t="s">
        <v>1743</v>
      </c>
      <c r="E3732" s="21" t="s">
        <v>1744</v>
      </c>
      <c r="F3732" s="21" t="s">
        <v>3198</v>
      </c>
      <c r="G3732" s="21" t="s">
        <v>153</v>
      </c>
      <c r="H3732" s="21" t="s">
        <v>1165</v>
      </c>
      <c r="I3732" s="21" t="s">
        <v>3199</v>
      </c>
      <c r="M3732" t="s">
        <v>1157</v>
      </c>
      <c r="U3732" s="21" t="s">
        <v>1246</v>
      </c>
      <c r="V3732" s="9" t="s">
        <v>1217</v>
      </c>
      <c r="W3732">
        <v>49</v>
      </c>
      <c r="X3732" s="9" t="s">
        <v>3204</v>
      </c>
      <c r="Y3732" t="s">
        <v>3206</v>
      </c>
      <c r="Z3732" s="9"/>
      <c r="AD3732" t="s">
        <v>1165</v>
      </c>
      <c r="AF3732" t="s">
        <v>153</v>
      </c>
      <c r="AG3732" t="s">
        <v>3200</v>
      </c>
      <c r="AH3732">
        <f>48*60</f>
        <v>2880</v>
      </c>
      <c r="AI3732" s="21" t="s">
        <v>1165</v>
      </c>
      <c r="AJ3732" s="21" t="s">
        <v>1148</v>
      </c>
      <c r="AK3732">
        <v>88.866</v>
      </c>
      <c r="AL3732" t="s">
        <v>3202</v>
      </c>
      <c r="AM3732">
        <f>95.97-82.036</f>
        <v>13.933999999999997</v>
      </c>
      <c r="AN3732" s="21">
        <v>4</v>
      </c>
      <c r="AO3732" s="21">
        <v>100</v>
      </c>
      <c r="AP3732">
        <v>21</v>
      </c>
      <c r="AQ3732" s="22" t="s">
        <v>1283</v>
      </c>
      <c r="AR3732" s="21" t="s">
        <v>1155</v>
      </c>
    </row>
    <row r="3733" spans="1:44" x14ac:dyDescent="0.2">
      <c r="A3733" s="21" t="s">
        <v>1745</v>
      </c>
      <c r="B3733" s="21" t="s">
        <v>1146</v>
      </c>
      <c r="C3733" s="21" t="s">
        <v>1149</v>
      </c>
      <c r="D3733" s="21" t="s">
        <v>1743</v>
      </c>
      <c r="E3733" s="21" t="s">
        <v>1744</v>
      </c>
      <c r="F3733" s="21" t="s">
        <v>3198</v>
      </c>
      <c r="G3733" s="21" t="s">
        <v>153</v>
      </c>
      <c r="H3733" s="21" t="s">
        <v>1165</v>
      </c>
      <c r="I3733" s="21" t="s">
        <v>3199</v>
      </c>
      <c r="M3733" t="s">
        <v>1157</v>
      </c>
      <c r="U3733" s="21" t="s">
        <v>1246</v>
      </c>
      <c r="V3733" s="9" t="s">
        <v>1217</v>
      </c>
      <c r="W3733">
        <f>7*9</f>
        <v>63</v>
      </c>
      <c r="X3733" s="9" t="s">
        <v>3204</v>
      </c>
      <c r="Y3733" t="s">
        <v>3206</v>
      </c>
      <c r="Z3733" s="9"/>
      <c r="AD3733" t="s">
        <v>1165</v>
      </c>
      <c r="AF3733" t="s">
        <v>153</v>
      </c>
      <c r="AG3733" t="s">
        <v>3200</v>
      </c>
      <c r="AH3733">
        <f>48*60</f>
        <v>2880</v>
      </c>
      <c r="AI3733" s="21" t="s">
        <v>1165</v>
      </c>
      <c r="AJ3733" s="21" t="s">
        <v>1148</v>
      </c>
      <c r="AK3733">
        <v>92.144999999999996</v>
      </c>
      <c r="AL3733" t="s">
        <v>3202</v>
      </c>
      <c r="AM3733">
        <f>98.156-86.134</f>
        <v>12.022000000000006</v>
      </c>
      <c r="AN3733" s="21">
        <v>4</v>
      </c>
      <c r="AO3733" s="21">
        <v>100</v>
      </c>
      <c r="AP3733">
        <v>21</v>
      </c>
      <c r="AQ3733" s="22" t="s">
        <v>1283</v>
      </c>
      <c r="AR3733" s="21" t="s">
        <v>1155</v>
      </c>
    </row>
    <row r="3734" spans="1:44" x14ac:dyDescent="0.2">
      <c r="A3734" s="21" t="s">
        <v>1745</v>
      </c>
      <c r="B3734" s="21" t="s">
        <v>1146</v>
      </c>
      <c r="C3734" s="21" t="s">
        <v>1149</v>
      </c>
      <c r="D3734" s="21" t="s">
        <v>1743</v>
      </c>
      <c r="E3734" s="21" t="s">
        <v>1744</v>
      </c>
      <c r="F3734" s="21" t="s">
        <v>3198</v>
      </c>
      <c r="G3734" s="21" t="s">
        <v>153</v>
      </c>
      <c r="H3734" s="21" t="s">
        <v>1165</v>
      </c>
      <c r="I3734" s="21" t="s">
        <v>3199</v>
      </c>
      <c r="M3734" t="s">
        <v>1157</v>
      </c>
      <c r="U3734" s="21" t="s">
        <v>1246</v>
      </c>
      <c r="V3734" s="9" t="s">
        <v>1217</v>
      </c>
      <c r="W3734">
        <f>7*16</f>
        <v>112</v>
      </c>
      <c r="X3734" s="9" t="s">
        <v>3204</v>
      </c>
      <c r="Y3734" t="s">
        <v>3206</v>
      </c>
      <c r="Z3734" s="9"/>
      <c r="AD3734" t="s">
        <v>1165</v>
      </c>
      <c r="AF3734" t="s">
        <v>153</v>
      </c>
      <c r="AG3734" t="s">
        <v>3200</v>
      </c>
      <c r="AH3734">
        <f>48*60</f>
        <v>2880</v>
      </c>
      <c r="AI3734" s="21" t="s">
        <v>1165</v>
      </c>
      <c r="AJ3734" s="21" t="s">
        <v>1148</v>
      </c>
      <c r="AK3734">
        <v>97.882999999999996</v>
      </c>
      <c r="AL3734" t="s">
        <v>3202</v>
      </c>
      <c r="AM3734">
        <f>102.527-93.784</f>
        <v>8.742999999999995</v>
      </c>
      <c r="AN3734" s="21">
        <v>4</v>
      </c>
      <c r="AO3734" s="21">
        <v>100</v>
      </c>
      <c r="AP3734">
        <v>21</v>
      </c>
      <c r="AQ3734" s="22" t="s">
        <v>1283</v>
      </c>
      <c r="AR3734" s="21" t="s">
        <v>1155</v>
      </c>
    </row>
    <row r="3735" spans="1:44" x14ac:dyDescent="0.2">
      <c r="A3735" s="21" t="s">
        <v>1745</v>
      </c>
      <c r="B3735" s="21" t="s">
        <v>1146</v>
      </c>
      <c r="C3735" s="21" t="s">
        <v>1149</v>
      </c>
      <c r="D3735" s="21" t="s">
        <v>1743</v>
      </c>
      <c r="E3735" s="21" t="s">
        <v>1744</v>
      </c>
      <c r="F3735" s="21" t="s">
        <v>3198</v>
      </c>
      <c r="G3735" s="21" t="s">
        <v>153</v>
      </c>
      <c r="H3735" s="21" t="s">
        <v>1165</v>
      </c>
      <c r="I3735" s="21" t="s">
        <v>3199</v>
      </c>
      <c r="M3735" t="s">
        <v>1157</v>
      </c>
      <c r="U3735" s="21" t="s">
        <v>1147</v>
      </c>
      <c r="X3735" s="9" t="s">
        <v>3203</v>
      </c>
      <c r="Y3735" t="s">
        <v>3207</v>
      </c>
      <c r="Z3735" s="9"/>
      <c r="AD3735" t="s">
        <v>1165</v>
      </c>
      <c r="AF3735" t="s">
        <v>153</v>
      </c>
      <c r="AG3735" t="s">
        <v>3200</v>
      </c>
      <c r="AH3735">
        <f>48*60</f>
        <v>2880</v>
      </c>
      <c r="AI3735" s="21" t="s">
        <v>1165</v>
      </c>
      <c r="AJ3735" s="21" t="s">
        <v>1278</v>
      </c>
      <c r="AK3735">
        <v>1.1180000000000001</v>
      </c>
      <c r="AL3735" t="s">
        <v>3202</v>
      </c>
      <c r="AM3735">
        <f>3.401-(-0.699)</f>
        <v>4.0999999999999996</v>
      </c>
      <c r="AN3735" s="21">
        <v>4</v>
      </c>
      <c r="AO3735" s="21">
        <v>100</v>
      </c>
      <c r="AP3735">
        <f t="shared" ref="AP3735:AP3740" si="41">12*7</f>
        <v>84</v>
      </c>
      <c r="AQ3735" s="22" t="s">
        <v>1283</v>
      </c>
      <c r="AR3735" s="21" t="s">
        <v>1207</v>
      </c>
    </row>
    <row r="3736" spans="1:44" x14ac:dyDescent="0.2">
      <c r="A3736" s="21" t="s">
        <v>1745</v>
      </c>
      <c r="B3736" s="21" t="s">
        <v>1146</v>
      </c>
      <c r="C3736" s="21" t="s">
        <v>1149</v>
      </c>
      <c r="D3736" s="21" t="s">
        <v>1743</v>
      </c>
      <c r="E3736" s="21" t="s">
        <v>1744</v>
      </c>
      <c r="F3736" s="21" t="s">
        <v>3198</v>
      </c>
      <c r="G3736" s="21" t="s">
        <v>153</v>
      </c>
      <c r="H3736" s="21" t="s">
        <v>1165</v>
      </c>
      <c r="I3736" s="21" t="s">
        <v>3199</v>
      </c>
      <c r="M3736" t="s">
        <v>1157</v>
      </c>
      <c r="U3736" s="21" t="s">
        <v>1246</v>
      </c>
      <c r="V3736" s="9" t="s">
        <v>1217</v>
      </c>
      <c r="W3736">
        <v>21</v>
      </c>
      <c r="X3736" s="9" t="s">
        <v>3203</v>
      </c>
      <c r="Y3736" t="s">
        <v>3207</v>
      </c>
      <c r="Z3736" s="9"/>
      <c r="AD3736" t="s">
        <v>1165</v>
      </c>
      <c r="AF3736" t="s">
        <v>153</v>
      </c>
      <c r="AG3736" t="s">
        <v>3200</v>
      </c>
      <c r="AH3736">
        <f>48*60</f>
        <v>2880</v>
      </c>
      <c r="AI3736" s="21" t="s">
        <v>1165</v>
      </c>
      <c r="AJ3736" s="21" t="s">
        <v>1278</v>
      </c>
      <c r="AK3736">
        <v>17.189</v>
      </c>
      <c r="AL3736" t="s">
        <v>3202</v>
      </c>
      <c r="AM3736">
        <f>22.034-12.158</f>
        <v>9.8759999999999994</v>
      </c>
      <c r="AN3736" s="21">
        <v>4</v>
      </c>
      <c r="AO3736" s="21">
        <v>100</v>
      </c>
      <c r="AP3736">
        <f t="shared" si="41"/>
        <v>84</v>
      </c>
      <c r="AQ3736" s="22" t="s">
        <v>1283</v>
      </c>
      <c r="AR3736" s="21" t="s">
        <v>1207</v>
      </c>
    </row>
    <row r="3737" spans="1:44" x14ac:dyDescent="0.2">
      <c r="A3737" s="21" t="s">
        <v>1745</v>
      </c>
      <c r="B3737" s="21" t="s">
        <v>1146</v>
      </c>
      <c r="C3737" s="21" t="s">
        <v>1149</v>
      </c>
      <c r="D3737" s="21" t="s">
        <v>1743</v>
      </c>
      <c r="E3737" s="21" t="s">
        <v>1744</v>
      </c>
      <c r="F3737" s="21" t="s">
        <v>3198</v>
      </c>
      <c r="G3737" s="21" t="s">
        <v>153</v>
      </c>
      <c r="H3737" s="21" t="s">
        <v>1165</v>
      </c>
      <c r="I3737" s="21" t="s">
        <v>3199</v>
      </c>
      <c r="M3737" t="s">
        <v>1157</v>
      </c>
      <c r="U3737" s="21" t="s">
        <v>1246</v>
      </c>
      <c r="V3737" s="9" t="s">
        <v>1217</v>
      </c>
      <c r="W3737">
        <v>35</v>
      </c>
      <c r="X3737" s="9" t="s">
        <v>3203</v>
      </c>
      <c r="Y3737" t="s">
        <v>3207</v>
      </c>
      <c r="Z3737" s="9"/>
      <c r="AD3737" t="s">
        <v>1165</v>
      </c>
      <c r="AF3737" t="s">
        <v>153</v>
      </c>
      <c r="AG3737" t="s">
        <v>3200</v>
      </c>
      <c r="AH3737">
        <f>48*60</f>
        <v>2880</v>
      </c>
      <c r="AI3737" s="21" t="s">
        <v>1165</v>
      </c>
      <c r="AJ3737" s="21" t="s">
        <v>1278</v>
      </c>
      <c r="AK3737">
        <v>33.54</v>
      </c>
      <c r="AL3737" t="s">
        <v>3202</v>
      </c>
      <c r="AM3737">
        <f>41.04-26.693</f>
        <v>14.346999999999998</v>
      </c>
      <c r="AN3737" s="21">
        <v>4</v>
      </c>
      <c r="AO3737" s="21">
        <v>100</v>
      </c>
      <c r="AP3737">
        <f t="shared" si="41"/>
        <v>84</v>
      </c>
      <c r="AQ3737" s="22" t="s">
        <v>1283</v>
      </c>
      <c r="AR3737" s="21" t="s">
        <v>1207</v>
      </c>
    </row>
    <row r="3738" spans="1:44" x14ac:dyDescent="0.2">
      <c r="A3738" s="21" t="s">
        <v>1745</v>
      </c>
      <c r="B3738" s="21" t="s">
        <v>1146</v>
      </c>
      <c r="C3738" s="21" t="s">
        <v>1149</v>
      </c>
      <c r="D3738" s="21" t="s">
        <v>1743</v>
      </c>
      <c r="E3738" s="21" t="s">
        <v>1744</v>
      </c>
      <c r="F3738" s="21" t="s">
        <v>3198</v>
      </c>
      <c r="G3738" s="21" t="s">
        <v>153</v>
      </c>
      <c r="H3738" s="21" t="s">
        <v>1165</v>
      </c>
      <c r="I3738" s="21" t="s">
        <v>3199</v>
      </c>
      <c r="M3738" t="s">
        <v>1157</v>
      </c>
      <c r="U3738" s="21" t="s">
        <v>1246</v>
      </c>
      <c r="V3738" s="9" t="s">
        <v>1217</v>
      </c>
      <c r="W3738">
        <v>49</v>
      </c>
      <c r="X3738" s="9" t="s">
        <v>3203</v>
      </c>
      <c r="Y3738" t="s">
        <v>3207</v>
      </c>
      <c r="Z3738" s="9"/>
      <c r="AD3738" t="s">
        <v>1165</v>
      </c>
      <c r="AF3738" t="s">
        <v>153</v>
      </c>
      <c r="AG3738" t="s">
        <v>3200</v>
      </c>
      <c r="AH3738">
        <f>48*60</f>
        <v>2880</v>
      </c>
      <c r="AI3738" s="21" t="s">
        <v>1165</v>
      </c>
      <c r="AJ3738" s="21" t="s">
        <v>1278</v>
      </c>
      <c r="AK3738">
        <v>29.114999999999998</v>
      </c>
      <c r="AL3738" t="s">
        <v>3202</v>
      </c>
      <c r="AM3738">
        <f>38.804-19.425</f>
        <v>19.379000000000001</v>
      </c>
      <c r="AN3738" s="21">
        <v>4</v>
      </c>
      <c r="AO3738" s="21">
        <v>100</v>
      </c>
      <c r="AP3738">
        <f t="shared" si="41"/>
        <v>84</v>
      </c>
      <c r="AQ3738" s="22" t="s">
        <v>1283</v>
      </c>
      <c r="AR3738" s="21" t="s">
        <v>1207</v>
      </c>
    </row>
    <row r="3739" spans="1:44" x14ac:dyDescent="0.2">
      <c r="A3739" s="21" t="s">
        <v>1745</v>
      </c>
      <c r="B3739" s="21" t="s">
        <v>1146</v>
      </c>
      <c r="C3739" s="21" t="s">
        <v>1149</v>
      </c>
      <c r="D3739" s="21" t="s">
        <v>1743</v>
      </c>
      <c r="E3739" s="21" t="s">
        <v>1744</v>
      </c>
      <c r="F3739" s="21" t="s">
        <v>3198</v>
      </c>
      <c r="G3739" s="21" t="s">
        <v>153</v>
      </c>
      <c r="H3739" s="21" t="s">
        <v>1165</v>
      </c>
      <c r="I3739" s="21" t="s">
        <v>3199</v>
      </c>
      <c r="M3739" t="s">
        <v>1157</v>
      </c>
      <c r="U3739" s="21" t="s">
        <v>1246</v>
      </c>
      <c r="V3739" s="9" t="s">
        <v>1217</v>
      </c>
      <c r="W3739">
        <f>7*9</f>
        <v>63</v>
      </c>
      <c r="X3739" s="9" t="s">
        <v>3203</v>
      </c>
      <c r="Y3739" t="s">
        <v>3207</v>
      </c>
      <c r="Z3739" s="9"/>
      <c r="AD3739" t="s">
        <v>1165</v>
      </c>
      <c r="AF3739" t="s">
        <v>153</v>
      </c>
      <c r="AG3739" t="s">
        <v>3200</v>
      </c>
      <c r="AH3739">
        <f>48*60</f>
        <v>2880</v>
      </c>
      <c r="AI3739" s="21" t="s">
        <v>1165</v>
      </c>
      <c r="AJ3739" s="21" t="s">
        <v>1278</v>
      </c>
      <c r="AK3739">
        <v>52.732999999999997</v>
      </c>
      <c r="AL3739" t="s">
        <v>3202</v>
      </c>
      <c r="AM3739">
        <f>60.606-45.14</f>
        <v>15.466000000000001</v>
      </c>
      <c r="AN3739" s="21">
        <v>4</v>
      </c>
      <c r="AO3739" s="21">
        <v>100</v>
      </c>
      <c r="AP3739">
        <f t="shared" si="41"/>
        <v>84</v>
      </c>
      <c r="AQ3739" s="22" t="s">
        <v>1283</v>
      </c>
      <c r="AR3739" s="21" t="s">
        <v>1207</v>
      </c>
    </row>
    <row r="3740" spans="1:44" x14ac:dyDescent="0.2">
      <c r="A3740" s="21" t="s">
        <v>1745</v>
      </c>
      <c r="B3740" s="21" t="s">
        <v>1146</v>
      </c>
      <c r="C3740" s="21" t="s">
        <v>1149</v>
      </c>
      <c r="D3740" s="21" t="s">
        <v>1743</v>
      </c>
      <c r="E3740" s="21" t="s">
        <v>1744</v>
      </c>
      <c r="F3740" s="21" t="s">
        <v>3198</v>
      </c>
      <c r="G3740" s="21" t="s">
        <v>153</v>
      </c>
      <c r="H3740" s="21" t="s">
        <v>1165</v>
      </c>
      <c r="I3740" s="21" t="s">
        <v>3199</v>
      </c>
      <c r="M3740" t="s">
        <v>1157</v>
      </c>
      <c r="U3740" s="21" t="s">
        <v>1246</v>
      </c>
      <c r="V3740" s="9" t="s">
        <v>1217</v>
      </c>
      <c r="W3740">
        <f>7*16</f>
        <v>112</v>
      </c>
      <c r="X3740" s="9" t="s">
        <v>3203</v>
      </c>
      <c r="Y3740" t="s">
        <v>3207</v>
      </c>
      <c r="Z3740" s="9"/>
      <c r="AD3740" t="s">
        <v>1165</v>
      </c>
      <c r="AF3740" t="s">
        <v>153</v>
      </c>
      <c r="AG3740" t="s">
        <v>3200</v>
      </c>
      <c r="AH3740">
        <f>48*60</f>
        <v>2880</v>
      </c>
      <c r="AI3740" s="21" t="s">
        <v>1165</v>
      </c>
      <c r="AJ3740" s="21" t="s">
        <v>1278</v>
      </c>
      <c r="AK3740">
        <v>66.009</v>
      </c>
      <c r="AL3740" t="s">
        <v>3202</v>
      </c>
      <c r="AM3740">
        <f>76.071-55.761</f>
        <v>20.309999999999995</v>
      </c>
      <c r="AN3740" s="21">
        <v>4</v>
      </c>
      <c r="AO3740" s="21">
        <v>100</v>
      </c>
      <c r="AP3740">
        <f t="shared" si="41"/>
        <v>84</v>
      </c>
      <c r="AQ3740" s="22" t="s">
        <v>1283</v>
      </c>
      <c r="AR3740" s="21" t="s">
        <v>1207</v>
      </c>
    </row>
    <row r="3741" spans="1:44" x14ac:dyDescent="0.2">
      <c r="A3741" s="21" t="s">
        <v>1745</v>
      </c>
      <c r="B3741" s="21" t="s">
        <v>1146</v>
      </c>
      <c r="C3741" s="21" t="s">
        <v>1149</v>
      </c>
      <c r="D3741" s="21" t="s">
        <v>1743</v>
      </c>
      <c r="E3741" s="21" t="s">
        <v>1744</v>
      </c>
      <c r="F3741" s="21" t="s">
        <v>3198</v>
      </c>
      <c r="G3741" s="21" t="s">
        <v>153</v>
      </c>
      <c r="H3741" s="21" t="s">
        <v>1165</v>
      </c>
      <c r="I3741" s="21" t="s">
        <v>3199</v>
      </c>
      <c r="M3741" t="s">
        <v>1157</v>
      </c>
      <c r="U3741" s="21" t="s">
        <v>1147</v>
      </c>
      <c r="X3741" s="9" t="s">
        <v>3204</v>
      </c>
      <c r="Y3741" t="s">
        <v>3208</v>
      </c>
      <c r="Z3741" s="9"/>
      <c r="AD3741" t="s">
        <v>1165</v>
      </c>
      <c r="AF3741" t="s">
        <v>153</v>
      </c>
      <c r="AG3741" t="s">
        <v>3200</v>
      </c>
      <c r="AH3741">
        <f>48*60</f>
        <v>2880</v>
      </c>
      <c r="AI3741" s="21" t="s">
        <v>1165</v>
      </c>
      <c r="AJ3741" s="21" t="s">
        <v>1278</v>
      </c>
      <c r="AK3741">
        <v>23.524999999999999</v>
      </c>
      <c r="AL3741" t="s">
        <v>3202</v>
      </c>
      <c r="AM3741">
        <f>30.606-17.003</f>
        <v>13.603000000000002</v>
      </c>
      <c r="AN3741" s="21">
        <v>4</v>
      </c>
      <c r="AO3741" s="21">
        <v>100</v>
      </c>
      <c r="AP3741">
        <f t="shared" ref="AP3741:AP3746" si="42">12*7</f>
        <v>84</v>
      </c>
      <c r="AQ3741" s="22" t="s">
        <v>1283</v>
      </c>
      <c r="AR3741" s="21" t="s">
        <v>1207</v>
      </c>
    </row>
    <row r="3742" spans="1:44" x14ac:dyDescent="0.2">
      <c r="A3742" s="21" t="s">
        <v>1745</v>
      </c>
      <c r="B3742" s="21" t="s">
        <v>1146</v>
      </c>
      <c r="C3742" s="21" t="s">
        <v>1149</v>
      </c>
      <c r="D3742" s="21" t="s">
        <v>1743</v>
      </c>
      <c r="E3742" s="21" t="s">
        <v>1744</v>
      </c>
      <c r="F3742" s="21" t="s">
        <v>3198</v>
      </c>
      <c r="G3742" s="21" t="s">
        <v>153</v>
      </c>
      <c r="H3742" s="21" t="s">
        <v>1165</v>
      </c>
      <c r="I3742" s="21" t="s">
        <v>3199</v>
      </c>
      <c r="M3742" t="s">
        <v>1157</v>
      </c>
      <c r="U3742" s="21" t="s">
        <v>1246</v>
      </c>
      <c r="V3742" s="9" t="s">
        <v>1217</v>
      </c>
      <c r="W3742">
        <v>21</v>
      </c>
      <c r="X3742" s="9" t="s">
        <v>3204</v>
      </c>
      <c r="Y3742" t="s">
        <v>3208</v>
      </c>
      <c r="Z3742" s="9"/>
      <c r="AD3742" t="s">
        <v>1165</v>
      </c>
      <c r="AF3742" t="s">
        <v>153</v>
      </c>
      <c r="AG3742" t="s">
        <v>3200</v>
      </c>
      <c r="AH3742">
        <f>48*60</f>
        <v>2880</v>
      </c>
      <c r="AI3742" s="21" t="s">
        <v>1165</v>
      </c>
      <c r="AJ3742" s="21" t="s">
        <v>1278</v>
      </c>
      <c r="AK3742">
        <v>40.061999999999998</v>
      </c>
      <c r="AL3742" t="s">
        <v>3202</v>
      </c>
      <c r="AM3742">
        <f>57.252-22.966</f>
        <v>34.286000000000001</v>
      </c>
      <c r="AN3742" s="21">
        <v>4</v>
      </c>
      <c r="AO3742" s="21">
        <v>100</v>
      </c>
      <c r="AP3742">
        <f t="shared" si="42"/>
        <v>84</v>
      </c>
      <c r="AQ3742" s="22" t="s">
        <v>1283</v>
      </c>
      <c r="AR3742" s="21" t="s">
        <v>1207</v>
      </c>
    </row>
    <row r="3743" spans="1:44" x14ac:dyDescent="0.2">
      <c r="A3743" s="21" t="s">
        <v>1745</v>
      </c>
      <c r="B3743" s="21" t="s">
        <v>1146</v>
      </c>
      <c r="C3743" s="21" t="s">
        <v>1149</v>
      </c>
      <c r="D3743" s="21" t="s">
        <v>1743</v>
      </c>
      <c r="E3743" s="21" t="s">
        <v>1744</v>
      </c>
      <c r="F3743" s="21" t="s">
        <v>3198</v>
      </c>
      <c r="G3743" s="21" t="s">
        <v>153</v>
      </c>
      <c r="H3743" s="21" t="s">
        <v>1165</v>
      </c>
      <c r="I3743" s="21" t="s">
        <v>3199</v>
      </c>
      <c r="M3743" t="s">
        <v>1157</v>
      </c>
      <c r="U3743" s="21" t="s">
        <v>1246</v>
      </c>
      <c r="V3743" s="9" t="s">
        <v>1217</v>
      </c>
      <c r="W3743">
        <v>35</v>
      </c>
      <c r="X3743" s="9" t="s">
        <v>3204</v>
      </c>
      <c r="Y3743" t="s">
        <v>3208</v>
      </c>
      <c r="Z3743" s="9"/>
      <c r="AD3743" t="s">
        <v>1165</v>
      </c>
      <c r="AF3743" t="s">
        <v>153</v>
      </c>
      <c r="AG3743" t="s">
        <v>3200</v>
      </c>
      <c r="AH3743">
        <f>48*60</f>
        <v>2880</v>
      </c>
      <c r="AI3743" s="21" t="s">
        <v>1165</v>
      </c>
      <c r="AJ3743" s="21" t="s">
        <v>1278</v>
      </c>
      <c r="AK3743">
        <v>39.177</v>
      </c>
      <c r="AL3743" t="s">
        <v>3202</v>
      </c>
      <c r="AM3743">
        <f>42.531-36.196</f>
        <v>6.3350000000000009</v>
      </c>
      <c r="AN3743" s="21">
        <v>4</v>
      </c>
      <c r="AO3743" s="21">
        <v>100</v>
      </c>
      <c r="AP3743">
        <f t="shared" si="42"/>
        <v>84</v>
      </c>
      <c r="AQ3743" s="22" t="s">
        <v>1283</v>
      </c>
      <c r="AR3743" s="21" t="s">
        <v>1207</v>
      </c>
    </row>
    <row r="3744" spans="1:44" x14ac:dyDescent="0.2">
      <c r="A3744" s="21" t="s">
        <v>1745</v>
      </c>
      <c r="B3744" s="21" t="s">
        <v>1146</v>
      </c>
      <c r="C3744" s="21" t="s">
        <v>1149</v>
      </c>
      <c r="D3744" s="21" t="s">
        <v>1743</v>
      </c>
      <c r="E3744" s="21" t="s">
        <v>1744</v>
      </c>
      <c r="F3744" s="21" t="s">
        <v>3198</v>
      </c>
      <c r="G3744" s="21" t="s">
        <v>153</v>
      </c>
      <c r="H3744" s="21" t="s">
        <v>1165</v>
      </c>
      <c r="I3744" s="21" t="s">
        <v>3199</v>
      </c>
      <c r="M3744" t="s">
        <v>1157</v>
      </c>
      <c r="U3744" s="21" t="s">
        <v>1246</v>
      </c>
      <c r="V3744" s="9" t="s">
        <v>1217</v>
      </c>
      <c r="W3744">
        <v>49</v>
      </c>
      <c r="X3744" s="9" t="s">
        <v>3204</v>
      </c>
      <c r="Y3744" t="s">
        <v>3208</v>
      </c>
      <c r="Z3744" s="9"/>
      <c r="AD3744" t="s">
        <v>1165</v>
      </c>
      <c r="AF3744" t="s">
        <v>153</v>
      </c>
      <c r="AG3744" t="s">
        <v>3200</v>
      </c>
      <c r="AH3744">
        <f>48*60</f>
        <v>2880</v>
      </c>
      <c r="AI3744" s="21" t="s">
        <v>1165</v>
      </c>
      <c r="AJ3744" s="21" t="s">
        <v>1278</v>
      </c>
      <c r="AK3744">
        <v>51.988</v>
      </c>
      <c r="AL3744" t="s">
        <v>3202</v>
      </c>
      <c r="AM3744">
        <f>56.693-47.562</f>
        <v>9.1310000000000002</v>
      </c>
      <c r="AN3744" s="21">
        <v>4</v>
      </c>
      <c r="AO3744" s="21">
        <v>100</v>
      </c>
      <c r="AP3744">
        <f t="shared" si="42"/>
        <v>84</v>
      </c>
      <c r="AQ3744" s="22" t="s">
        <v>1283</v>
      </c>
      <c r="AR3744" s="21" t="s">
        <v>1207</v>
      </c>
    </row>
    <row r="3745" spans="1:44" x14ac:dyDescent="0.2">
      <c r="A3745" s="21" t="s">
        <v>1745</v>
      </c>
      <c r="B3745" s="21" t="s">
        <v>1146</v>
      </c>
      <c r="C3745" s="21" t="s">
        <v>1149</v>
      </c>
      <c r="D3745" s="21" t="s">
        <v>1743</v>
      </c>
      <c r="E3745" s="21" t="s">
        <v>1744</v>
      </c>
      <c r="F3745" s="21" t="s">
        <v>3198</v>
      </c>
      <c r="G3745" s="21" t="s">
        <v>153</v>
      </c>
      <c r="H3745" s="21" t="s">
        <v>1165</v>
      </c>
      <c r="I3745" s="21" t="s">
        <v>3199</v>
      </c>
      <c r="M3745" t="s">
        <v>1157</v>
      </c>
      <c r="U3745" s="21" t="s">
        <v>1246</v>
      </c>
      <c r="V3745" s="9" t="s">
        <v>1217</v>
      </c>
      <c r="W3745">
        <f>7*9</f>
        <v>63</v>
      </c>
      <c r="X3745" s="9" t="s">
        <v>3204</v>
      </c>
      <c r="Y3745" t="s">
        <v>3208</v>
      </c>
      <c r="Z3745" s="9"/>
      <c r="AD3745" t="s">
        <v>1165</v>
      </c>
      <c r="AF3745" t="s">
        <v>153</v>
      </c>
      <c r="AG3745" t="s">
        <v>3200</v>
      </c>
      <c r="AH3745">
        <f>48*60</f>
        <v>2880</v>
      </c>
      <c r="AI3745" s="21" t="s">
        <v>1165</v>
      </c>
      <c r="AJ3745" s="21" t="s">
        <v>1278</v>
      </c>
      <c r="AK3745">
        <v>66.941000000000003</v>
      </c>
      <c r="AL3745" t="s">
        <v>3202</v>
      </c>
      <c r="AM3745">
        <f>79.612-54.643</f>
        <v>24.968999999999994</v>
      </c>
      <c r="AN3745" s="21">
        <v>4</v>
      </c>
      <c r="AO3745" s="21">
        <v>100</v>
      </c>
      <c r="AP3745">
        <f t="shared" si="42"/>
        <v>84</v>
      </c>
      <c r="AQ3745" s="22" t="s">
        <v>1283</v>
      </c>
      <c r="AR3745" s="21" t="s">
        <v>1207</v>
      </c>
    </row>
    <row r="3746" spans="1:44" x14ac:dyDescent="0.2">
      <c r="A3746" s="21" t="s">
        <v>1745</v>
      </c>
      <c r="B3746" s="21" t="s">
        <v>1146</v>
      </c>
      <c r="C3746" s="21" t="s">
        <v>1149</v>
      </c>
      <c r="D3746" s="21" t="s">
        <v>1743</v>
      </c>
      <c r="E3746" s="21" t="s">
        <v>1744</v>
      </c>
      <c r="F3746" s="21" t="s">
        <v>3198</v>
      </c>
      <c r="G3746" s="21" t="s">
        <v>153</v>
      </c>
      <c r="H3746" s="21" t="s">
        <v>1165</v>
      </c>
      <c r="I3746" s="21" t="s">
        <v>3199</v>
      </c>
      <c r="M3746" t="s">
        <v>1157</v>
      </c>
      <c r="U3746" s="21" t="s">
        <v>1246</v>
      </c>
      <c r="V3746" s="9" t="s">
        <v>1217</v>
      </c>
      <c r="W3746">
        <f>7*16</f>
        <v>112</v>
      </c>
      <c r="X3746" s="9" t="s">
        <v>3204</v>
      </c>
      <c r="Y3746" t="s">
        <v>3208</v>
      </c>
      <c r="Z3746" s="9"/>
      <c r="AD3746" t="s">
        <v>1165</v>
      </c>
      <c r="AF3746" t="s">
        <v>153</v>
      </c>
      <c r="AG3746" t="s">
        <v>3200</v>
      </c>
      <c r="AH3746">
        <f>48*60</f>
        <v>2880</v>
      </c>
      <c r="AI3746" s="21" t="s">
        <v>1165</v>
      </c>
      <c r="AJ3746" s="21" t="s">
        <v>1278</v>
      </c>
      <c r="AK3746">
        <v>84.224000000000004</v>
      </c>
      <c r="AL3746" t="s">
        <v>3202</v>
      </c>
      <c r="AM3746">
        <f>88.37-80.171</f>
        <v>8.1989999999999981</v>
      </c>
      <c r="AN3746" s="21">
        <v>4</v>
      </c>
      <c r="AO3746" s="21">
        <v>100</v>
      </c>
      <c r="AP3746">
        <f t="shared" si="42"/>
        <v>84</v>
      </c>
      <c r="AQ3746" s="22" t="s">
        <v>1283</v>
      </c>
      <c r="AR3746" s="21" t="s">
        <v>1207</v>
      </c>
    </row>
    <row r="3747" spans="1:44" x14ac:dyDescent="0.2">
      <c r="A3747" s="21" t="s">
        <v>1745</v>
      </c>
      <c r="B3747" s="21" t="s">
        <v>1146</v>
      </c>
      <c r="C3747" s="21" t="s">
        <v>1149</v>
      </c>
      <c r="D3747" s="21" t="s">
        <v>1743</v>
      </c>
      <c r="E3747" s="21" t="s">
        <v>1744</v>
      </c>
      <c r="F3747" s="21" t="s">
        <v>3198</v>
      </c>
      <c r="G3747" s="21" t="s">
        <v>153</v>
      </c>
      <c r="H3747" s="21" t="s">
        <v>1165</v>
      </c>
      <c r="I3747" s="21" t="s">
        <v>3199</v>
      </c>
      <c r="M3747" t="s">
        <v>1157</v>
      </c>
      <c r="U3747" s="21" t="s">
        <v>1246</v>
      </c>
      <c r="V3747" s="9" t="s">
        <v>1217</v>
      </c>
      <c r="W3747">
        <v>21</v>
      </c>
      <c r="X3747" s="9" t="s">
        <v>3203</v>
      </c>
      <c r="Y3747" t="s">
        <v>3207</v>
      </c>
      <c r="Z3747" s="9"/>
      <c r="AD3747" t="s">
        <v>1165</v>
      </c>
      <c r="AF3747" t="s">
        <v>153</v>
      </c>
      <c r="AG3747" t="s">
        <v>3200</v>
      </c>
      <c r="AH3747">
        <f>48*60</f>
        <v>2880</v>
      </c>
      <c r="AI3747" s="21" t="s">
        <v>1165</v>
      </c>
      <c r="AJ3747" s="21" t="s">
        <v>1278</v>
      </c>
      <c r="AK3747">
        <v>0</v>
      </c>
      <c r="AN3747" s="21">
        <v>4</v>
      </c>
      <c r="AO3747" s="21">
        <v>100</v>
      </c>
      <c r="AP3747" s="21">
        <v>0</v>
      </c>
      <c r="AQ3747" s="22" t="s">
        <v>1283</v>
      </c>
      <c r="AR3747" s="21" t="s">
        <v>1279</v>
      </c>
    </row>
    <row r="3748" spans="1:44" x14ac:dyDescent="0.2">
      <c r="A3748" s="21" t="s">
        <v>1745</v>
      </c>
      <c r="B3748" s="21" t="s">
        <v>1146</v>
      </c>
      <c r="C3748" s="21" t="s">
        <v>1149</v>
      </c>
      <c r="D3748" s="21" t="s">
        <v>1743</v>
      </c>
      <c r="E3748" s="21" t="s">
        <v>1744</v>
      </c>
      <c r="F3748" s="21" t="s">
        <v>3198</v>
      </c>
      <c r="G3748" s="21" t="s">
        <v>153</v>
      </c>
      <c r="H3748" s="21" t="s">
        <v>1165</v>
      </c>
      <c r="I3748" s="21" t="s">
        <v>3199</v>
      </c>
      <c r="M3748" t="s">
        <v>1157</v>
      </c>
      <c r="U3748" s="21" t="s">
        <v>1246</v>
      </c>
      <c r="V3748" s="9" t="s">
        <v>1217</v>
      </c>
      <c r="W3748">
        <v>21</v>
      </c>
      <c r="X3748" s="9" t="s">
        <v>3203</v>
      </c>
      <c r="Y3748" t="s">
        <v>3207</v>
      </c>
      <c r="Z3748" s="9"/>
      <c r="AD3748" t="s">
        <v>1165</v>
      </c>
      <c r="AF3748" t="s">
        <v>153</v>
      </c>
      <c r="AG3748" t="s">
        <v>3200</v>
      </c>
      <c r="AH3748">
        <f t="shared" ref="AH3748:AH3756" si="43">48*60</f>
        <v>2880</v>
      </c>
      <c r="AI3748" s="21" t="s">
        <v>1165</v>
      </c>
      <c r="AJ3748" s="21" t="s">
        <v>1278</v>
      </c>
      <c r="AK3748">
        <v>0</v>
      </c>
      <c r="AN3748" s="21">
        <v>4</v>
      </c>
      <c r="AO3748" s="21">
        <v>100</v>
      </c>
      <c r="AP3748" s="21">
        <v>10</v>
      </c>
      <c r="AQ3748" s="22" t="s">
        <v>1283</v>
      </c>
      <c r="AR3748" s="21" t="s">
        <v>1279</v>
      </c>
    </row>
    <row r="3749" spans="1:44" x14ac:dyDescent="0.2">
      <c r="A3749" s="21" t="s">
        <v>1745</v>
      </c>
      <c r="B3749" s="21" t="s">
        <v>1146</v>
      </c>
      <c r="C3749" s="21" t="s">
        <v>1149</v>
      </c>
      <c r="D3749" s="21" t="s">
        <v>1743</v>
      </c>
      <c r="E3749" s="21" t="s">
        <v>1744</v>
      </c>
      <c r="F3749" s="21" t="s">
        <v>3198</v>
      </c>
      <c r="G3749" s="21" t="s">
        <v>153</v>
      </c>
      <c r="H3749" s="21" t="s">
        <v>1165</v>
      </c>
      <c r="I3749" s="21" t="s">
        <v>3199</v>
      </c>
      <c r="M3749" t="s">
        <v>1157</v>
      </c>
      <c r="U3749" s="21" t="s">
        <v>1246</v>
      </c>
      <c r="V3749" s="9" t="s">
        <v>1217</v>
      </c>
      <c r="W3749">
        <v>21</v>
      </c>
      <c r="X3749" s="9" t="s">
        <v>3203</v>
      </c>
      <c r="Y3749" t="s">
        <v>3207</v>
      </c>
      <c r="Z3749" s="9"/>
      <c r="AD3749" t="s">
        <v>1165</v>
      </c>
      <c r="AF3749" t="s">
        <v>153</v>
      </c>
      <c r="AG3749" t="s">
        <v>3200</v>
      </c>
      <c r="AH3749">
        <f t="shared" si="43"/>
        <v>2880</v>
      </c>
      <c r="AI3749" s="21" t="s">
        <v>1165</v>
      </c>
      <c r="AJ3749" s="21" t="s">
        <v>1278</v>
      </c>
      <c r="AK3749">
        <v>0</v>
      </c>
      <c r="AN3749" s="21">
        <v>4</v>
      </c>
      <c r="AO3749" s="21">
        <v>100</v>
      </c>
      <c r="AP3749" s="21">
        <v>20</v>
      </c>
      <c r="AQ3749" s="22" t="s">
        <v>1283</v>
      </c>
      <c r="AR3749" s="21" t="s">
        <v>1279</v>
      </c>
    </row>
    <row r="3750" spans="1:44" x14ac:dyDescent="0.2">
      <c r="A3750" s="21" t="s">
        <v>1745</v>
      </c>
      <c r="B3750" s="21" t="s">
        <v>1146</v>
      </c>
      <c r="C3750" s="21" t="s">
        <v>1149</v>
      </c>
      <c r="D3750" s="21" t="s">
        <v>1743</v>
      </c>
      <c r="E3750" s="21" t="s">
        <v>1744</v>
      </c>
      <c r="F3750" s="21" t="s">
        <v>3198</v>
      </c>
      <c r="G3750" s="21" t="s">
        <v>153</v>
      </c>
      <c r="H3750" s="21" t="s">
        <v>1165</v>
      </c>
      <c r="I3750" s="21" t="s">
        <v>3199</v>
      </c>
      <c r="M3750" t="s">
        <v>1157</v>
      </c>
      <c r="U3750" s="21" t="s">
        <v>1246</v>
      </c>
      <c r="V3750" s="9" t="s">
        <v>1217</v>
      </c>
      <c r="W3750">
        <v>21</v>
      </c>
      <c r="X3750" s="9" t="s">
        <v>3203</v>
      </c>
      <c r="Y3750" t="s">
        <v>3207</v>
      </c>
      <c r="Z3750" s="9"/>
      <c r="AD3750" t="s">
        <v>1165</v>
      </c>
      <c r="AF3750" t="s">
        <v>153</v>
      </c>
      <c r="AG3750" t="s">
        <v>3200</v>
      </c>
      <c r="AH3750">
        <f t="shared" si="43"/>
        <v>2880</v>
      </c>
      <c r="AI3750" s="21" t="s">
        <v>1165</v>
      </c>
      <c r="AJ3750" s="21" t="s">
        <v>1278</v>
      </c>
      <c r="AK3750">
        <v>0</v>
      </c>
      <c r="AN3750" s="21">
        <v>4</v>
      </c>
      <c r="AO3750" s="21">
        <v>100</v>
      </c>
      <c r="AP3750" s="21">
        <v>30</v>
      </c>
      <c r="AQ3750" s="22" t="s">
        <v>1283</v>
      </c>
      <c r="AR3750" s="21" t="s">
        <v>1279</v>
      </c>
    </row>
    <row r="3751" spans="1:44" x14ac:dyDescent="0.2">
      <c r="A3751" s="21" t="s">
        <v>1745</v>
      </c>
      <c r="B3751" s="21" t="s">
        <v>1146</v>
      </c>
      <c r="C3751" s="21" t="s">
        <v>1149</v>
      </c>
      <c r="D3751" s="21" t="s">
        <v>1743</v>
      </c>
      <c r="E3751" s="21" t="s">
        <v>1744</v>
      </c>
      <c r="F3751" s="21" t="s">
        <v>3198</v>
      </c>
      <c r="G3751" s="21" t="s">
        <v>153</v>
      </c>
      <c r="H3751" s="21" t="s">
        <v>1165</v>
      </c>
      <c r="I3751" s="21" t="s">
        <v>3199</v>
      </c>
      <c r="M3751" t="s">
        <v>1157</v>
      </c>
      <c r="U3751" s="21" t="s">
        <v>1246</v>
      </c>
      <c r="V3751" s="9" t="s">
        <v>1217</v>
      </c>
      <c r="W3751">
        <v>21</v>
      </c>
      <c r="X3751" s="9" t="s">
        <v>3203</v>
      </c>
      <c r="Y3751" t="s">
        <v>3207</v>
      </c>
      <c r="Z3751" s="9"/>
      <c r="AD3751" t="s">
        <v>1165</v>
      </c>
      <c r="AF3751" t="s">
        <v>153</v>
      </c>
      <c r="AG3751" t="s">
        <v>3200</v>
      </c>
      <c r="AH3751">
        <f t="shared" si="43"/>
        <v>2880</v>
      </c>
      <c r="AI3751" s="21" t="s">
        <v>1165</v>
      </c>
      <c r="AJ3751" s="21" t="s">
        <v>1278</v>
      </c>
      <c r="AK3751">
        <v>0</v>
      </c>
      <c r="AN3751" s="21">
        <v>4</v>
      </c>
      <c r="AO3751" s="21">
        <v>100</v>
      </c>
      <c r="AP3751" s="21">
        <v>40</v>
      </c>
      <c r="AQ3751" s="22" t="s">
        <v>1283</v>
      </c>
      <c r="AR3751" s="21" t="s">
        <v>1279</v>
      </c>
    </row>
    <row r="3752" spans="1:44" x14ac:dyDescent="0.2">
      <c r="A3752" s="21" t="s">
        <v>1745</v>
      </c>
      <c r="B3752" s="21" t="s">
        <v>1146</v>
      </c>
      <c r="C3752" s="21" t="s">
        <v>1149</v>
      </c>
      <c r="D3752" s="21" t="s">
        <v>1743</v>
      </c>
      <c r="E3752" s="21" t="s">
        <v>1744</v>
      </c>
      <c r="F3752" s="21" t="s">
        <v>3198</v>
      </c>
      <c r="G3752" s="21" t="s">
        <v>153</v>
      </c>
      <c r="H3752" s="21" t="s">
        <v>1165</v>
      </c>
      <c r="I3752" s="21" t="s">
        <v>3199</v>
      </c>
      <c r="M3752" t="s">
        <v>1157</v>
      </c>
      <c r="U3752" s="21" t="s">
        <v>1246</v>
      </c>
      <c r="V3752" s="9" t="s">
        <v>1217</v>
      </c>
      <c r="W3752">
        <v>21</v>
      </c>
      <c r="X3752" s="9" t="s">
        <v>3203</v>
      </c>
      <c r="Y3752" t="s">
        <v>3207</v>
      </c>
      <c r="Z3752" s="9"/>
      <c r="AD3752" t="s">
        <v>1165</v>
      </c>
      <c r="AF3752" t="s">
        <v>153</v>
      </c>
      <c r="AG3752" t="s">
        <v>3200</v>
      </c>
      <c r="AH3752">
        <f t="shared" si="43"/>
        <v>2880</v>
      </c>
      <c r="AI3752" s="21" t="s">
        <v>1165</v>
      </c>
      <c r="AJ3752" s="21" t="s">
        <v>1278</v>
      </c>
      <c r="AK3752">
        <v>0</v>
      </c>
      <c r="AN3752" s="21">
        <v>4</v>
      </c>
      <c r="AO3752" s="21">
        <v>100</v>
      </c>
      <c r="AP3752" s="21">
        <v>50</v>
      </c>
      <c r="AQ3752" s="22" t="s">
        <v>1283</v>
      </c>
      <c r="AR3752" s="21" t="s">
        <v>1279</v>
      </c>
    </row>
    <row r="3753" spans="1:44" x14ac:dyDescent="0.2">
      <c r="A3753" s="21" t="s">
        <v>1745</v>
      </c>
      <c r="B3753" s="21" t="s">
        <v>1146</v>
      </c>
      <c r="C3753" s="21" t="s">
        <v>1149</v>
      </c>
      <c r="D3753" s="21" t="s">
        <v>1743</v>
      </c>
      <c r="E3753" s="21" t="s">
        <v>1744</v>
      </c>
      <c r="F3753" s="21" t="s">
        <v>3198</v>
      </c>
      <c r="G3753" s="21" t="s">
        <v>153</v>
      </c>
      <c r="H3753" s="21" t="s">
        <v>1165</v>
      </c>
      <c r="I3753" s="21" t="s">
        <v>3199</v>
      </c>
      <c r="M3753" t="s">
        <v>1157</v>
      </c>
      <c r="U3753" s="21" t="s">
        <v>1246</v>
      </c>
      <c r="V3753" s="9" t="s">
        <v>1217</v>
      </c>
      <c r="W3753">
        <v>21</v>
      </c>
      <c r="X3753" s="9" t="s">
        <v>3203</v>
      </c>
      <c r="Y3753" t="s">
        <v>3207</v>
      </c>
      <c r="Z3753" s="9"/>
      <c r="AD3753" t="s">
        <v>1165</v>
      </c>
      <c r="AF3753" t="s">
        <v>153</v>
      </c>
      <c r="AG3753" t="s">
        <v>3200</v>
      </c>
      <c r="AH3753">
        <f t="shared" si="43"/>
        <v>2880</v>
      </c>
      <c r="AI3753" s="21" t="s">
        <v>1165</v>
      </c>
      <c r="AJ3753" s="21" t="s">
        <v>1278</v>
      </c>
      <c r="AK3753">
        <v>0</v>
      </c>
      <c r="AN3753" s="21">
        <v>4</v>
      </c>
      <c r="AO3753" s="21">
        <v>100</v>
      </c>
      <c r="AP3753" s="21">
        <v>60</v>
      </c>
      <c r="AQ3753" s="22" t="s">
        <v>1283</v>
      </c>
      <c r="AR3753" s="21" t="s">
        <v>1279</v>
      </c>
    </row>
    <row r="3754" spans="1:44" x14ac:dyDescent="0.2">
      <c r="A3754" s="21" t="s">
        <v>1745</v>
      </c>
      <c r="B3754" s="21" t="s">
        <v>1146</v>
      </c>
      <c r="C3754" s="21" t="s">
        <v>1149</v>
      </c>
      <c r="D3754" s="21" t="s">
        <v>1743</v>
      </c>
      <c r="E3754" s="21" t="s">
        <v>1744</v>
      </c>
      <c r="F3754" s="21" t="s">
        <v>3198</v>
      </c>
      <c r="G3754" s="21" t="s">
        <v>153</v>
      </c>
      <c r="H3754" s="21" t="s">
        <v>1165</v>
      </c>
      <c r="I3754" s="21" t="s">
        <v>3199</v>
      </c>
      <c r="M3754" t="s">
        <v>1157</v>
      </c>
      <c r="U3754" s="21" t="s">
        <v>1246</v>
      </c>
      <c r="V3754" s="9" t="s">
        <v>1217</v>
      </c>
      <c r="W3754">
        <v>21</v>
      </c>
      <c r="X3754" s="9" t="s">
        <v>3203</v>
      </c>
      <c r="Y3754" t="s">
        <v>3207</v>
      </c>
      <c r="Z3754" s="9"/>
      <c r="AD3754" t="s">
        <v>1165</v>
      </c>
      <c r="AF3754" t="s">
        <v>153</v>
      </c>
      <c r="AG3754" t="s">
        <v>3200</v>
      </c>
      <c r="AH3754">
        <f t="shared" si="43"/>
        <v>2880</v>
      </c>
      <c r="AI3754" s="21" t="s">
        <v>1165</v>
      </c>
      <c r="AJ3754" s="21" t="s">
        <v>1278</v>
      </c>
      <c r="AK3754">
        <v>0</v>
      </c>
      <c r="AN3754" s="21">
        <v>4</v>
      </c>
      <c r="AO3754" s="21">
        <v>100</v>
      </c>
      <c r="AP3754" s="21">
        <v>70</v>
      </c>
      <c r="AQ3754" s="22" t="s">
        <v>1283</v>
      </c>
      <c r="AR3754" s="21" t="s">
        <v>1279</v>
      </c>
    </row>
    <row r="3755" spans="1:44" x14ac:dyDescent="0.2">
      <c r="A3755" s="21" t="s">
        <v>1745</v>
      </c>
      <c r="B3755" s="21" t="s">
        <v>1146</v>
      </c>
      <c r="C3755" s="21" t="s">
        <v>1149</v>
      </c>
      <c r="D3755" s="21" t="s">
        <v>1743</v>
      </c>
      <c r="E3755" s="21" t="s">
        <v>1744</v>
      </c>
      <c r="F3755" s="21" t="s">
        <v>3198</v>
      </c>
      <c r="G3755" s="21" t="s">
        <v>153</v>
      </c>
      <c r="H3755" s="21" t="s">
        <v>1165</v>
      </c>
      <c r="I3755" s="21" t="s">
        <v>3199</v>
      </c>
      <c r="M3755" t="s">
        <v>1157</v>
      </c>
      <c r="U3755" s="21" t="s">
        <v>1246</v>
      </c>
      <c r="V3755" s="9" t="s">
        <v>1217</v>
      </c>
      <c r="W3755">
        <v>21</v>
      </c>
      <c r="X3755" s="9" t="s">
        <v>3203</v>
      </c>
      <c r="Y3755" t="s">
        <v>3207</v>
      </c>
      <c r="Z3755" s="9"/>
      <c r="AD3755" t="s">
        <v>1165</v>
      </c>
      <c r="AF3755" t="s">
        <v>153</v>
      </c>
      <c r="AG3755" t="s">
        <v>3200</v>
      </c>
      <c r="AH3755">
        <f t="shared" si="43"/>
        <v>2880</v>
      </c>
      <c r="AI3755" s="21" t="s">
        <v>1165</v>
      </c>
      <c r="AJ3755" s="21" t="s">
        <v>1278</v>
      </c>
      <c r="AK3755">
        <v>1.0760000000000001</v>
      </c>
      <c r="AN3755" s="21">
        <v>4</v>
      </c>
      <c r="AO3755" s="21">
        <v>100</v>
      </c>
      <c r="AP3755" s="21">
        <v>80</v>
      </c>
      <c r="AQ3755" s="22" t="s">
        <v>1283</v>
      </c>
      <c r="AR3755" s="21" t="s">
        <v>1279</v>
      </c>
    </row>
    <row r="3756" spans="1:44" x14ac:dyDescent="0.2">
      <c r="A3756" s="21" t="s">
        <v>1745</v>
      </c>
      <c r="B3756" s="21" t="s">
        <v>1146</v>
      </c>
      <c r="C3756" s="21" t="s">
        <v>1149</v>
      </c>
      <c r="D3756" s="21" t="s">
        <v>1743</v>
      </c>
      <c r="E3756" s="21" t="s">
        <v>1744</v>
      </c>
      <c r="F3756" s="21" t="s">
        <v>3198</v>
      </c>
      <c r="G3756" s="21" t="s">
        <v>153</v>
      </c>
      <c r="H3756" s="21" t="s">
        <v>1165</v>
      </c>
      <c r="I3756" s="21" t="s">
        <v>3199</v>
      </c>
      <c r="M3756" t="s">
        <v>1157</v>
      </c>
      <c r="U3756" s="21" t="s">
        <v>1246</v>
      </c>
      <c r="V3756" s="9" t="s">
        <v>1217</v>
      </c>
      <c r="W3756">
        <v>21</v>
      </c>
      <c r="X3756" s="9" t="s">
        <v>3203</v>
      </c>
      <c r="Y3756" t="s">
        <v>3207</v>
      </c>
      <c r="Z3756" s="9"/>
      <c r="AD3756" t="s">
        <v>1165</v>
      </c>
      <c r="AF3756" t="s">
        <v>153</v>
      </c>
      <c r="AG3756" t="s">
        <v>3200</v>
      </c>
      <c r="AH3756">
        <f t="shared" si="43"/>
        <v>2880</v>
      </c>
      <c r="AI3756" s="21" t="s">
        <v>1165</v>
      </c>
      <c r="AJ3756" s="21" t="s">
        <v>1278</v>
      </c>
      <c r="AK3756">
        <v>1.9590000000000001</v>
      </c>
      <c r="AN3756" s="21">
        <v>4</v>
      </c>
      <c r="AO3756" s="21">
        <v>100</v>
      </c>
      <c r="AP3756" s="21">
        <v>84</v>
      </c>
      <c r="AQ3756" s="22" t="s">
        <v>1283</v>
      </c>
      <c r="AR3756" s="21" t="s">
        <v>1279</v>
      </c>
    </row>
    <row r="3757" spans="1:44" x14ac:dyDescent="0.2">
      <c r="A3757" s="21" t="s">
        <v>1745</v>
      </c>
      <c r="B3757" s="21" t="s">
        <v>1146</v>
      </c>
      <c r="C3757" s="21" t="s">
        <v>1149</v>
      </c>
      <c r="D3757" s="21" t="s">
        <v>1743</v>
      </c>
      <c r="E3757" s="21" t="s">
        <v>1744</v>
      </c>
      <c r="F3757" s="21" t="s">
        <v>3198</v>
      </c>
      <c r="G3757" s="21" t="s">
        <v>153</v>
      </c>
      <c r="H3757" s="21" t="s">
        <v>1165</v>
      </c>
      <c r="I3757" s="21" t="s">
        <v>3199</v>
      </c>
      <c r="M3757" t="s">
        <v>1157</v>
      </c>
      <c r="U3757" s="21" t="s">
        <v>1246</v>
      </c>
      <c r="V3757" s="9" t="s">
        <v>1217</v>
      </c>
      <c r="W3757">
        <v>35</v>
      </c>
      <c r="X3757" s="9" t="s">
        <v>3203</v>
      </c>
      <c r="Y3757" t="s">
        <v>3207</v>
      </c>
      <c r="Z3757" s="9"/>
      <c r="AD3757" t="s">
        <v>1165</v>
      </c>
      <c r="AF3757" t="s">
        <v>153</v>
      </c>
      <c r="AG3757" t="s">
        <v>3200</v>
      </c>
      <c r="AH3757">
        <f>48*60</f>
        <v>2880</v>
      </c>
      <c r="AI3757" s="21" t="s">
        <v>1165</v>
      </c>
      <c r="AJ3757" s="21" t="s">
        <v>1278</v>
      </c>
      <c r="AK3757">
        <v>0</v>
      </c>
      <c r="AN3757" s="21">
        <v>4</v>
      </c>
      <c r="AO3757" s="21">
        <v>100</v>
      </c>
      <c r="AP3757" s="21">
        <v>0</v>
      </c>
      <c r="AQ3757" s="22" t="s">
        <v>1283</v>
      </c>
      <c r="AR3757" s="21" t="s">
        <v>1279</v>
      </c>
    </row>
    <row r="3758" spans="1:44" x14ac:dyDescent="0.2">
      <c r="A3758" s="21" t="s">
        <v>1745</v>
      </c>
      <c r="B3758" s="21" t="s">
        <v>1146</v>
      </c>
      <c r="C3758" s="21" t="s">
        <v>1149</v>
      </c>
      <c r="D3758" s="21" t="s">
        <v>1743</v>
      </c>
      <c r="E3758" s="21" t="s">
        <v>1744</v>
      </c>
      <c r="F3758" s="21" t="s">
        <v>3198</v>
      </c>
      <c r="G3758" s="21" t="s">
        <v>153</v>
      </c>
      <c r="H3758" s="21" t="s">
        <v>1165</v>
      </c>
      <c r="I3758" s="21" t="s">
        <v>3199</v>
      </c>
      <c r="M3758" t="s">
        <v>1157</v>
      </c>
      <c r="U3758" s="21" t="s">
        <v>1246</v>
      </c>
      <c r="V3758" s="9" t="s">
        <v>1217</v>
      </c>
      <c r="W3758">
        <v>35</v>
      </c>
      <c r="X3758" s="9" t="s">
        <v>3203</v>
      </c>
      <c r="Y3758" t="s">
        <v>3207</v>
      </c>
      <c r="Z3758" s="9"/>
      <c r="AD3758" t="s">
        <v>1165</v>
      </c>
      <c r="AF3758" t="s">
        <v>153</v>
      </c>
      <c r="AG3758" t="s">
        <v>3200</v>
      </c>
      <c r="AH3758">
        <f t="shared" ref="AH3758:AH3766" si="44">48*60</f>
        <v>2880</v>
      </c>
      <c r="AI3758" s="21" t="s">
        <v>1165</v>
      </c>
      <c r="AJ3758" s="21" t="s">
        <v>1278</v>
      </c>
      <c r="AK3758">
        <v>0</v>
      </c>
      <c r="AN3758" s="21">
        <v>4</v>
      </c>
      <c r="AO3758" s="21">
        <v>100</v>
      </c>
      <c r="AP3758" s="21">
        <v>10</v>
      </c>
      <c r="AQ3758" s="22" t="s">
        <v>1283</v>
      </c>
      <c r="AR3758" s="21" t="s">
        <v>1279</v>
      </c>
    </row>
    <row r="3759" spans="1:44" x14ac:dyDescent="0.2">
      <c r="A3759" s="21" t="s">
        <v>1745</v>
      </c>
      <c r="B3759" s="21" t="s">
        <v>1146</v>
      </c>
      <c r="C3759" s="21" t="s">
        <v>1149</v>
      </c>
      <c r="D3759" s="21" t="s">
        <v>1743</v>
      </c>
      <c r="E3759" s="21" t="s">
        <v>1744</v>
      </c>
      <c r="F3759" s="21" t="s">
        <v>3198</v>
      </c>
      <c r="G3759" s="21" t="s">
        <v>153</v>
      </c>
      <c r="H3759" s="21" t="s">
        <v>1165</v>
      </c>
      <c r="I3759" s="21" t="s">
        <v>3199</v>
      </c>
      <c r="M3759" t="s">
        <v>1157</v>
      </c>
      <c r="U3759" s="21" t="s">
        <v>1246</v>
      </c>
      <c r="V3759" s="9" t="s">
        <v>1217</v>
      </c>
      <c r="W3759">
        <v>35</v>
      </c>
      <c r="X3759" s="9" t="s">
        <v>3203</v>
      </c>
      <c r="Y3759" t="s">
        <v>3207</v>
      </c>
      <c r="Z3759" s="9"/>
      <c r="AD3759" t="s">
        <v>1165</v>
      </c>
      <c r="AF3759" t="s">
        <v>153</v>
      </c>
      <c r="AG3759" t="s">
        <v>3200</v>
      </c>
      <c r="AH3759">
        <f t="shared" si="44"/>
        <v>2880</v>
      </c>
      <c r="AI3759" s="21" t="s">
        <v>1165</v>
      </c>
      <c r="AJ3759" s="21" t="s">
        <v>1278</v>
      </c>
      <c r="AK3759">
        <v>0</v>
      </c>
      <c r="AN3759" s="21">
        <v>4</v>
      </c>
      <c r="AO3759" s="21">
        <v>100</v>
      </c>
      <c r="AP3759" s="21">
        <v>20</v>
      </c>
      <c r="AQ3759" s="22" t="s">
        <v>1283</v>
      </c>
      <c r="AR3759" s="21" t="s">
        <v>1279</v>
      </c>
    </row>
    <row r="3760" spans="1:44" x14ac:dyDescent="0.2">
      <c r="A3760" s="21" t="s">
        <v>1745</v>
      </c>
      <c r="B3760" s="21" t="s">
        <v>1146</v>
      </c>
      <c r="C3760" s="21" t="s">
        <v>1149</v>
      </c>
      <c r="D3760" s="21" t="s">
        <v>1743</v>
      </c>
      <c r="E3760" s="21" t="s">
        <v>1744</v>
      </c>
      <c r="F3760" s="21" t="s">
        <v>3198</v>
      </c>
      <c r="G3760" s="21" t="s">
        <v>153</v>
      </c>
      <c r="H3760" s="21" t="s">
        <v>1165</v>
      </c>
      <c r="I3760" s="21" t="s">
        <v>3199</v>
      </c>
      <c r="M3760" t="s">
        <v>1157</v>
      </c>
      <c r="U3760" s="21" t="s">
        <v>1246</v>
      </c>
      <c r="V3760" s="9" t="s">
        <v>1217</v>
      </c>
      <c r="W3760">
        <v>35</v>
      </c>
      <c r="X3760" s="9" t="s">
        <v>3203</v>
      </c>
      <c r="Y3760" t="s">
        <v>3207</v>
      </c>
      <c r="Z3760" s="9"/>
      <c r="AD3760" t="s">
        <v>1165</v>
      </c>
      <c r="AF3760" t="s">
        <v>153</v>
      </c>
      <c r="AG3760" t="s">
        <v>3200</v>
      </c>
      <c r="AH3760">
        <f t="shared" si="44"/>
        <v>2880</v>
      </c>
      <c r="AI3760" s="21" t="s">
        <v>1165</v>
      </c>
      <c r="AJ3760" s="21" t="s">
        <v>1278</v>
      </c>
      <c r="AK3760">
        <v>0</v>
      </c>
      <c r="AN3760" s="21">
        <v>4</v>
      </c>
      <c r="AO3760" s="21">
        <v>100</v>
      </c>
      <c r="AP3760" s="21">
        <v>30</v>
      </c>
      <c r="AQ3760" s="22" t="s">
        <v>1283</v>
      </c>
      <c r="AR3760" s="21" t="s">
        <v>1279</v>
      </c>
    </row>
    <row r="3761" spans="1:44" x14ac:dyDescent="0.2">
      <c r="A3761" s="21" t="s">
        <v>1745</v>
      </c>
      <c r="B3761" s="21" t="s">
        <v>1146</v>
      </c>
      <c r="C3761" s="21" t="s">
        <v>1149</v>
      </c>
      <c r="D3761" s="21" t="s">
        <v>1743</v>
      </c>
      <c r="E3761" s="21" t="s">
        <v>1744</v>
      </c>
      <c r="F3761" s="21" t="s">
        <v>3198</v>
      </c>
      <c r="G3761" s="21" t="s">
        <v>153</v>
      </c>
      <c r="H3761" s="21" t="s">
        <v>1165</v>
      </c>
      <c r="I3761" s="21" t="s">
        <v>3199</v>
      </c>
      <c r="M3761" t="s">
        <v>1157</v>
      </c>
      <c r="U3761" s="21" t="s">
        <v>1246</v>
      </c>
      <c r="V3761" s="9" t="s">
        <v>1217</v>
      </c>
      <c r="W3761">
        <v>35</v>
      </c>
      <c r="X3761" s="9" t="s">
        <v>3203</v>
      </c>
      <c r="Y3761" t="s">
        <v>3207</v>
      </c>
      <c r="Z3761" s="9"/>
      <c r="AD3761" t="s">
        <v>1165</v>
      </c>
      <c r="AF3761" t="s">
        <v>153</v>
      </c>
      <c r="AG3761" t="s">
        <v>3200</v>
      </c>
      <c r="AH3761">
        <f t="shared" si="44"/>
        <v>2880</v>
      </c>
      <c r="AI3761" s="21" t="s">
        <v>1165</v>
      </c>
      <c r="AJ3761" s="21" t="s">
        <v>1278</v>
      </c>
      <c r="AK3761">
        <v>0</v>
      </c>
      <c r="AN3761" s="21">
        <v>4</v>
      </c>
      <c r="AO3761" s="21">
        <v>100</v>
      </c>
      <c r="AP3761" s="21">
        <v>40</v>
      </c>
      <c r="AQ3761" s="22" t="s">
        <v>1283</v>
      </c>
      <c r="AR3761" s="21" t="s">
        <v>1279</v>
      </c>
    </row>
    <row r="3762" spans="1:44" x14ac:dyDescent="0.2">
      <c r="A3762" s="21" t="s">
        <v>1745</v>
      </c>
      <c r="B3762" s="21" t="s">
        <v>1146</v>
      </c>
      <c r="C3762" s="21" t="s">
        <v>1149</v>
      </c>
      <c r="D3762" s="21" t="s">
        <v>1743</v>
      </c>
      <c r="E3762" s="21" t="s">
        <v>1744</v>
      </c>
      <c r="F3762" s="21" t="s">
        <v>3198</v>
      </c>
      <c r="G3762" s="21" t="s">
        <v>153</v>
      </c>
      <c r="H3762" s="21" t="s">
        <v>1165</v>
      </c>
      <c r="I3762" s="21" t="s">
        <v>3199</v>
      </c>
      <c r="M3762" t="s">
        <v>1157</v>
      </c>
      <c r="U3762" s="21" t="s">
        <v>1246</v>
      </c>
      <c r="V3762" s="9" t="s">
        <v>1217</v>
      </c>
      <c r="W3762">
        <v>35</v>
      </c>
      <c r="X3762" s="9" t="s">
        <v>3203</v>
      </c>
      <c r="Y3762" t="s">
        <v>3207</v>
      </c>
      <c r="Z3762" s="9"/>
      <c r="AD3762" t="s">
        <v>1165</v>
      </c>
      <c r="AF3762" t="s">
        <v>153</v>
      </c>
      <c r="AG3762" t="s">
        <v>3200</v>
      </c>
      <c r="AH3762">
        <f t="shared" si="44"/>
        <v>2880</v>
      </c>
      <c r="AI3762" s="21" t="s">
        <v>1165</v>
      </c>
      <c r="AJ3762" s="21" t="s">
        <v>1278</v>
      </c>
      <c r="AK3762">
        <v>0</v>
      </c>
      <c r="AN3762" s="21">
        <v>4</v>
      </c>
      <c r="AO3762" s="21">
        <v>100</v>
      </c>
      <c r="AP3762" s="21">
        <v>50</v>
      </c>
      <c r="AQ3762" s="22" t="s">
        <v>1283</v>
      </c>
      <c r="AR3762" s="21" t="s">
        <v>1279</v>
      </c>
    </row>
    <row r="3763" spans="1:44" x14ac:dyDescent="0.2">
      <c r="A3763" s="21" t="s">
        <v>1745</v>
      </c>
      <c r="B3763" s="21" t="s">
        <v>1146</v>
      </c>
      <c r="C3763" s="21" t="s">
        <v>1149</v>
      </c>
      <c r="D3763" s="21" t="s">
        <v>1743</v>
      </c>
      <c r="E3763" s="21" t="s">
        <v>1744</v>
      </c>
      <c r="F3763" s="21" t="s">
        <v>3198</v>
      </c>
      <c r="G3763" s="21" t="s">
        <v>153</v>
      </c>
      <c r="H3763" s="21" t="s">
        <v>1165</v>
      </c>
      <c r="I3763" s="21" t="s">
        <v>3199</v>
      </c>
      <c r="M3763" t="s">
        <v>1157</v>
      </c>
      <c r="U3763" s="21" t="s">
        <v>1246</v>
      </c>
      <c r="V3763" s="9" t="s">
        <v>1217</v>
      </c>
      <c r="W3763">
        <v>35</v>
      </c>
      <c r="X3763" s="9" t="s">
        <v>3203</v>
      </c>
      <c r="Y3763" t="s">
        <v>3207</v>
      </c>
      <c r="Z3763" s="9"/>
      <c r="AD3763" t="s">
        <v>1165</v>
      </c>
      <c r="AF3763" t="s">
        <v>153</v>
      </c>
      <c r="AG3763" t="s">
        <v>3200</v>
      </c>
      <c r="AH3763">
        <f t="shared" si="44"/>
        <v>2880</v>
      </c>
      <c r="AI3763" s="21" t="s">
        <v>1165</v>
      </c>
      <c r="AJ3763" s="21" t="s">
        <v>1278</v>
      </c>
      <c r="AK3763">
        <v>0</v>
      </c>
      <c r="AN3763" s="21">
        <v>4</v>
      </c>
      <c r="AO3763" s="21">
        <v>100</v>
      </c>
      <c r="AP3763" s="21">
        <v>60</v>
      </c>
      <c r="AQ3763" s="22" t="s">
        <v>1283</v>
      </c>
      <c r="AR3763" s="21" t="s">
        <v>1279</v>
      </c>
    </row>
    <row r="3764" spans="1:44" x14ac:dyDescent="0.2">
      <c r="A3764" s="21" t="s">
        <v>1745</v>
      </c>
      <c r="B3764" s="21" t="s">
        <v>1146</v>
      </c>
      <c r="C3764" s="21" t="s">
        <v>1149</v>
      </c>
      <c r="D3764" s="21" t="s">
        <v>1743</v>
      </c>
      <c r="E3764" s="21" t="s">
        <v>1744</v>
      </c>
      <c r="F3764" s="21" t="s">
        <v>3198</v>
      </c>
      <c r="G3764" s="21" t="s">
        <v>153</v>
      </c>
      <c r="H3764" s="21" t="s">
        <v>1165</v>
      </c>
      <c r="I3764" s="21" t="s">
        <v>3199</v>
      </c>
      <c r="M3764" t="s">
        <v>1157</v>
      </c>
      <c r="U3764" s="21" t="s">
        <v>1246</v>
      </c>
      <c r="V3764" s="9" t="s">
        <v>1217</v>
      </c>
      <c r="W3764">
        <v>35</v>
      </c>
      <c r="X3764" s="9" t="s">
        <v>3203</v>
      </c>
      <c r="Y3764" t="s">
        <v>3207</v>
      </c>
      <c r="Z3764" s="9"/>
      <c r="AD3764" t="s">
        <v>1165</v>
      </c>
      <c r="AF3764" t="s">
        <v>153</v>
      </c>
      <c r="AG3764" t="s">
        <v>3200</v>
      </c>
      <c r="AH3764">
        <f t="shared" si="44"/>
        <v>2880</v>
      </c>
      <c r="AI3764" s="21" t="s">
        <v>1165</v>
      </c>
      <c r="AJ3764" s="21" t="s">
        <v>1278</v>
      </c>
      <c r="AK3764">
        <v>5.05</v>
      </c>
      <c r="AN3764" s="21">
        <v>4</v>
      </c>
      <c r="AO3764" s="21">
        <v>100</v>
      </c>
      <c r="AP3764" s="21">
        <v>70</v>
      </c>
      <c r="AQ3764" s="22" t="s">
        <v>1283</v>
      </c>
      <c r="AR3764" s="21" t="s">
        <v>1279</v>
      </c>
    </row>
    <row r="3765" spans="1:44" x14ac:dyDescent="0.2">
      <c r="A3765" s="21" t="s">
        <v>1745</v>
      </c>
      <c r="B3765" s="21" t="s">
        <v>1146</v>
      </c>
      <c r="C3765" s="21" t="s">
        <v>1149</v>
      </c>
      <c r="D3765" s="21" t="s">
        <v>1743</v>
      </c>
      <c r="E3765" s="21" t="s">
        <v>1744</v>
      </c>
      <c r="F3765" s="21" t="s">
        <v>3198</v>
      </c>
      <c r="G3765" s="21" t="s">
        <v>153</v>
      </c>
      <c r="H3765" s="21" t="s">
        <v>1165</v>
      </c>
      <c r="I3765" s="21" t="s">
        <v>3199</v>
      </c>
      <c r="M3765" t="s">
        <v>1157</v>
      </c>
      <c r="U3765" s="21" t="s">
        <v>1246</v>
      </c>
      <c r="V3765" s="9" t="s">
        <v>1217</v>
      </c>
      <c r="W3765">
        <v>35</v>
      </c>
      <c r="X3765" s="9" t="s">
        <v>3203</v>
      </c>
      <c r="Y3765" t="s">
        <v>3207</v>
      </c>
      <c r="Z3765" s="9"/>
      <c r="AD3765" t="s">
        <v>1165</v>
      </c>
      <c r="AF3765" t="s">
        <v>153</v>
      </c>
      <c r="AG3765" t="s">
        <v>3200</v>
      </c>
      <c r="AH3765">
        <f t="shared" si="44"/>
        <v>2880</v>
      </c>
      <c r="AI3765" s="21" t="s">
        <v>1165</v>
      </c>
      <c r="AJ3765" s="21" t="s">
        <v>1278</v>
      </c>
      <c r="AK3765">
        <v>11.451000000000001</v>
      </c>
      <c r="AN3765" s="21">
        <v>4</v>
      </c>
      <c r="AO3765" s="21">
        <v>100</v>
      </c>
      <c r="AP3765" s="21">
        <v>80</v>
      </c>
      <c r="AQ3765" s="22" t="s">
        <v>1283</v>
      </c>
      <c r="AR3765" s="21" t="s">
        <v>1279</v>
      </c>
    </row>
    <row r="3766" spans="1:44" x14ac:dyDescent="0.2">
      <c r="A3766" s="21" t="s">
        <v>1745</v>
      </c>
      <c r="B3766" s="21" t="s">
        <v>1146</v>
      </c>
      <c r="C3766" s="21" t="s">
        <v>1149</v>
      </c>
      <c r="D3766" s="21" t="s">
        <v>1743</v>
      </c>
      <c r="E3766" s="21" t="s">
        <v>1744</v>
      </c>
      <c r="F3766" s="21" t="s">
        <v>3198</v>
      </c>
      <c r="G3766" s="21" t="s">
        <v>153</v>
      </c>
      <c r="H3766" s="21" t="s">
        <v>1165</v>
      </c>
      <c r="I3766" s="21" t="s">
        <v>3199</v>
      </c>
      <c r="M3766" t="s">
        <v>1157</v>
      </c>
      <c r="U3766" s="21" t="s">
        <v>1246</v>
      </c>
      <c r="V3766" s="9" t="s">
        <v>1217</v>
      </c>
      <c r="W3766">
        <v>35</v>
      </c>
      <c r="X3766" s="9" t="s">
        <v>3203</v>
      </c>
      <c r="Y3766" t="s">
        <v>3207</v>
      </c>
      <c r="Z3766" s="9"/>
      <c r="AD3766" t="s">
        <v>1165</v>
      </c>
      <c r="AF3766" t="s">
        <v>153</v>
      </c>
      <c r="AG3766" t="s">
        <v>3200</v>
      </c>
      <c r="AH3766">
        <f t="shared" si="44"/>
        <v>2880</v>
      </c>
      <c r="AI3766" s="21" t="s">
        <v>1165</v>
      </c>
      <c r="AJ3766" s="21" t="s">
        <v>1278</v>
      </c>
      <c r="AK3766">
        <v>17.632000000000001</v>
      </c>
      <c r="AN3766" s="21">
        <v>4</v>
      </c>
      <c r="AO3766" s="21">
        <v>100</v>
      </c>
      <c r="AP3766" s="21">
        <v>84</v>
      </c>
      <c r="AQ3766" s="22" t="s">
        <v>1283</v>
      </c>
      <c r="AR3766" s="21" t="s">
        <v>1279</v>
      </c>
    </row>
    <row r="3767" spans="1:44" x14ac:dyDescent="0.2">
      <c r="A3767" s="21" t="s">
        <v>1745</v>
      </c>
      <c r="B3767" s="21" t="s">
        <v>1146</v>
      </c>
      <c r="C3767" s="21" t="s">
        <v>1149</v>
      </c>
      <c r="D3767" s="21" t="s">
        <v>1743</v>
      </c>
      <c r="E3767" s="21" t="s">
        <v>1744</v>
      </c>
      <c r="F3767" s="21" t="s">
        <v>3198</v>
      </c>
      <c r="G3767" s="21" t="s">
        <v>153</v>
      </c>
      <c r="H3767" s="21" t="s">
        <v>1165</v>
      </c>
      <c r="I3767" s="21" t="s">
        <v>3199</v>
      </c>
      <c r="M3767" t="s">
        <v>1157</v>
      </c>
      <c r="U3767" s="21" t="s">
        <v>1246</v>
      </c>
      <c r="V3767" s="9" t="s">
        <v>1217</v>
      </c>
      <c r="W3767">
        <v>49</v>
      </c>
      <c r="X3767" s="9" t="s">
        <v>3203</v>
      </c>
      <c r="Y3767" t="s">
        <v>3207</v>
      </c>
      <c r="Z3767" s="9"/>
      <c r="AD3767" t="s">
        <v>1165</v>
      </c>
      <c r="AF3767" t="s">
        <v>153</v>
      </c>
      <c r="AG3767" t="s">
        <v>3200</v>
      </c>
      <c r="AH3767">
        <f>48*60</f>
        <v>2880</v>
      </c>
      <c r="AI3767" s="21" t="s">
        <v>1165</v>
      </c>
      <c r="AJ3767" s="21" t="s">
        <v>1278</v>
      </c>
      <c r="AK3767">
        <v>0</v>
      </c>
      <c r="AN3767" s="21">
        <v>4</v>
      </c>
      <c r="AO3767" s="21">
        <v>100</v>
      </c>
      <c r="AP3767" s="21">
        <v>0</v>
      </c>
      <c r="AQ3767" s="22" t="s">
        <v>1283</v>
      </c>
      <c r="AR3767" s="21" t="s">
        <v>1279</v>
      </c>
    </row>
    <row r="3768" spans="1:44" x14ac:dyDescent="0.2">
      <c r="A3768" s="21" t="s">
        <v>1745</v>
      </c>
      <c r="B3768" s="21" t="s">
        <v>1146</v>
      </c>
      <c r="C3768" s="21" t="s">
        <v>1149</v>
      </c>
      <c r="D3768" s="21" t="s">
        <v>1743</v>
      </c>
      <c r="E3768" s="21" t="s">
        <v>1744</v>
      </c>
      <c r="F3768" s="21" t="s">
        <v>3198</v>
      </c>
      <c r="G3768" s="21" t="s">
        <v>153</v>
      </c>
      <c r="H3768" s="21" t="s">
        <v>1165</v>
      </c>
      <c r="I3768" s="21" t="s">
        <v>3199</v>
      </c>
      <c r="M3768" t="s">
        <v>1157</v>
      </c>
      <c r="U3768" s="21" t="s">
        <v>1246</v>
      </c>
      <c r="V3768" s="9" t="s">
        <v>1217</v>
      </c>
      <c r="W3768">
        <v>49</v>
      </c>
      <c r="X3768" s="9" t="s">
        <v>3203</v>
      </c>
      <c r="Y3768" t="s">
        <v>3207</v>
      </c>
      <c r="Z3768" s="9"/>
      <c r="AD3768" t="s">
        <v>1165</v>
      </c>
      <c r="AF3768" t="s">
        <v>153</v>
      </c>
      <c r="AG3768" t="s">
        <v>3200</v>
      </c>
      <c r="AH3768">
        <f t="shared" ref="AH3768:AH3776" si="45">48*60</f>
        <v>2880</v>
      </c>
      <c r="AI3768" s="21" t="s">
        <v>1165</v>
      </c>
      <c r="AJ3768" s="21" t="s">
        <v>1278</v>
      </c>
      <c r="AK3768">
        <v>0</v>
      </c>
      <c r="AN3768" s="21">
        <v>4</v>
      </c>
      <c r="AO3768" s="21">
        <v>100</v>
      </c>
      <c r="AP3768" s="21">
        <v>10</v>
      </c>
      <c r="AQ3768" s="22" t="s">
        <v>1283</v>
      </c>
      <c r="AR3768" s="21" t="s">
        <v>1279</v>
      </c>
    </row>
    <row r="3769" spans="1:44" x14ac:dyDescent="0.2">
      <c r="A3769" s="21" t="s">
        <v>1745</v>
      </c>
      <c r="B3769" s="21" t="s">
        <v>1146</v>
      </c>
      <c r="C3769" s="21" t="s">
        <v>1149</v>
      </c>
      <c r="D3769" s="21" t="s">
        <v>1743</v>
      </c>
      <c r="E3769" s="21" t="s">
        <v>1744</v>
      </c>
      <c r="F3769" s="21" t="s">
        <v>3198</v>
      </c>
      <c r="G3769" s="21" t="s">
        <v>153</v>
      </c>
      <c r="H3769" s="21" t="s">
        <v>1165</v>
      </c>
      <c r="I3769" s="21" t="s">
        <v>3199</v>
      </c>
      <c r="M3769" t="s">
        <v>1157</v>
      </c>
      <c r="U3769" s="21" t="s">
        <v>1246</v>
      </c>
      <c r="V3769" s="9" t="s">
        <v>1217</v>
      </c>
      <c r="W3769">
        <v>49</v>
      </c>
      <c r="X3769" s="9" t="s">
        <v>3203</v>
      </c>
      <c r="Y3769" t="s">
        <v>3207</v>
      </c>
      <c r="Z3769" s="9"/>
      <c r="AD3769" t="s">
        <v>1165</v>
      </c>
      <c r="AF3769" t="s">
        <v>153</v>
      </c>
      <c r="AG3769" t="s">
        <v>3200</v>
      </c>
      <c r="AH3769">
        <f t="shared" si="45"/>
        <v>2880</v>
      </c>
      <c r="AI3769" s="21" t="s">
        <v>1165</v>
      </c>
      <c r="AJ3769" s="21" t="s">
        <v>1278</v>
      </c>
      <c r="AK3769">
        <v>0</v>
      </c>
      <c r="AN3769" s="21">
        <v>4</v>
      </c>
      <c r="AO3769" s="21">
        <v>100</v>
      </c>
      <c r="AP3769" s="21">
        <v>20</v>
      </c>
      <c r="AQ3769" s="22" t="s">
        <v>1283</v>
      </c>
      <c r="AR3769" s="21" t="s">
        <v>1279</v>
      </c>
    </row>
    <row r="3770" spans="1:44" x14ac:dyDescent="0.2">
      <c r="A3770" s="21" t="s">
        <v>1745</v>
      </c>
      <c r="B3770" s="21" t="s">
        <v>1146</v>
      </c>
      <c r="C3770" s="21" t="s">
        <v>1149</v>
      </c>
      <c r="D3770" s="21" t="s">
        <v>1743</v>
      </c>
      <c r="E3770" s="21" t="s">
        <v>1744</v>
      </c>
      <c r="F3770" s="21" t="s">
        <v>3198</v>
      </c>
      <c r="G3770" s="21" t="s">
        <v>153</v>
      </c>
      <c r="H3770" s="21" t="s">
        <v>1165</v>
      </c>
      <c r="I3770" s="21" t="s">
        <v>3199</v>
      </c>
      <c r="M3770" t="s">
        <v>1157</v>
      </c>
      <c r="U3770" s="21" t="s">
        <v>1246</v>
      </c>
      <c r="V3770" s="9" t="s">
        <v>1217</v>
      </c>
      <c r="W3770">
        <v>49</v>
      </c>
      <c r="X3770" s="9" t="s">
        <v>3203</v>
      </c>
      <c r="Y3770" t="s">
        <v>3207</v>
      </c>
      <c r="Z3770" s="9"/>
      <c r="AD3770" t="s">
        <v>1165</v>
      </c>
      <c r="AF3770" t="s">
        <v>153</v>
      </c>
      <c r="AG3770" t="s">
        <v>3200</v>
      </c>
      <c r="AH3770">
        <f t="shared" si="45"/>
        <v>2880</v>
      </c>
      <c r="AI3770" s="21" t="s">
        <v>1165</v>
      </c>
      <c r="AJ3770" s="21" t="s">
        <v>1278</v>
      </c>
      <c r="AK3770">
        <v>0</v>
      </c>
      <c r="AN3770" s="21">
        <v>4</v>
      </c>
      <c r="AO3770" s="21">
        <v>100</v>
      </c>
      <c r="AP3770" s="21">
        <v>30</v>
      </c>
      <c r="AQ3770" s="22" t="s">
        <v>1283</v>
      </c>
      <c r="AR3770" s="21" t="s">
        <v>1279</v>
      </c>
    </row>
    <row r="3771" spans="1:44" x14ac:dyDescent="0.2">
      <c r="A3771" s="21" t="s">
        <v>1745</v>
      </c>
      <c r="B3771" s="21" t="s">
        <v>1146</v>
      </c>
      <c r="C3771" s="21" t="s">
        <v>1149</v>
      </c>
      <c r="D3771" s="21" t="s">
        <v>1743</v>
      </c>
      <c r="E3771" s="21" t="s">
        <v>1744</v>
      </c>
      <c r="F3771" s="21" t="s">
        <v>3198</v>
      </c>
      <c r="G3771" s="21" t="s">
        <v>153</v>
      </c>
      <c r="H3771" s="21" t="s">
        <v>1165</v>
      </c>
      <c r="I3771" s="21" t="s">
        <v>3199</v>
      </c>
      <c r="M3771" t="s">
        <v>1157</v>
      </c>
      <c r="U3771" s="21" t="s">
        <v>1246</v>
      </c>
      <c r="V3771" s="9" t="s">
        <v>1217</v>
      </c>
      <c r="W3771">
        <v>49</v>
      </c>
      <c r="X3771" s="9" t="s">
        <v>3203</v>
      </c>
      <c r="Y3771" t="s">
        <v>3207</v>
      </c>
      <c r="Z3771" s="9"/>
      <c r="AD3771" t="s">
        <v>1165</v>
      </c>
      <c r="AF3771" t="s">
        <v>153</v>
      </c>
      <c r="AG3771" t="s">
        <v>3200</v>
      </c>
      <c r="AH3771">
        <f t="shared" si="45"/>
        <v>2880</v>
      </c>
      <c r="AI3771" s="21" t="s">
        <v>1165</v>
      </c>
      <c r="AJ3771" s="21" t="s">
        <v>1278</v>
      </c>
      <c r="AK3771">
        <v>0.82799999999999996</v>
      </c>
      <c r="AN3771" s="21">
        <v>4</v>
      </c>
      <c r="AO3771" s="21">
        <v>100</v>
      </c>
      <c r="AP3771" s="21">
        <v>40</v>
      </c>
      <c r="AQ3771" s="22" t="s">
        <v>1283</v>
      </c>
      <c r="AR3771" s="21" t="s">
        <v>1279</v>
      </c>
    </row>
    <row r="3772" spans="1:44" x14ac:dyDescent="0.2">
      <c r="A3772" s="21" t="s">
        <v>1745</v>
      </c>
      <c r="B3772" s="21" t="s">
        <v>1146</v>
      </c>
      <c r="C3772" s="21" t="s">
        <v>1149</v>
      </c>
      <c r="D3772" s="21" t="s">
        <v>1743</v>
      </c>
      <c r="E3772" s="21" t="s">
        <v>1744</v>
      </c>
      <c r="F3772" s="21" t="s">
        <v>3198</v>
      </c>
      <c r="G3772" s="21" t="s">
        <v>153</v>
      </c>
      <c r="H3772" s="21" t="s">
        <v>1165</v>
      </c>
      <c r="I3772" s="21" t="s">
        <v>3199</v>
      </c>
      <c r="M3772" t="s">
        <v>1157</v>
      </c>
      <c r="U3772" s="21" t="s">
        <v>1246</v>
      </c>
      <c r="V3772" s="9" t="s">
        <v>1217</v>
      </c>
      <c r="W3772">
        <v>49</v>
      </c>
      <c r="X3772" s="9" t="s">
        <v>3203</v>
      </c>
      <c r="Y3772" t="s">
        <v>3207</v>
      </c>
      <c r="Z3772" s="9"/>
      <c r="AD3772" t="s">
        <v>1165</v>
      </c>
      <c r="AF3772" t="s">
        <v>153</v>
      </c>
      <c r="AG3772" t="s">
        <v>3200</v>
      </c>
      <c r="AH3772">
        <f t="shared" si="45"/>
        <v>2880</v>
      </c>
      <c r="AI3772" s="21" t="s">
        <v>1165</v>
      </c>
      <c r="AJ3772" s="21" t="s">
        <v>1278</v>
      </c>
      <c r="AK3772">
        <v>1.0760000000000001</v>
      </c>
      <c r="AN3772" s="21">
        <v>4</v>
      </c>
      <c r="AO3772" s="21">
        <v>100</v>
      </c>
      <c r="AP3772" s="21">
        <v>50</v>
      </c>
      <c r="AQ3772" s="22" t="s">
        <v>1283</v>
      </c>
      <c r="AR3772" s="21" t="s">
        <v>1279</v>
      </c>
    </row>
    <row r="3773" spans="1:44" x14ac:dyDescent="0.2">
      <c r="A3773" s="21" t="s">
        <v>1745</v>
      </c>
      <c r="B3773" s="21" t="s">
        <v>1146</v>
      </c>
      <c r="C3773" s="21" t="s">
        <v>1149</v>
      </c>
      <c r="D3773" s="21" t="s">
        <v>1743</v>
      </c>
      <c r="E3773" s="21" t="s">
        <v>1744</v>
      </c>
      <c r="F3773" s="21" t="s">
        <v>3198</v>
      </c>
      <c r="G3773" s="21" t="s">
        <v>153</v>
      </c>
      <c r="H3773" s="21" t="s">
        <v>1165</v>
      </c>
      <c r="I3773" s="21" t="s">
        <v>3199</v>
      </c>
      <c r="M3773" t="s">
        <v>1157</v>
      </c>
      <c r="U3773" s="21" t="s">
        <v>1246</v>
      </c>
      <c r="V3773" s="9" t="s">
        <v>1217</v>
      </c>
      <c r="W3773">
        <v>49</v>
      </c>
      <c r="X3773" s="9" t="s">
        <v>3203</v>
      </c>
      <c r="Y3773" t="s">
        <v>3207</v>
      </c>
      <c r="Z3773" s="9"/>
      <c r="AD3773" t="s">
        <v>1165</v>
      </c>
      <c r="AF3773" t="s">
        <v>153</v>
      </c>
      <c r="AG3773" t="s">
        <v>3200</v>
      </c>
      <c r="AH3773">
        <f t="shared" si="45"/>
        <v>2880</v>
      </c>
      <c r="AI3773" s="21" t="s">
        <v>1165</v>
      </c>
      <c r="AJ3773" s="21" t="s">
        <v>1278</v>
      </c>
      <c r="AK3773">
        <v>3.9460000000000002</v>
      </c>
      <c r="AN3773" s="21">
        <v>4</v>
      </c>
      <c r="AO3773" s="21">
        <v>100</v>
      </c>
      <c r="AP3773" s="21">
        <v>60</v>
      </c>
      <c r="AQ3773" s="22" t="s">
        <v>1283</v>
      </c>
      <c r="AR3773" s="21" t="s">
        <v>1279</v>
      </c>
    </row>
    <row r="3774" spans="1:44" x14ac:dyDescent="0.2">
      <c r="A3774" s="21" t="s">
        <v>1745</v>
      </c>
      <c r="B3774" s="21" t="s">
        <v>1146</v>
      </c>
      <c r="C3774" s="21" t="s">
        <v>1149</v>
      </c>
      <c r="D3774" s="21" t="s">
        <v>1743</v>
      </c>
      <c r="E3774" s="21" t="s">
        <v>1744</v>
      </c>
      <c r="F3774" s="21" t="s">
        <v>3198</v>
      </c>
      <c r="G3774" s="21" t="s">
        <v>153</v>
      </c>
      <c r="H3774" s="21" t="s">
        <v>1165</v>
      </c>
      <c r="I3774" s="21" t="s">
        <v>3199</v>
      </c>
      <c r="M3774" t="s">
        <v>1157</v>
      </c>
      <c r="U3774" s="21" t="s">
        <v>1246</v>
      </c>
      <c r="V3774" s="9" t="s">
        <v>1217</v>
      </c>
      <c r="W3774">
        <v>49</v>
      </c>
      <c r="X3774" s="9" t="s">
        <v>3203</v>
      </c>
      <c r="Y3774" t="s">
        <v>3207</v>
      </c>
      <c r="Z3774" s="9"/>
      <c r="AD3774" t="s">
        <v>1165</v>
      </c>
      <c r="AF3774" t="s">
        <v>153</v>
      </c>
      <c r="AG3774" t="s">
        <v>3200</v>
      </c>
      <c r="AH3774">
        <f t="shared" si="45"/>
        <v>2880</v>
      </c>
      <c r="AI3774" s="21" t="s">
        <v>1165</v>
      </c>
      <c r="AJ3774" s="21" t="s">
        <v>1278</v>
      </c>
      <c r="AK3774">
        <v>9.6850000000000005</v>
      </c>
      <c r="AN3774" s="21">
        <v>4</v>
      </c>
      <c r="AO3774" s="21">
        <v>100</v>
      </c>
      <c r="AP3774" s="21">
        <v>70</v>
      </c>
      <c r="AQ3774" s="22" t="s">
        <v>1283</v>
      </c>
      <c r="AR3774" s="21" t="s">
        <v>1279</v>
      </c>
    </row>
    <row r="3775" spans="1:44" x14ac:dyDescent="0.2">
      <c r="A3775" s="21" t="s">
        <v>1745</v>
      </c>
      <c r="B3775" s="21" t="s">
        <v>1146</v>
      </c>
      <c r="C3775" s="21" t="s">
        <v>1149</v>
      </c>
      <c r="D3775" s="21" t="s">
        <v>1743</v>
      </c>
      <c r="E3775" s="21" t="s">
        <v>1744</v>
      </c>
      <c r="F3775" s="21" t="s">
        <v>3198</v>
      </c>
      <c r="G3775" s="21" t="s">
        <v>153</v>
      </c>
      <c r="H3775" s="21" t="s">
        <v>1165</v>
      </c>
      <c r="I3775" s="21" t="s">
        <v>3199</v>
      </c>
      <c r="M3775" t="s">
        <v>1157</v>
      </c>
      <c r="U3775" s="21" t="s">
        <v>1246</v>
      </c>
      <c r="V3775" s="9" t="s">
        <v>1217</v>
      </c>
      <c r="W3775">
        <v>49</v>
      </c>
      <c r="X3775" s="9" t="s">
        <v>3203</v>
      </c>
      <c r="Y3775" t="s">
        <v>3207</v>
      </c>
      <c r="Z3775" s="9"/>
      <c r="AD3775" t="s">
        <v>1165</v>
      </c>
      <c r="AF3775" t="s">
        <v>153</v>
      </c>
      <c r="AG3775" t="s">
        <v>3200</v>
      </c>
      <c r="AH3775">
        <f t="shared" si="45"/>
        <v>2880</v>
      </c>
      <c r="AI3775" s="21" t="s">
        <v>1165</v>
      </c>
      <c r="AJ3775" s="21" t="s">
        <v>1278</v>
      </c>
      <c r="AK3775">
        <v>22.047000000000001</v>
      </c>
      <c r="AN3775" s="21">
        <v>4</v>
      </c>
      <c r="AO3775" s="21">
        <v>100</v>
      </c>
      <c r="AP3775" s="21">
        <v>80</v>
      </c>
      <c r="AQ3775" s="22" t="s">
        <v>1283</v>
      </c>
      <c r="AR3775" s="21" t="s">
        <v>1279</v>
      </c>
    </row>
    <row r="3776" spans="1:44" x14ac:dyDescent="0.2">
      <c r="A3776" s="21" t="s">
        <v>1745</v>
      </c>
      <c r="B3776" s="21" t="s">
        <v>1146</v>
      </c>
      <c r="C3776" s="21" t="s">
        <v>1149</v>
      </c>
      <c r="D3776" s="21" t="s">
        <v>1743</v>
      </c>
      <c r="E3776" s="21" t="s">
        <v>1744</v>
      </c>
      <c r="F3776" s="21" t="s">
        <v>3198</v>
      </c>
      <c r="G3776" s="21" t="s">
        <v>153</v>
      </c>
      <c r="H3776" s="21" t="s">
        <v>1165</v>
      </c>
      <c r="I3776" s="21" t="s">
        <v>3199</v>
      </c>
      <c r="M3776" t="s">
        <v>1157</v>
      </c>
      <c r="U3776" s="21" t="s">
        <v>1246</v>
      </c>
      <c r="V3776" s="9" t="s">
        <v>1217</v>
      </c>
      <c r="W3776">
        <v>49</v>
      </c>
      <c r="X3776" s="9" t="s">
        <v>3203</v>
      </c>
      <c r="Y3776" t="s">
        <v>3207</v>
      </c>
      <c r="Z3776" s="9"/>
      <c r="AD3776" t="s">
        <v>1165</v>
      </c>
      <c r="AF3776" t="s">
        <v>153</v>
      </c>
      <c r="AG3776" t="s">
        <v>3200</v>
      </c>
      <c r="AH3776">
        <f t="shared" si="45"/>
        <v>2880</v>
      </c>
      <c r="AI3776" s="21" t="s">
        <v>1165</v>
      </c>
      <c r="AJ3776" s="21" t="s">
        <v>1278</v>
      </c>
      <c r="AK3776">
        <v>33.968000000000004</v>
      </c>
      <c r="AN3776" s="21">
        <v>4</v>
      </c>
      <c r="AO3776" s="21">
        <v>100</v>
      </c>
      <c r="AP3776" s="21">
        <v>84</v>
      </c>
      <c r="AQ3776" s="22" t="s">
        <v>1283</v>
      </c>
      <c r="AR3776" s="21" t="s">
        <v>1279</v>
      </c>
    </row>
    <row r="3777" spans="1:44" x14ac:dyDescent="0.2">
      <c r="A3777" s="21" t="s">
        <v>1745</v>
      </c>
      <c r="B3777" s="21" t="s">
        <v>1146</v>
      </c>
      <c r="C3777" s="21" t="s">
        <v>1149</v>
      </c>
      <c r="D3777" s="21" t="s">
        <v>1743</v>
      </c>
      <c r="E3777" s="21" t="s">
        <v>1744</v>
      </c>
      <c r="F3777" s="21" t="s">
        <v>3198</v>
      </c>
      <c r="G3777" s="21" t="s">
        <v>153</v>
      </c>
      <c r="H3777" s="21" t="s">
        <v>1165</v>
      </c>
      <c r="I3777" s="21" t="s">
        <v>3199</v>
      </c>
      <c r="M3777" t="s">
        <v>1157</v>
      </c>
      <c r="U3777" s="21" t="s">
        <v>1246</v>
      </c>
      <c r="V3777" s="9" t="s">
        <v>1217</v>
      </c>
      <c r="W3777">
        <f>9*7</f>
        <v>63</v>
      </c>
      <c r="X3777" s="9" t="s">
        <v>3203</v>
      </c>
      <c r="Y3777" t="s">
        <v>3207</v>
      </c>
      <c r="Z3777" s="9"/>
      <c r="AD3777" t="s">
        <v>1165</v>
      </c>
      <c r="AF3777" t="s">
        <v>153</v>
      </c>
      <c r="AG3777" t="s">
        <v>3200</v>
      </c>
      <c r="AH3777">
        <f>48*60</f>
        <v>2880</v>
      </c>
      <c r="AI3777" s="21" t="s">
        <v>1165</v>
      </c>
      <c r="AJ3777" s="21" t="s">
        <v>1278</v>
      </c>
      <c r="AK3777">
        <v>0</v>
      </c>
      <c r="AN3777" s="21">
        <v>4</v>
      </c>
      <c r="AO3777" s="21">
        <v>100</v>
      </c>
      <c r="AP3777" s="21">
        <v>0</v>
      </c>
      <c r="AQ3777" s="22" t="s">
        <v>1283</v>
      </c>
      <c r="AR3777" s="21" t="s">
        <v>1279</v>
      </c>
    </row>
    <row r="3778" spans="1:44" x14ac:dyDescent="0.2">
      <c r="A3778" s="21" t="s">
        <v>1745</v>
      </c>
      <c r="B3778" s="21" t="s">
        <v>1146</v>
      </c>
      <c r="C3778" s="21" t="s">
        <v>1149</v>
      </c>
      <c r="D3778" s="21" t="s">
        <v>1743</v>
      </c>
      <c r="E3778" s="21" t="s">
        <v>1744</v>
      </c>
      <c r="F3778" s="21" t="s">
        <v>3198</v>
      </c>
      <c r="G3778" s="21" t="s">
        <v>153</v>
      </c>
      <c r="H3778" s="21" t="s">
        <v>1165</v>
      </c>
      <c r="I3778" s="21" t="s">
        <v>3199</v>
      </c>
      <c r="M3778" t="s">
        <v>1157</v>
      </c>
      <c r="U3778" s="21" t="s">
        <v>1246</v>
      </c>
      <c r="V3778" s="9" t="s">
        <v>1217</v>
      </c>
      <c r="W3778">
        <f t="shared" ref="W3778:W3786" si="46">9*7</f>
        <v>63</v>
      </c>
      <c r="X3778" s="9" t="s">
        <v>3203</v>
      </c>
      <c r="Y3778" t="s">
        <v>3207</v>
      </c>
      <c r="Z3778" s="9"/>
      <c r="AD3778" t="s">
        <v>1165</v>
      </c>
      <c r="AF3778" t="s">
        <v>153</v>
      </c>
      <c r="AG3778" t="s">
        <v>3200</v>
      </c>
      <c r="AH3778">
        <f t="shared" ref="AH3778:AH3786" si="47">48*60</f>
        <v>2880</v>
      </c>
      <c r="AI3778" s="21" t="s">
        <v>1165</v>
      </c>
      <c r="AJ3778" s="21" t="s">
        <v>1278</v>
      </c>
      <c r="AK3778">
        <v>0</v>
      </c>
      <c r="AN3778" s="21">
        <v>4</v>
      </c>
      <c r="AO3778" s="21">
        <v>100</v>
      </c>
      <c r="AP3778" s="21">
        <v>10</v>
      </c>
      <c r="AQ3778" s="22" t="s">
        <v>1283</v>
      </c>
      <c r="AR3778" s="21" t="s">
        <v>1279</v>
      </c>
    </row>
    <row r="3779" spans="1:44" x14ac:dyDescent="0.2">
      <c r="A3779" s="21" t="s">
        <v>1745</v>
      </c>
      <c r="B3779" s="21" t="s">
        <v>1146</v>
      </c>
      <c r="C3779" s="21" t="s">
        <v>1149</v>
      </c>
      <c r="D3779" s="21" t="s">
        <v>1743</v>
      </c>
      <c r="E3779" s="21" t="s">
        <v>1744</v>
      </c>
      <c r="F3779" s="21" t="s">
        <v>3198</v>
      </c>
      <c r="G3779" s="21" t="s">
        <v>153</v>
      </c>
      <c r="H3779" s="21" t="s">
        <v>1165</v>
      </c>
      <c r="I3779" s="21" t="s">
        <v>3199</v>
      </c>
      <c r="M3779" t="s">
        <v>1157</v>
      </c>
      <c r="U3779" s="21" t="s">
        <v>1246</v>
      </c>
      <c r="V3779" s="9" t="s">
        <v>1217</v>
      </c>
      <c r="W3779">
        <f t="shared" si="46"/>
        <v>63</v>
      </c>
      <c r="X3779" s="9" t="s">
        <v>3203</v>
      </c>
      <c r="Y3779" t="s">
        <v>3207</v>
      </c>
      <c r="Z3779" s="9"/>
      <c r="AD3779" t="s">
        <v>1165</v>
      </c>
      <c r="AF3779" t="s">
        <v>153</v>
      </c>
      <c r="AG3779" t="s">
        <v>3200</v>
      </c>
      <c r="AH3779">
        <f t="shared" si="47"/>
        <v>2880</v>
      </c>
      <c r="AI3779" s="21" t="s">
        <v>1165</v>
      </c>
      <c r="AJ3779" s="21" t="s">
        <v>1278</v>
      </c>
      <c r="AK3779">
        <v>0</v>
      </c>
      <c r="AN3779" s="21">
        <v>4</v>
      </c>
      <c r="AO3779" s="21">
        <v>100</v>
      </c>
      <c r="AP3779" s="21">
        <v>20</v>
      </c>
      <c r="AQ3779" s="22" t="s">
        <v>1283</v>
      </c>
      <c r="AR3779" s="21" t="s">
        <v>1279</v>
      </c>
    </row>
    <row r="3780" spans="1:44" x14ac:dyDescent="0.2">
      <c r="A3780" s="21" t="s">
        <v>1745</v>
      </c>
      <c r="B3780" s="21" t="s">
        <v>1146</v>
      </c>
      <c r="C3780" s="21" t="s">
        <v>1149</v>
      </c>
      <c r="D3780" s="21" t="s">
        <v>1743</v>
      </c>
      <c r="E3780" s="21" t="s">
        <v>1744</v>
      </c>
      <c r="F3780" s="21" t="s">
        <v>3198</v>
      </c>
      <c r="G3780" s="21" t="s">
        <v>153</v>
      </c>
      <c r="H3780" s="21" t="s">
        <v>1165</v>
      </c>
      <c r="I3780" s="21" t="s">
        <v>3199</v>
      </c>
      <c r="M3780" t="s">
        <v>1157</v>
      </c>
      <c r="U3780" s="21" t="s">
        <v>1246</v>
      </c>
      <c r="V3780" s="9" t="s">
        <v>1217</v>
      </c>
      <c r="W3780">
        <f t="shared" si="46"/>
        <v>63</v>
      </c>
      <c r="X3780" s="9" t="s">
        <v>3203</v>
      </c>
      <c r="Y3780" t="s">
        <v>3207</v>
      </c>
      <c r="Z3780" s="9"/>
      <c r="AD3780" t="s">
        <v>1165</v>
      </c>
      <c r="AF3780" t="s">
        <v>153</v>
      </c>
      <c r="AG3780" t="s">
        <v>3200</v>
      </c>
      <c r="AH3780">
        <f t="shared" si="47"/>
        <v>2880</v>
      </c>
      <c r="AI3780" s="21" t="s">
        <v>1165</v>
      </c>
      <c r="AJ3780" s="21" t="s">
        <v>1278</v>
      </c>
      <c r="AK3780">
        <v>0</v>
      </c>
      <c r="AN3780" s="21">
        <v>4</v>
      </c>
      <c r="AO3780" s="21">
        <v>100</v>
      </c>
      <c r="AP3780" s="21">
        <v>30</v>
      </c>
      <c r="AQ3780" s="22" t="s">
        <v>1283</v>
      </c>
      <c r="AR3780" s="21" t="s">
        <v>1279</v>
      </c>
    </row>
    <row r="3781" spans="1:44" x14ac:dyDescent="0.2">
      <c r="A3781" s="21" t="s">
        <v>1745</v>
      </c>
      <c r="B3781" s="21" t="s">
        <v>1146</v>
      </c>
      <c r="C3781" s="21" t="s">
        <v>1149</v>
      </c>
      <c r="D3781" s="21" t="s">
        <v>1743</v>
      </c>
      <c r="E3781" s="21" t="s">
        <v>1744</v>
      </c>
      <c r="F3781" s="21" t="s">
        <v>3198</v>
      </c>
      <c r="G3781" s="21" t="s">
        <v>153</v>
      </c>
      <c r="H3781" s="21" t="s">
        <v>1165</v>
      </c>
      <c r="I3781" s="21" t="s">
        <v>3199</v>
      </c>
      <c r="M3781" t="s">
        <v>1157</v>
      </c>
      <c r="U3781" s="21" t="s">
        <v>1246</v>
      </c>
      <c r="V3781" s="9" t="s">
        <v>1217</v>
      </c>
      <c r="W3781">
        <f t="shared" si="46"/>
        <v>63</v>
      </c>
      <c r="X3781" s="9" t="s">
        <v>3203</v>
      </c>
      <c r="Y3781" t="s">
        <v>3207</v>
      </c>
      <c r="Z3781" s="9"/>
      <c r="AD3781" t="s">
        <v>1165</v>
      </c>
      <c r="AF3781" t="s">
        <v>153</v>
      </c>
      <c r="AG3781" t="s">
        <v>3200</v>
      </c>
      <c r="AH3781">
        <f t="shared" si="47"/>
        <v>2880</v>
      </c>
      <c r="AI3781" s="21" t="s">
        <v>1165</v>
      </c>
      <c r="AJ3781" s="21" t="s">
        <v>1278</v>
      </c>
      <c r="AK3781">
        <v>3.3109999999999999</v>
      </c>
      <c r="AN3781" s="21">
        <v>4</v>
      </c>
      <c r="AO3781" s="21">
        <v>100</v>
      </c>
      <c r="AP3781" s="21">
        <v>40</v>
      </c>
      <c r="AQ3781" s="22" t="s">
        <v>1283</v>
      </c>
      <c r="AR3781" s="21" t="s">
        <v>1279</v>
      </c>
    </row>
    <row r="3782" spans="1:44" x14ac:dyDescent="0.2">
      <c r="A3782" s="21" t="s">
        <v>1745</v>
      </c>
      <c r="B3782" s="21" t="s">
        <v>1146</v>
      </c>
      <c r="C3782" s="21" t="s">
        <v>1149</v>
      </c>
      <c r="D3782" s="21" t="s">
        <v>1743</v>
      </c>
      <c r="E3782" s="21" t="s">
        <v>1744</v>
      </c>
      <c r="F3782" s="21" t="s">
        <v>3198</v>
      </c>
      <c r="G3782" s="21" t="s">
        <v>153</v>
      </c>
      <c r="H3782" s="21" t="s">
        <v>1165</v>
      </c>
      <c r="I3782" s="21" t="s">
        <v>3199</v>
      </c>
      <c r="M3782" t="s">
        <v>1157</v>
      </c>
      <c r="U3782" s="21" t="s">
        <v>1246</v>
      </c>
      <c r="V3782" s="9" t="s">
        <v>1217</v>
      </c>
      <c r="W3782">
        <f t="shared" si="46"/>
        <v>63</v>
      </c>
      <c r="X3782" s="9" t="s">
        <v>3203</v>
      </c>
      <c r="Y3782" t="s">
        <v>3207</v>
      </c>
      <c r="Z3782" s="9"/>
      <c r="AD3782" t="s">
        <v>1165</v>
      </c>
      <c r="AF3782" t="s">
        <v>153</v>
      </c>
      <c r="AG3782" t="s">
        <v>3200</v>
      </c>
      <c r="AH3782">
        <f t="shared" si="47"/>
        <v>2880</v>
      </c>
      <c r="AI3782" s="21" t="s">
        <v>1165</v>
      </c>
      <c r="AJ3782" s="21" t="s">
        <v>1278</v>
      </c>
      <c r="AK3782">
        <v>4.1669999999999998</v>
      </c>
      <c r="AN3782" s="21">
        <v>4</v>
      </c>
      <c r="AO3782" s="21">
        <v>100</v>
      </c>
      <c r="AP3782" s="21">
        <v>50</v>
      </c>
      <c r="AQ3782" s="22" t="s">
        <v>1283</v>
      </c>
      <c r="AR3782" s="21" t="s">
        <v>1279</v>
      </c>
    </row>
    <row r="3783" spans="1:44" x14ac:dyDescent="0.2">
      <c r="A3783" s="21" t="s">
        <v>1745</v>
      </c>
      <c r="B3783" s="21" t="s">
        <v>1146</v>
      </c>
      <c r="C3783" s="21" t="s">
        <v>1149</v>
      </c>
      <c r="D3783" s="21" t="s">
        <v>1743</v>
      </c>
      <c r="E3783" s="21" t="s">
        <v>1744</v>
      </c>
      <c r="F3783" s="21" t="s">
        <v>3198</v>
      </c>
      <c r="G3783" s="21" t="s">
        <v>153</v>
      </c>
      <c r="H3783" s="21" t="s">
        <v>1165</v>
      </c>
      <c r="I3783" s="21" t="s">
        <v>3199</v>
      </c>
      <c r="M3783" t="s">
        <v>1157</v>
      </c>
      <c r="U3783" s="21" t="s">
        <v>1246</v>
      </c>
      <c r="V3783" s="9" t="s">
        <v>1217</v>
      </c>
      <c r="W3783">
        <f t="shared" si="46"/>
        <v>63</v>
      </c>
      <c r="X3783" s="9" t="s">
        <v>3203</v>
      </c>
      <c r="Y3783" t="s">
        <v>3207</v>
      </c>
      <c r="Z3783" s="9"/>
      <c r="AD3783" t="s">
        <v>1165</v>
      </c>
      <c r="AF3783" t="s">
        <v>153</v>
      </c>
      <c r="AG3783" t="s">
        <v>3200</v>
      </c>
      <c r="AH3783">
        <f t="shared" si="47"/>
        <v>2880</v>
      </c>
      <c r="AI3783" s="21" t="s">
        <v>1165</v>
      </c>
      <c r="AJ3783" s="21" t="s">
        <v>1278</v>
      </c>
      <c r="AK3783">
        <v>8.14</v>
      </c>
      <c r="AN3783" s="21">
        <v>4</v>
      </c>
      <c r="AO3783" s="21">
        <v>100</v>
      </c>
      <c r="AP3783" s="21">
        <v>60</v>
      </c>
      <c r="AQ3783" s="22" t="s">
        <v>1283</v>
      </c>
      <c r="AR3783" s="21" t="s">
        <v>1279</v>
      </c>
    </row>
    <row r="3784" spans="1:44" x14ac:dyDescent="0.2">
      <c r="A3784" s="21" t="s">
        <v>1745</v>
      </c>
      <c r="B3784" s="21" t="s">
        <v>1146</v>
      </c>
      <c r="C3784" s="21" t="s">
        <v>1149</v>
      </c>
      <c r="D3784" s="21" t="s">
        <v>1743</v>
      </c>
      <c r="E3784" s="21" t="s">
        <v>1744</v>
      </c>
      <c r="F3784" s="21" t="s">
        <v>3198</v>
      </c>
      <c r="G3784" s="21" t="s">
        <v>153</v>
      </c>
      <c r="H3784" s="21" t="s">
        <v>1165</v>
      </c>
      <c r="I3784" s="21" t="s">
        <v>3199</v>
      </c>
      <c r="M3784" t="s">
        <v>1157</v>
      </c>
      <c r="U3784" s="21" t="s">
        <v>1246</v>
      </c>
      <c r="V3784" s="9" t="s">
        <v>1217</v>
      </c>
      <c r="W3784">
        <f t="shared" si="46"/>
        <v>63</v>
      </c>
      <c r="X3784" s="9" t="s">
        <v>3203</v>
      </c>
      <c r="Y3784" t="s">
        <v>3207</v>
      </c>
      <c r="Z3784" s="9"/>
      <c r="AD3784" t="s">
        <v>1165</v>
      </c>
      <c r="AF3784" t="s">
        <v>153</v>
      </c>
      <c r="AG3784" t="s">
        <v>3200</v>
      </c>
      <c r="AH3784">
        <f t="shared" si="47"/>
        <v>2880</v>
      </c>
      <c r="AI3784" s="21" t="s">
        <v>1165</v>
      </c>
      <c r="AJ3784" s="21" t="s">
        <v>1278</v>
      </c>
      <c r="AK3784">
        <v>10.789</v>
      </c>
      <c r="AN3784" s="21">
        <v>4</v>
      </c>
      <c r="AO3784" s="21">
        <v>100</v>
      </c>
      <c r="AP3784" s="21">
        <v>70</v>
      </c>
      <c r="AQ3784" s="22" t="s">
        <v>1283</v>
      </c>
      <c r="AR3784" s="21" t="s">
        <v>1279</v>
      </c>
    </row>
    <row r="3785" spans="1:44" x14ac:dyDescent="0.2">
      <c r="A3785" s="21" t="s">
        <v>1745</v>
      </c>
      <c r="B3785" s="21" t="s">
        <v>1146</v>
      </c>
      <c r="C3785" s="21" t="s">
        <v>1149</v>
      </c>
      <c r="D3785" s="21" t="s">
        <v>1743</v>
      </c>
      <c r="E3785" s="21" t="s">
        <v>1744</v>
      </c>
      <c r="F3785" s="21" t="s">
        <v>3198</v>
      </c>
      <c r="G3785" s="21" t="s">
        <v>153</v>
      </c>
      <c r="H3785" s="21" t="s">
        <v>1165</v>
      </c>
      <c r="I3785" s="21" t="s">
        <v>3199</v>
      </c>
      <c r="M3785" t="s">
        <v>1157</v>
      </c>
      <c r="U3785" s="21" t="s">
        <v>1246</v>
      </c>
      <c r="V3785" s="9" t="s">
        <v>1217</v>
      </c>
      <c r="W3785">
        <f t="shared" si="46"/>
        <v>63</v>
      </c>
      <c r="X3785" s="9" t="s">
        <v>3203</v>
      </c>
      <c r="Y3785" t="s">
        <v>3207</v>
      </c>
      <c r="Z3785" s="9"/>
      <c r="AD3785" t="s">
        <v>1165</v>
      </c>
      <c r="AF3785" t="s">
        <v>153</v>
      </c>
      <c r="AG3785" t="s">
        <v>3200</v>
      </c>
      <c r="AH3785">
        <f t="shared" si="47"/>
        <v>2880</v>
      </c>
      <c r="AI3785" s="21" t="s">
        <v>1165</v>
      </c>
      <c r="AJ3785" s="21" t="s">
        <v>1278</v>
      </c>
      <c r="AK3785">
        <v>19.398</v>
      </c>
      <c r="AN3785" s="21">
        <v>4</v>
      </c>
      <c r="AO3785" s="21">
        <v>100</v>
      </c>
      <c r="AP3785" s="21">
        <v>80</v>
      </c>
      <c r="AQ3785" s="22" t="s">
        <v>1283</v>
      </c>
      <c r="AR3785" s="21" t="s">
        <v>1279</v>
      </c>
    </row>
    <row r="3786" spans="1:44" x14ac:dyDescent="0.2">
      <c r="A3786" s="21" t="s">
        <v>1745</v>
      </c>
      <c r="B3786" s="21" t="s">
        <v>1146</v>
      </c>
      <c r="C3786" s="21" t="s">
        <v>1149</v>
      </c>
      <c r="D3786" s="21" t="s">
        <v>1743</v>
      </c>
      <c r="E3786" s="21" t="s">
        <v>1744</v>
      </c>
      <c r="F3786" s="21" t="s">
        <v>3198</v>
      </c>
      <c r="G3786" s="21" t="s">
        <v>153</v>
      </c>
      <c r="H3786" s="21" t="s">
        <v>1165</v>
      </c>
      <c r="I3786" s="21" t="s">
        <v>3199</v>
      </c>
      <c r="M3786" t="s">
        <v>1157</v>
      </c>
      <c r="U3786" s="21" t="s">
        <v>1246</v>
      </c>
      <c r="V3786" s="9" t="s">
        <v>1217</v>
      </c>
      <c r="W3786">
        <f t="shared" si="46"/>
        <v>63</v>
      </c>
      <c r="X3786" s="9" t="s">
        <v>3203</v>
      </c>
      <c r="Y3786" t="s">
        <v>3207</v>
      </c>
      <c r="Z3786" s="9"/>
      <c r="AD3786" t="s">
        <v>1165</v>
      </c>
      <c r="AF3786" t="s">
        <v>153</v>
      </c>
      <c r="AG3786" t="s">
        <v>3200</v>
      </c>
      <c r="AH3786">
        <f t="shared" si="47"/>
        <v>2880</v>
      </c>
      <c r="AI3786" s="21" t="s">
        <v>1165</v>
      </c>
      <c r="AJ3786" s="21" t="s">
        <v>1278</v>
      </c>
      <c r="AK3786">
        <v>29.332000000000001</v>
      </c>
      <c r="AN3786" s="21">
        <v>4</v>
      </c>
      <c r="AO3786" s="21">
        <v>100</v>
      </c>
      <c r="AP3786" s="21">
        <v>84</v>
      </c>
      <c r="AQ3786" s="22" t="s">
        <v>1283</v>
      </c>
      <c r="AR3786" s="21" t="s">
        <v>1279</v>
      </c>
    </row>
    <row r="3787" spans="1:44" x14ac:dyDescent="0.2">
      <c r="A3787" s="21" t="s">
        <v>1745</v>
      </c>
      <c r="B3787" s="21" t="s">
        <v>1146</v>
      </c>
      <c r="C3787" s="21" t="s">
        <v>1149</v>
      </c>
      <c r="D3787" s="21" t="s">
        <v>1743</v>
      </c>
      <c r="E3787" s="21" t="s">
        <v>1744</v>
      </c>
      <c r="F3787" s="21" t="s">
        <v>3198</v>
      </c>
      <c r="G3787" s="21" t="s">
        <v>153</v>
      </c>
      <c r="H3787" s="21" t="s">
        <v>1165</v>
      </c>
      <c r="I3787" s="21" t="s">
        <v>3199</v>
      </c>
      <c r="M3787" t="s">
        <v>1157</v>
      </c>
      <c r="U3787" s="21" t="s">
        <v>1246</v>
      </c>
      <c r="V3787" s="9" t="s">
        <v>1217</v>
      </c>
      <c r="W3787">
        <f>16*7</f>
        <v>112</v>
      </c>
      <c r="X3787" s="9" t="s">
        <v>3203</v>
      </c>
      <c r="Y3787" t="s">
        <v>3207</v>
      </c>
      <c r="Z3787" s="9"/>
      <c r="AD3787" t="s">
        <v>1165</v>
      </c>
      <c r="AF3787" t="s">
        <v>153</v>
      </c>
      <c r="AG3787" t="s">
        <v>3200</v>
      </c>
      <c r="AH3787">
        <f>48*60</f>
        <v>2880</v>
      </c>
      <c r="AI3787" s="21" t="s">
        <v>1165</v>
      </c>
      <c r="AJ3787" s="21" t="s">
        <v>1278</v>
      </c>
      <c r="AK3787">
        <v>0</v>
      </c>
      <c r="AN3787" s="21">
        <v>4</v>
      </c>
      <c r="AO3787" s="21">
        <v>100</v>
      </c>
      <c r="AP3787" s="21">
        <v>0</v>
      </c>
      <c r="AQ3787" s="22" t="s">
        <v>1283</v>
      </c>
      <c r="AR3787" s="21" t="s">
        <v>1279</v>
      </c>
    </row>
    <row r="3788" spans="1:44" x14ac:dyDescent="0.2">
      <c r="A3788" s="21" t="s">
        <v>1745</v>
      </c>
      <c r="B3788" s="21" t="s">
        <v>1146</v>
      </c>
      <c r="C3788" s="21" t="s">
        <v>1149</v>
      </c>
      <c r="D3788" s="21" t="s">
        <v>1743</v>
      </c>
      <c r="E3788" s="21" t="s">
        <v>1744</v>
      </c>
      <c r="F3788" s="21" t="s">
        <v>3198</v>
      </c>
      <c r="G3788" s="21" t="s">
        <v>153</v>
      </c>
      <c r="H3788" s="21" t="s">
        <v>1165</v>
      </c>
      <c r="I3788" s="21" t="s">
        <v>3199</v>
      </c>
      <c r="M3788" t="s">
        <v>1157</v>
      </c>
      <c r="U3788" s="21" t="s">
        <v>1246</v>
      </c>
      <c r="V3788" s="9" t="s">
        <v>1217</v>
      </c>
      <c r="W3788">
        <f t="shared" ref="W3788:W3796" si="48">16*7</f>
        <v>112</v>
      </c>
      <c r="X3788" s="9" t="s">
        <v>3203</v>
      </c>
      <c r="Y3788" t="s">
        <v>3207</v>
      </c>
      <c r="Z3788" s="9"/>
      <c r="AD3788" t="s">
        <v>1165</v>
      </c>
      <c r="AF3788" t="s">
        <v>153</v>
      </c>
      <c r="AG3788" t="s">
        <v>3200</v>
      </c>
      <c r="AH3788">
        <f t="shared" ref="AH3788:AH3796" si="49">48*60</f>
        <v>2880</v>
      </c>
      <c r="AI3788" s="21" t="s">
        <v>1165</v>
      </c>
      <c r="AJ3788" s="21" t="s">
        <v>1278</v>
      </c>
      <c r="AK3788">
        <v>0</v>
      </c>
      <c r="AN3788" s="21">
        <v>4</v>
      </c>
      <c r="AO3788" s="21">
        <v>100</v>
      </c>
      <c r="AP3788" s="21">
        <v>10</v>
      </c>
      <c r="AQ3788" s="22" t="s">
        <v>1283</v>
      </c>
      <c r="AR3788" s="21" t="s">
        <v>1279</v>
      </c>
    </row>
    <row r="3789" spans="1:44" x14ac:dyDescent="0.2">
      <c r="A3789" s="21" t="s">
        <v>1745</v>
      </c>
      <c r="B3789" s="21" t="s">
        <v>1146</v>
      </c>
      <c r="C3789" s="21" t="s">
        <v>1149</v>
      </c>
      <c r="D3789" s="21" t="s">
        <v>1743</v>
      </c>
      <c r="E3789" s="21" t="s">
        <v>1744</v>
      </c>
      <c r="F3789" s="21" t="s">
        <v>3198</v>
      </c>
      <c r="G3789" s="21" t="s">
        <v>153</v>
      </c>
      <c r="H3789" s="21" t="s">
        <v>1165</v>
      </c>
      <c r="I3789" s="21" t="s">
        <v>3199</v>
      </c>
      <c r="M3789" t="s">
        <v>1157</v>
      </c>
      <c r="U3789" s="21" t="s">
        <v>1246</v>
      </c>
      <c r="V3789" s="9" t="s">
        <v>1217</v>
      </c>
      <c r="W3789">
        <f t="shared" si="48"/>
        <v>112</v>
      </c>
      <c r="X3789" s="9" t="s">
        <v>3203</v>
      </c>
      <c r="Y3789" t="s">
        <v>3207</v>
      </c>
      <c r="Z3789" s="9"/>
      <c r="AD3789" t="s">
        <v>1165</v>
      </c>
      <c r="AF3789" t="s">
        <v>153</v>
      </c>
      <c r="AG3789" t="s">
        <v>3200</v>
      </c>
      <c r="AH3789">
        <f t="shared" si="49"/>
        <v>2880</v>
      </c>
      <c r="AI3789" s="21" t="s">
        <v>1165</v>
      </c>
      <c r="AJ3789" s="21" t="s">
        <v>1278</v>
      </c>
      <c r="AK3789">
        <v>0</v>
      </c>
      <c r="AN3789" s="21">
        <v>4</v>
      </c>
      <c r="AO3789" s="21">
        <v>100</v>
      </c>
      <c r="AP3789" s="21">
        <v>20</v>
      </c>
      <c r="AQ3789" s="22" t="s">
        <v>1283</v>
      </c>
      <c r="AR3789" s="21" t="s">
        <v>1279</v>
      </c>
    </row>
    <row r="3790" spans="1:44" x14ac:dyDescent="0.2">
      <c r="A3790" s="21" t="s">
        <v>1745</v>
      </c>
      <c r="B3790" s="21" t="s">
        <v>1146</v>
      </c>
      <c r="C3790" s="21" t="s">
        <v>1149</v>
      </c>
      <c r="D3790" s="21" t="s">
        <v>1743</v>
      </c>
      <c r="E3790" s="21" t="s">
        <v>1744</v>
      </c>
      <c r="F3790" s="21" t="s">
        <v>3198</v>
      </c>
      <c r="G3790" s="21" t="s">
        <v>153</v>
      </c>
      <c r="H3790" s="21" t="s">
        <v>1165</v>
      </c>
      <c r="I3790" s="21" t="s">
        <v>3199</v>
      </c>
      <c r="M3790" t="s">
        <v>1157</v>
      </c>
      <c r="U3790" s="21" t="s">
        <v>1246</v>
      </c>
      <c r="V3790" s="9" t="s">
        <v>1217</v>
      </c>
      <c r="W3790">
        <f t="shared" si="48"/>
        <v>112</v>
      </c>
      <c r="X3790" s="9" t="s">
        <v>3203</v>
      </c>
      <c r="Y3790" t="s">
        <v>3207</v>
      </c>
      <c r="Z3790" s="9"/>
      <c r="AD3790" t="s">
        <v>1165</v>
      </c>
      <c r="AF3790" t="s">
        <v>153</v>
      </c>
      <c r="AG3790" t="s">
        <v>3200</v>
      </c>
      <c r="AH3790">
        <f t="shared" si="49"/>
        <v>2880</v>
      </c>
      <c r="AI3790" s="21" t="s">
        <v>1165</v>
      </c>
      <c r="AJ3790" s="21" t="s">
        <v>1278</v>
      </c>
      <c r="AK3790">
        <v>0</v>
      </c>
      <c r="AN3790" s="21">
        <v>4</v>
      </c>
      <c r="AO3790" s="21">
        <v>100</v>
      </c>
      <c r="AP3790" s="21">
        <v>30</v>
      </c>
      <c r="AQ3790" s="22" t="s">
        <v>1283</v>
      </c>
      <c r="AR3790" s="21" t="s">
        <v>1279</v>
      </c>
    </row>
    <row r="3791" spans="1:44" x14ac:dyDescent="0.2">
      <c r="A3791" s="21" t="s">
        <v>1745</v>
      </c>
      <c r="B3791" s="21" t="s">
        <v>1146</v>
      </c>
      <c r="C3791" s="21" t="s">
        <v>1149</v>
      </c>
      <c r="D3791" s="21" t="s">
        <v>1743</v>
      </c>
      <c r="E3791" s="21" t="s">
        <v>1744</v>
      </c>
      <c r="F3791" s="21" t="s">
        <v>3198</v>
      </c>
      <c r="G3791" s="21" t="s">
        <v>153</v>
      </c>
      <c r="H3791" s="21" t="s">
        <v>1165</v>
      </c>
      <c r="I3791" s="21" t="s">
        <v>3199</v>
      </c>
      <c r="M3791" t="s">
        <v>1157</v>
      </c>
      <c r="U3791" s="21" t="s">
        <v>1246</v>
      </c>
      <c r="V3791" s="9" t="s">
        <v>1217</v>
      </c>
      <c r="W3791">
        <f t="shared" si="48"/>
        <v>112</v>
      </c>
      <c r="X3791" s="9" t="s">
        <v>3203</v>
      </c>
      <c r="Y3791" t="s">
        <v>3207</v>
      </c>
      <c r="Z3791" s="9"/>
      <c r="AD3791" t="s">
        <v>1165</v>
      </c>
      <c r="AF3791" t="s">
        <v>153</v>
      </c>
      <c r="AG3791" t="s">
        <v>3200</v>
      </c>
      <c r="AH3791">
        <f t="shared" si="49"/>
        <v>2880</v>
      </c>
      <c r="AI3791" s="21" t="s">
        <v>1165</v>
      </c>
      <c r="AJ3791" s="21" t="s">
        <v>1278</v>
      </c>
      <c r="AK3791">
        <v>5.9329999999999998</v>
      </c>
      <c r="AN3791" s="21">
        <v>4</v>
      </c>
      <c r="AO3791" s="21">
        <v>100</v>
      </c>
      <c r="AP3791" s="21">
        <v>40</v>
      </c>
      <c r="AQ3791" s="22" t="s">
        <v>1283</v>
      </c>
      <c r="AR3791" s="21" t="s">
        <v>1279</v>
      </c>
    </row>
    <row r="3792" spans="1:44" x14ac:dyDescent="0.2">
      <c r="A3792" s="21" t="s">
        <v>1745</v>
      </c>
      <c r="B3792" s="21" t="s">
        <v>1146</v>
      </c>
      <c r="C3792" s="21" t="s">
        <v>1149</v>
      </c>
      <c r="D3792" s="21" t="s">
        <v>1743</v>
      </c>
      <c r="E3792" s="21" t="s">
        <v>1744</v>
      </c>
      <c r="F3792" s="21" t="s">
        <v>3198</v>
      </c>
      <c r="G3792" s="21" t="s">
        <v>153</v>
      </c>
      <c r="H3792" s="21" t="s">
        <v>1165</v>
      </c>
      <c r="I3792" s="21" t="s">
        <v>3199</v>
      </c>
      <c r="M3792" t="s">
        <v>1157</v>
      </c>
      <c r="U3792" s="21" t="s">
        <v>1246</v>
      </c>
      <c r="V3792" s="9" t="s">
        <v>1217</v>
      </c>
      <c r="W3792">
        <f t="shared" si="48"/>
        <v>112</v>
      </c>
      <c r="X3792" s="9" t="s">
        <v>3203</v>
      </c>
      <c r="Y3792" t="s">
        <v>3207</v>
      </c>
      <c r="Z3792" s="9"/>
      <c r="AD3792" t="s">
        <v>1165</v>
      </c>
      <c r="AF3792" t="s">
        <v>153</v>
      </c>
      <c r="AG3792" t="s">
        <v>3200</v>
      </c>
      <c r="AH3792">
        <f t="shared" si="49"/>
        <v>2880</v>
      </c>
      <c r="AI3792" s="21" t="s">
        <v>1165</v>
      </c>
      <c r="AJ3792" s="21" t="s">
        <v>1278</v>
      </c>
      <c r="AK3792">
        <v>11.672000000000001</v>
      </c>
      <c r="AN3792" s="21">
        <v>4</v>
      </c>
      <c r="AO3792" s="21">
        <v>100</v>
      </c>
      <c r="AP3792" s="21">
        <v>50</v>
      </c>
      <c r="AQ3792" s="22" t="s">
        <v>1283</v>
      </c>
      <c r="AR3792" s="21" t="s">
        <v>1279</v>
      </c>
    </row>
    <row r="3793" spans="1:44" x14ac:dyDescent="0.2">
      <c r="A3793" s="21" t="s">
        <v>1745</v>
      </c>
      <c r="B3793" s="21" t="s">
        <v>1146</v>
      </c>
      <c r="C3793" s="21" t="s">
        <v>1149</v>
      </c>
      <c r="D3793" s="21" t="s">
        <v>1743</v>
      </c>
      <c r="E3793" s="21" t="s">
        <v>1744</v>
      </c>
      <c r="F3793" s="21" t="s">
        <v>3198</v>
      </c>
      <c r="G3793" s="21" t="s">
        <v>153</v>
      </c>
      <c r="H3793" s="21" t="s">
        <v>1165</v>
      </c>
      <c r="I3793" s="21" t="s">
        <v>3199</v>
      </c>
      <c r="M3793" t="s">
        <v>1157</v>
      </c>
      <c r="U3793" s="21" t="s">
        <v>1246</v>
      </c>
      <c r="V3793" s="9" t="s">
        <v>1217</v>
      </c>
      <c r="W3793">
        <f t="shared" si="48"/>
        <v>112</v>
      </c>
      <c r="X3793" s="9" t="s">
        <v>3203</v>
      </c>
      <c r="Y3793" t="s">
        <v>3207</v>
      </c>
      <c r="Z3793" s="9"/>
      <c r="AD3793" t="s">
        <v>1165</v>
      </c>
      <c r="AF3793" t="s">
        <v>153</v>
      </c>
      <c r="AG3793" t="s">
        <v>3200</v>
      </c>
      <c r="AH3793">
        <f t="shared" si="49"/>
        <v>2880</v>
      </c>
      <c r="AI3793" s="21" t="s">
        <v>1165</v>
      </c>
      <c r="AJ3793" s="21" t="s">
        <v>1278</v>
      </c>
      <c r="AK3793">
        <v>22.71</v>
      </c>
      <c r="AN3793" s="21">
        <v>4</v>
      </c>
      <c r="AO3793" s="21">
        <v>100</v>
      </c>
      <c r="AP3793" s="21">
        <v>60</v>
      </c>
      <c r="AQ3793" s="22" t="s">
        <v>1283</v>
      </c>
      <c r="AR3793" s="21" t="s">
        <v>1279</v>
      </c>
    </row>
    <row r="3794" spans="1:44" x14ac:dyDescent="0.2">
      <c r="A3794" s="21" t="s">
        <v>1745</v>
      </c>
      <c r="B3794" s="21" t="s">
        <v>1146</v>
      </c>
      <c r="C3794" s="21" t="s">
        <v>1149</v>
      </c>
      <c r="D3794" s="21" t="s">
        <v>1743</v>
      </c>
      <c r="E3794" s="21" t="s">
        <v>1744</v>
      </c>
      <c r="F3794" s="21" t="s">
        <v>3198</v>
      </c>
      <c r="G3794" s="21" t="s">
        <v>153</v>
      </c>
      <c r="H3794" s="21" t="s">
        <v>1165</v>
      </c>
      <c r="I3794" s="21" t="s">
        <v>3199</v>
      </c>
      <c r="M3794" t="s">
        <v>1157</v>
      </c>
      <c r="U3794" s="21" t="s">
        <v>1246</v>
      </c>
      <c r="V3794" s="9" t="s">
        <v>1217</v>
      </c>
      <c r="W3794">
        <f t="shared" si="48"/>
        <v>112</v>
      </c>
      <c r="X3794" s="9" t="s">
        <v>3203</v>
      </c>
      <c r="Y3794" t="s">
        <v>3207</v>
      </c>
      <c r="Z3794" s="9"/>
      <c r="AD3794" t="s">
        <v>1165</v>
      </c>
      <c r="AF3794" t="s">
        <v>153</v>
      </c>
      <c r="AG3794" t="s">
        <v>3200</v>
      </c>
      <c r="AH3794">
        <f t="shared" si="49"/>
        <v>2880</v>
      </c>
      <c r="AI3794" s="21" t="s">
        <v>1165</v>
      </c>
      <c r="AJ3794" s="21" t="s">
        <v>1278</v>
      </c>
      <c r="AK3794">
        <v>27.786999999999999</v>
      </c>
      <c r="AN3794" s="21">
        <v>4</v>
      </c>
      <c r="AO3794" s="21">
        <v>100</v>
      </c>
      <c r="AP3794" s="21">
        <v>70</v>
      </c>
      <c r="AQ3794" s="22" t="s">
        <v>1283</v>
      </c>
      <c r="AR3794" s="21" t="s">
        <v>1279</v>
      </c>
    </row>
    <row r="3795" spans="1:44" x14ac:dyDescent="0.2">
      <c r="A3795" s="21" t="s">
        <v>1745</v>
      </c>
      <c r="B3795" s="21" t="s">
        <v>1146</v>
      </c>
      <c r="C3795" s="21" t="s">
        <v>1149</v>
      </c>
      <c r="D3795" s="21" t="s">
        <v>1743</v>
      </c>
      <c r="E3795" s="21" t="s">
        <v>1744</v>
      </c>
      <c r="F3795" s="21" t="s">
        <v>3198</v>
      </c>
      <c r="G3795" s="21" t="s">
        <v>153</v>
      </c>
      <c r="H3795" s="21" t="s">
        <v>1165</v>
      </c>
      <c r="I3795" s="21" t="s">
        <v>3199</v>
      </c>
      <c r="M3795" t="s">
        <v>1157</v>
      </c>
      <c r="U3795" s="21" t="s">
        <v>1246</v>
      </c>
      <c r="V3795" s="9" t="s">
        <v>1217</v>
      </c>
      <c r="W3795">
        <f t="shared" si="48"/>
        <v>112</v>
      </c>
      <c r="X3795" s="9" t="s">
        <v>3203</v>
      </c>
      <c r="Y3795" t="s">
        <v>3207</v>
      </c>
      <c r="Z3795" s="9"/>
      <c r="AD3795" t="s">
        <v>1165</v>
      </c>
      <c r="AF3795" t="s">
        <v>153</v>
      </c>
      <c r="AG3795" t="s">
        <v>3200</v>
      </c>
      <c r="AH3795">
        <f t="shared" si="49"/>
        <v>2880</v>
      </c>
      <c r="AI3795" s="21" t="s">
        <v>1165</v>
      </c>
      <c r="AJ3795" s="21" t="s">
        <v>1278</v>
      </c>
      <c r="AK3795">
        <v>46.551000000000002</v>
      </c>
      <c r="AN3795" s="21">
        <v>4</v>
      </c>
      <c r="AO3795" s="21">
        <v>100</v>
      </c>
      <c r="AP3795" s="21">
        <v>80</v>
      </c>
      <c r="AQ3795" s="22" t="s">
        <v>1283</v>
      </c>
      <c r="AR3795" s="21" t="s">
        <v>1279</v>
      </c>
    </row>
    <row r="3796" spans="1:44" x14ac:dyDescent="0.2">
      <c r="A3796" s="21" t="s">
        <v>1745</v>
      </c>
      <c r="B3796" s="21" t="s">
        <v>1146</v>
      </c>
      <c r="C3796" s="21" t="s">
        <v>1149</v>
      </c>
      <c r="D3796" s="21" t="s">
        <v>1743</v>
      </c>
      <c r="E3796" s="21" t="s">
        <v>1744</v>
      </c>
      <c r="F3796" s="21" t="s">
        <v>3198</v>
      </c>
      <c r="G3796" s="21" t="s">
        <v>153</v>
      </c>
      <c r="H3796" s="21" t="s">
        <v>1165</v>
      </c>
      <c r="I3796" s="21" t="s">
        <v>3199</v>
      </c>
      <c r="M3796" t="s">
        <v>1157</v>
      </c>
      <c r="U3796" s="21" t="s">
        <v>1246</v>
      </c>
      <c r="V3796" s="9" t="s">
        <v>1217</v>
      </c>
      <c r="W3796">
        <f t="shared" si="48"/>
        <v>112</v>
      </c>
      <c r="X3796" s="9" t="s">
        <v>3203</v>
      </c>
      <c r="Y3796" t="s">
        <v>3207</v>
      </c>
      <c r="Z3796" s="9"/>
      <c r="AD3796" t="s">
        <v>1165</v>
      </c>
      <c r="AF3796" t="s">
        <v>153</v>
      </c>
      <c r="AG3796" t="s">
        <v>3200</v>
      </c>
      <c r="AH3796">
        <f t="shared" si="49"/>
        <v>2880</v>
      </c>
      <c r="AI3796" s="21" t="s">
        <v>1165</v>
      </c>
      <c r="AJ3796" s="21" t="s">
        <v>1278</v>
      </c>
      <c r="AK3796">
        <v>52.511000000000003</v>
      </c>
      <c r="AN3796" s="21">
        <v>4</v>
      </c>
      <c r="AO3796" s="21">
        <v>100</v>
      </c>
      <c r="AP3796" s="21">
        <v>84</v>
      </c>
      <c r="AQ3796" s="22" t="s">
        <v>1283</v>
      </c>
      <c r="AR3796" s="21" t="s">
        <v>1279</v>
      </c>
    </row>
    <row r="3797" spans="1:44" x14ac:dyDescent="0.2">
      <c r="A3797" s="21" t="s">
        <v>1745</v>
      </c>
      <c r="B3797" s="21" t="s">
        <v>1146</v>
      </c>
      <c r="C3797" s="21" t="s">
        <v>1149</v>
      </c>
      <c r="D3797" s="21" t="s">
        <v>1743</v>
      </c>
      <c r="E3797" s="21" t="s">
        <v>1744</v>
      </c>
      <c r="F3797" s="21" t="s">
        <v>3198</v>
      </c>
      <c r="G3797" s="21" t="s">
        <v>153</v>
      </c>
      <c r="H3797" s="21" t="s">
        <v>1165</v>
      </c>
      <c r="I3797" s="21" t="s">
        <v>3199</v>
      </c>
      <c r="M3797" t="s">
        <v>1157</v>
      </c>
      <c r="U3797" s="21" t="s">
        <v>1147</v>
      </c>
      <c r="X3797" s="9" t="s">
        <v>3203</v>
      </c>
      <c r="Y3797" t="s">
        <v>3207</v>
      </c>
      <c r="Z3797" s="9"/>
      <c r="AD3797" t="s">
        <v>1165</v>
      </c>
      <c r="AF3797" t="s">
        <v>153</v>
      </c>
      <c r="AG3797" t="s">
        <v>3200</v>
      </c>
      <c r="AH3797">
        <f>48*60</f>
        <v>2880</v>
      </c>
      <c r="AI3797" s="21" t="s">
        <v>1165</v>
      </c>
      <c r="AJ3797" s="21" t="s">
        <v>1278</v>
      </c>
      <c r="AK3797">
        <v>0</v>
      </c>
      <c r="AN3797" s="21">
        <v>4</v>
      </c>
      <c r="AO3797" s="21">
        <v>100</v>
      </c>
      <c r="AP3797" s="21">
        <v>0</v>
      </c>
      <c r="AQ3797" s="22" t="s">
        <v>1283</v>
      </c>
      <c r="AR3797" s="21" t="s">
        <v>1279</v>
      </c>
    </row>
    <row r="3798" spans="1:44" x14ac:dyDescent="0.2">
      <c r="A3798" s="21" t="s">
        <v>1745</v>
      </c>
      <c r="B3798" s="21" t="s">
        <v>1146</v>
      </c>
      <c r="C3798" s="21" t="s">
        <v>1149</v>
      </c>
      <c r="D3798" s="21" t="s">
        <v>1743</v>
      </c>
      <c r="E3798" s="21" t="s">
        <v>1744</v>
      </c>
      <c r="F3798" s="21" t="s">
        <v>3198</v>
      </c>
      <c r="G3798" s="21" t="s">
        <v>153</v>
      </c>
      <c r="H3798" s="21" t="s">
        <v>1165</v>
      </c>
      <c r="I3798" s="21" t="s">
        <v>3199</v>
      </c>
      <c r="M3798" t="s">
        <v>1157</v>
      </c>
      <c r="U3798" s="21" t="s">
        <v>1147</v>
      </c>
      <c r="X3798" s="9" t="s">
        <v>3203</v>
      </c>
      <c r="Y3798" t="s">
        <v>3207</v>
      </c>
      <c r="Z3798" s="9"/>
      <c r="AD3798" t="s">
        <v>1165</v>
      </c>
      <c r="AF3798" t="s">
        <v>153</v>
      </c>
      <c r="AG3798" t="s">
        <v>3200</v>
      </c>
      <c r="AH3798">
        <f t="shared" ref="AH3798:AH3806" si="50">48*60</f>
        <v>2880</v>
      </c>
      <c r="AI3798" s="21" t="s">
        <v>1165</v>
      </c>
      <c r="AJ3798" s="21" t="s">
        <v>1278</v>
      </c>
      <c r="AK3798">
        <v>0</v>
      </c>
      <c r="AN3798" s="21">
        <v>4</v>
      </c>
      <c r="AO3798" s="21">
        <v>100</v>
      </c>
      <c r="AP3798" s="21">
        <v>10</v>
      </c>
      <c r="AQ3798" s="22" t="s">
        <v>1283</v>
      </c>
      <c r="AR3798" s="21" t="s">
        <v>1279</v>
      </c>
    </row>
    <row r="3799" spans="1:44" x14ac:dyDescent="0.2">
      <c r="A3799" s="21" t="s">
        <v>1745</v>
      </c>
      <c r="B3799" s="21" t="s">
        <v>1146</v>
      </c>
      <c r="C3799" s="21" t="s">
        <v>1149</v>
      </c>
      <c r="D3799" s="21" t="s">
        <v>1743</v>
      </c>
      <c r="E3799" s="21" t="s">
        <v>1744</v>
      </c>
      <c r="F3799" s="21" t="s">
        <v>3198</v>
      </c>
      <c r="G3799" s="21" t="s">
        <v>153</v>
      </c>
      <c r="H3799" s="21" t="s">
        <v>1165</v>
      </c>
      <c r="I3799" s="21" t="s">
        <v>3199</v>
      </c>
      <c r="M3799" t="s">
        <v>1157</v>
      </c>
      <c r="U3799" s="21" t="s">
        <v>1147</v>
      </c>
      <c r="X3799" s="9" t="s">
        <v>3203</v>
      </c>
      <c r="Y3799" t="s">
        <v>3207</v>
      </c>
      <c r="Z3799" s="9"/>
      <c r="AD3799" t="s">
        <v>1165</v>
      </c>
      <c r="AF3799" t="s">
        <v>153</v>
      </c>
      <c r="AG3799" t="s">
        <v>3200</v>
      </c>
      <c r="AH3799">
        <f t="shared" si="50"/>
        <v>2880</v>
      </c>
      <c r="AI3799" s="21" t="s">
        <v>1165</v>
      </c>
      <c r="AJ3799" s="21" t="s">
        <v>1278</v>
      </c>
      <c r="AK3799">
        <v>0</v>
      </c>
      <c r="AN3799" s="21">
        <v>4</v>
      </c>
      <c r="AO3799" s="21">
        <v>100</v>
      </c>
      <c r="AP3799" s="21">
        <v>20</v>
      </c>
      <c r="AQ3799" s="22" t="s">
        <v>1283</v>
      </c>
      <c r="AR3799" s="21" t="s">
        <v>1279</v>
      </c>
    </row>
    <row r="3800" spans="1:44" x14ac:dyDescent="0.2">
      <c r="A3800" s="21" t="s">
        <v>1745</v>
      </c>
      <c r="B3800" s="21" t="s">
        <v>1146</v>
      </c>
      <c r="C3800" s="21" t="s">
        <v>1149</v>
      </c>
      <c r="D3800" s="21" t="s">
        <v>1743</v>
      </c>
      <c r="E3800" s="21" t="s">
        <v>1744</v>
      </c>
      <c r="F3800" s="21" t="s">
        <v>3198</v>
      </c>
      <c r="G3800" s="21" t="s">
        <v>153</v>
      </c>
      <c r="H3800" s="21" t="s">
        <v>1165</v>
      </c>
      <c r="I3800" s="21" t="s">
        <v>3199</v>
      </c>
      <c r="M3800" t="s">
        <v>1157</v>
      </c>
      <c r="U3800" s="21" t="s">
        <v>1147</v>
      </c>
      <c r="X3800" s="9" t="s">
        <v>3203</v>
      </c>
      <c r="Y3800" t="s">
        <v>3207</v>
      </c>
      <c r="Z3800" s="9"/>
      <c r="AD3800" t="s">
        <v>1165</v>
      </c>
      <c r="AF3800" t="s">
        <v>153</v>
      </c>
      <c r="AG3800" t="s">
        <v>3200</v>
      </c>
      <c r="AH3800">
        <f t="shared" si="50"/>
        <v>2880</v>
      </c>
      <c r="AI3800" s="21" t="s">
        <v>1165</v>
      </c>
      <c r="AJ3800" s="21" t="s">
        <v>1278</v>
      </c>
      <c r="AK3800">
        <v>0</v>
      </c>
      <c r="AN3800" s="21">
        <v>4</v>
      </c>
      <c r="AO3800" s="21">
        <v>100</v>
      </c>
      <c r="AP3800" s="21">
        <v>30</v>
      </c>
      <c r="AQ3800" s="22" t="s">
        <v>1283</v>
      </c>
      <c r="AR3800" s="21" t="s">
        <v>1279</v>
      </c>
    </row>
    <row r="3801" spans="1:44" x14ac:dyDescent="0.2">
      <c r="A3801" s="21" t="s">
        <v>1745</v>
      </c>
      <c r="B3801" s="21" t="s">
        <v>1146</v>
      </c>
      <c r="C3801" s="21" t="s">
        <v>1149</v>
      </c>
      <c r="D3801" s="21" t="s">
        <v>1743</v>
      </c>
      <c r="E3801" s="21" t="s">
        <v>1744</v>
      </c>
      <c r="F3801" s="21" t="s">
        <v>3198</v>
      </c>
      <c r="G3801" s="21" t="s">
        <v>153</v>
      </c>
      <c r="H3801" s="21" t="s">
        <v>1165</v>
      </c>
      <c r="I3801" s="21" t="s">
        <v>3199</v>
      </c>
      <c r="M3801" t="s">
        <v>1157</v>
      </c>
      <c r="U3801" s="21" t="s">
        <v>1147</v>
      </c>
      <c r="X3801" s="9" t="s">
        <v>3203</v>
      </c>
      <c r="Y3801" t="s">
        <v>3207</v>
      </c>
      <c r="Z3801" s="9"/>
      <c r="AD3801" t="s">
        <v>1165</v>
      </c>
      <c r="AF3801" t="s">
        <v>153</v>
      </c>
      <c r="AG3801" t="s">
        <v>3200</v>
      </c>
      <c r="AH3801">
        <f t="shared" si="50"/>
        <v>2880</v>
      </c>
      <c r="AI3801" s="21" t="s">
        <v>1165</v>
      </c>
      <c r="AJ3801" s="21" t="s">
        <v>1278</v>
      </c>
      <c r="AK3801">
        <v>43.24</v>
      </c>
      <c r="AN3801" s="21">
        <v>4</v>
      </c>
      <c r="AO3801" s="21">
        <v>100</v>
      </c>
      <c r="AP3801" s="21">
        <v>40</v>
      </c>
      <c r="AQ3801" s="22" t="s">
        <v>1283</v>
      </c>
      <c r="AR3801" s="21" t="s">
        <v>1279</v>
      </c>
    </row>
    <row r="3802" spans="1:44" x14ac:dyDescent="0.2">
      <c r="A3802" s="21" t="s">
        <v>1745</v>
      </c>
      <c r="B3802" s="21" t="s">
        <v>1146</v>
      </c>
      <c r="C3802" s="21" t="s">
        <v>1149</v>
      </c>
      <c r="D3802" s="21" t="s">
        <v>1743</v>
      </c>
      <c r="E3802" s="21" t="s">
        <v>1744</v>
      </c>
      <c r="F3802" s="21" t="s">
        <v>3198</v>
      </c>
      <c r="G3802" s="21" t="s">
        <v>153</v>
      </c>
      <c r="H3802" s="21" t="s">
        <v>1165</v>
      </c>
      <c r="I3802" s="21" t="s">
        <v>3199</v>
      </c>
      <c r="M3802" t="s">
        <v>1157</v>
      </c>
      <c r="U3802" s="21" t="s">
        <v>1147</v>
      </c>
      <c r="X3802" s="9" t="s">
        <v>3203</v>
      </c>
      <c r="Y3802" t="s">
        <v>3207</v>
      </c>
      <c r="Z3802" s="9"/>
      <c r="AD3802" t="s">
        <v>1165</v>
      </c>
      <c r="AF3802" t="s">
        <v>153</v>
      </c>
      <c r="AG3802" t="s">
        <v>3200</v>
      </c>
      <c r="AH3802">
        <f t="shared" si="50"/>
        <v>2880</v>
      </c>
      <c r="AI3802" s="21" t="s">
        <v>1165</v>
      </c>
      <c r="AJ3802" s="21" t="s">
        <v>1278</v>
      </c>
      <c r="AK3802">
        <v>51.406999999999996</v>
      </c>
      <c r="AN3802" s="21">
        <v>4</v>
      </c>
      <c r="AO3802" s="21">
        <v>100</v>
      </c>
      <c r="AP3802" s="21">
        <v>50</v>
      </c>
      <c r="AQ3802" s="22" t="s">
        <v>1283</v>
      </c>
      <c r="AR3802" s="21" t="s">
        <v>1279</v>
      </c>
    </row>
    <row r="3803" spans="1:44" x14ac:dyDescent="0.2">
      <c r="A3803" s="21" t="s">
        <v>1745</v>
      </c>
      <c r="B3803" s="21" t="s">
        <v>1146</v>
      </c>
      <c r="C3803" s="21" t="s">
        <v>1149</v>
      </c>
      <c r="D3803" s="21" t="s">
        <v>1743</v>
      </c>
      <c r="E3803" s="21" t="s">
        <v>1744</v>
      </c>
      <c r="F3803" s="21" t="s">
        <v>3198</v>
      </c>
      <c r="G3803" s="21" t="s">
        <v>153</v>
      </c>
      <c r="H3803" s="21" t="s">
        <v>1165</v>
      </c>
      <c r="I3803" s="21" t="s">
        <v>3199</v>
      </c>
      <c r="M3803" t="s">
        <v>1157</v>
      </c>
      <c r="U3803" s="21" t="s">
        <v>1147</v>
      </c>
      <c r="X3803" s="9" t="s">
        <v>3203</v>
      </c>
      <c r="Y3803" t="s">
        <v>3207</v>
      </c>
      <c r="Z3803" s="9"/>
      <c r="AD3803" t="s">
        <v>1165</v>
      </c>
      <c r="AF3803" t="s">
        <v>153</v>
      </c>
      <c r="AG3803" t="s">
        <v>3200</v>
      </c>
      <c r="AH3803">
        <f t="shared" si="50"/>
        <v>2880</v>
      </c>
      <c r="AI3803" s="21" t="s">
        <v>1165</v>
      </c>
      <c r="AJ3803" s="21" t="s">
        <v>1278</v>
      </c>
      <c r="AK3803">
        <v>54.055999999999997</v>
      </c>
      <c r="AN3803" s="21">
        <v>4</v>
      </c>
      <c r="AO3803" s="21">
        <v>100</v>
      </c>
      <c r="AP3803" s="21">
        <v>60</v>
      </c>
      <c r="AQ3803" s="22" t="s">
        <v>1283</v>
      </c>
      <c r="AR3803" s="21" t="s">
        <v>1279</v>
      </c>
    </row>
    <row r="3804" spans="1:44" x14ac:dyDescent="0.2">
      <c r="A3804" s="21" t="s">
        <v>1745</v>
      </c>
      <c r="B3804" s="21" t="s">
        <v>1146</v>
      </c>
      <c r="C3804" s="21" t="s">
        <v>1149</v>
      </c>
      <c r="D3804" s="21" t="s">
        <v>1743</v>
      </c>
      <c r="E3804" s="21" t="s">
        <v>1744</v>
      </c>
      <c r="F3804" s="21" t="s">
        <v>3198</v>
      </c>
      <c r="G3804" s="21" t="s">
        <v>153</v>
      </c>
      <c r="H3804" s="21" t="s">
        <v>1165</v>
      </c>
      <c r="I3804" s="21" t="s">
        <v>3199</v>
      </c>
      <c r="M3804" t="s">
        <v>1157</v>
      </c>
      <c r="U3804" s="21" t="s">
        <v>1147</v>
      </c>
      <c r="X3804" s="9" t="s">
        <v>3203</v>
      </c>
      <c r="Y3804" t="s">
        <v>3207</v>
      </c>
      <c r="Z3804" s="9"/>
      <c r="AD3804" t="s">
        <v>1165</v>
      </c>
      <c r="AF3804" t="s">
        <v>153</v>
      </c>
      <c r="AG3804" t="s">
        <v>3200</v>
      </c>
      <c r="AH3804">
        <f t="shared" si="50"/>
        <v>2880</v>
      </c>
      <c r="AI3804" s="21" t="s">
        <v>1165</v>
      </c>
      <c r="AJ3804" s="21" t="s">
        <v>1278</v>
      </c>
      <c r="AK3804">
        <v>55.16</v>
      </c>
      <c r="AN3804" s="21">
        <v>4</v>
      </c>
      <c r="AO3804" s="21">
        <v>100</v>
      </c>
      <c r="AP3804" s="21">
        <v>70</v>
      </c>
      <c r="AQ3804" s="22" t="s">
        <v>1283</v>
      </c>
      <c r="AR3804" s="21" t="s">
        <v>1279</v>
      </c>
    </row>
    <row r="3805" spans="1:44" x14ac:dyDescent="0.2">
      <c r="A3805" s="21" t="s">
        <v>1745</v>
      </c>
      <c r="B3805" s="21" t="s">
        <v>1146</v>
      </c>
      <c r="C3805" s="21" t="s">
        <v>1149</v>
      </c>
      <c r="D3805" s="21" t="s">
        <v>1743</v>
      </c>
      <c r="E3805" s="21" t="s">
        <v>1744</v>
      </c>
      <c r="F3805" s="21" t="s">
        <v>3198</v>
      </c>
      <c r="G3805" s="21" t="s">
        <v>153</v>
      </c>
      <c r="H3805" s="21" t="s">
        <v>1165</v>
      </c>
      <c r="I3805" s="21" t="s">
        <v>3199</v>
      </c>
      <c r="M3805" t="s">
        <v>1157</v>
      </c>
      <c r="U3805" s="21" t="s">
        <v>1147</v>
      </c>
      <c r="X3805" s="9" t="s">
        <v>3203</v>
      </c>
      <c r="Y3805" t="s">
        <v>3207</v>
      </c>
      <c r="Z3805" s="9"/>
      <c r="AD3805" t="s">
        <v>1165</v>
      </c>
      <c r="AF3805" t="s">
        <v>153</v>
      </c>
      <c r="AG3805" t="s">
        <v>3200</v>
      </c>
      <c r="AH3805">
        <f t="shared" si="50"/>
        <v>2880</v>
      </c>
      <c r="AI3805" s="21" t="s">
        <v>1165</v>
      </c>
      <c r="AJ3805" s="21" t="s">
        <v>1278</v>
      </c>
      <c r="AK3805">
        <v>60.9</v>
      </c>
      <c r="AN3805" s="21">
        <v>4</v>
      </c>
      <c r="AO3805" s="21">
        <v>100</v>
      </c>
      <c r="AP3805" s="21">
        <v>80</v>
      </c>
      <c r="AQ3805" s="22" t="s">
        <v>1283</v>
      </c>
      <c r="AR3805" s="21" t="s">
        <v>1279</v>
      </c>
    </row>
    <row r="3806" spans="1:44" x14ac:dyDescent="0.2">
      <c r="A3806" s="21" t="s">
        <v>1745</v>
      </c>
      <c r="B3806" s="21" t="s">
        <v>1146</v>
      </c>
      <c r="C3806" s="21" t="s">
        <v>1149</v>
      </c>
      <c r="D3806" s="21" t="s">
        <v>1743</v>
      </c>
      <c r="E3806" s="21" t="s">
        <v>1744</v>
      </c>
      <c r="F3806" s="21" t="s">
        <v>3198</v>
      </c>
      <c r="G3806" s="21" t="s">
        <v>153</v>
      </c>
      <c r="H3806" s="21" t="s">
        <v>1165</v>
      </c>
      <c r="I3806" s="21" t="s">
        <v>3199</v>
      </c>
      <c r="M3806" t="s">
        <v>1157</v>
      </c>
      <c r="U3806" s="21" t="s">
        <v>1147</v>
      </c>
      <c r="X3806" s="9" t="s">
        <v>3203</v>
      </c>
      <c r="Y3806" t="s">
        <v>3207</v>
      </c>
      <c r="Z3806" s="9"/>
      <c r="AD3806" t="s">
        <v>1165</v>
      </c>
      <c r="AF3806" t="s">
        <v>153</v>
      </c>
      <c r="AG3806" t="s">
        <v>3200</v>
      </c>
      <c r="AH3806">
        <f t="shared" si="50"/>
        <v>2880</v>
      </c>
      <c r="AI3806" s="21" t="s">
        <v>1165</v>
      </c>
      <c r="AJ3806" s="21" t="s">
        <v>1278</v>
      </c>
      <c r="AK3806">
        <v>65.977000000000004</v>
      </c>
      <c r="AN3806" s="21">
        <v>4</v>
      </c>
      <c r="AO3806" s="21">
        <v>100</v>
      </c>
      <c r="AP3806" s="21">
        <v>84</v>
      </c>
      <c r="AQ3806" s="22" t="s">
        <v>1283</v>
      </c>
      <c r="AR3806" s="21" t="s">
        <v>1279</v>
      </c>
    </row>
    <row r="3807" spans="1:44" x14ac:dyDescent="0.2">
      <c r="A3807" s="21" t="s">
        <v>1745</v>
      </c>
      <c r="B3807" s="21" t="s">
        <v>1146</v>
      </c>
      <c r="C3807" s="21" t="s">
        <v>1149</v>
      </c>
      <c r="D3807" s="21" t="s">
        <v>1743</v>
      </c>
      <c r="E3807" s="21" t="s">
        <v>1744</v>
      </c>
      <c r="F3807" s="21" t="s">
        <v>3198</v>
      </c>
      <c r="G3807" s="21" t="s">
        <v>153</v>
      </c>
      <c r="H3807" s="21" t="s">
        <v>1165</v>
      </c>
      <c r="I3807" s="21" t="s">
        <v>3199</v>
      </c>
      <c r="M3807" t="s">
        <v>1157</v>
      </c>
      <c r="U3807" s="21" t="s">
        <v>1246</v>
      </c>
      <c r="V3807" s="9" t="s">
        <v>1217</v>
      </c>
      <c r="W3807">
        <v>21</v>
      </c>
      <c r="X3807" s="9" t="s">
        <v>3203</v>
      </c>
      <c r="Y3807" t="s">
        <v>3207</v>
      </c>
      <c r="Z3807" s="9"/>
      <c r="AD3807" t="s">
        <v>1165</v>
      </c>
      <c r="AF3807" t="s">
        <v>153</v>
      </c>
      <c r="AG3807" t="s">
        <v>3200</v>
      </c>
      <c r="AH3807">
        <f>48*60</f>
        <v>2880</v>
      </c>
      <c r="AI3807" s="21" t="s">
        <v>1165</v>
      </c>
      <c r="AJ3807" s="21" t="s">
        <v>1278</v>
      </c>
      <c r="AK3807">
        <v>0</v>
      </c>
      <c r="AN3807" s="21">
        <v>4</v>
      </c>
      <c r="AO3807" s="21">
        <v>100</v>
      </c>
      <c r="AP3807" s="21">
        <v>0</v>
      </c>
      <c r="AQ3807" s="22" t="s">
        <v>1283</v>
      </c>
      <c r="AR3807" s="21" t="s">
        <v>1279</v>
      </c>
    </row>
    <row r="3808" spans="1:44" x14ac:dyDescent="0.2">
      <c r="A3808" s="21" t="s">
        <v>1745</v>
      </c>
      <c r="B3808" s="21" t="s">
        <v>1146</v>
      </c>
      <c r="C3808" s="21" t="s">
        <v>1149</v>
      </c>
      <c r="D3808" s="21" t="s">
        <v>1743</v>
      </c>
      <c r="E3808" s="21" t="s">
        <v>1744</v>
      </c>
      <c r="F3808" s="21" t="s">
        <v>3198</v>
      </c>
      <c r="G3808" s="21" t="s">
        <v>153</v>
      </c>
      <c r="H3808" s="21" t="s">
        <v>1165</v>
      </c>
      <c r="I3808" s="21" t="s">
        <v>3199</v>
      </c>
      <c r="M3808" t="s">
        <v>1157</v>
      </c>
      <c r="U3808" s="21" t="s">
        <v>1246</v>
      </c>
      <c r="V3808" s="9" t="s">
        <v>1217</v>
      </c>
      <c r="W3808">
        <v>21</v>
      </c>
      <c r="X3808" s="9" t="s">
        <v>3203</v>
      </c>
      <c r="Y3808" t="s">
        <v>3207</v>
      </c>
      <c r="Z3808" s="9"/>
      <c r="AD3808" t="s">
        <v>1165</v>
      </c>
      <c r="AF3808" t="s">
        <v>153</v>
      </c>
      <c r="AG3808" t="s">
        <v>3200</v>
      </c>
      <c r="AH3808">
        <f t="shared" ref="AH3808:AH3816" si="51">48*60</f>
        <v>2880</v>
      </c>
      <c r="AI3808" s="21" t="s">
        <v>1165</v>
      </c>
      <c r="AJ3808" s="21" t="s">
        <v>1278</v>
      </c>
      <c r="AK3808">
        <v>0</v>
      </c>
      <c r="AN3808" s="21">
        <v>4</v>
      </c>
      <c r="AO3808" s="21">
        <v>100</v>
      </c>
      <c r="AP3808" s="21">
        <v>10</v>
      </c>
      <c r="AQ3808" s="22" t="s">
        <v>1283</v>
      </c>
      <c r="AR3808" s="21" t="s">
        <v>1279</v>
      </c>
    </row>
    <row r="3809" spans="1:44" x14ac:dyDescent="0.2">
      <c r="A3809" s="21" t="s">
        <v>1745</v>
      </c>
      <c r="B3809" s="21" t="s">
        <v>1146</v>
      </c>
      <c r="C3809" s="21" t="s">
        <v>1149</v>
      </c>
      <c r="D3809" s="21" t="s">
        <v>1743</v>
      </c>
      <c r="E3809" s="21" t="s">
        <v>1744</v>
      </c>
      <c r="F3809" s="21" t="s">
        <v>3198</v>
      </c>
      <c r="G3809" s="21" t="s">
        <v>153</v>
      </c>
      <c r="H3809" s="21" t="s">
        <v>1165</v>
      </c>
      <c r="I3809" s="21" t="s">
        <v>3199</v>
      </c>
      <c r="M3809" t="s">
        <v>1157</v>
      </c>
      <c r="U3809" s="21" t="s">
        <v>1246</v>
      </c>
      <c r="V3809" s="9" t="s">
        <v>1217</v>
      </c>
      <c r="W3809">
        <v>21</v>
      </c>
      <c r="X3809" s="9" t="s">
        <v>3203</v>
      </c>
      <c r="Y3809" t="s">
        <v>3207</v>
      </c>
      <c r="Z3809" s="9"/>
      <c r="AD3809" t="s">
        <v>1165</v>
      </c>
      <c r="AF3809" t="s">
        <v>153</v>
      </c>
      <c r="AG3809" t="s">
        <v>3200</v>
      </c>
      <c r="AH3809">
        <f t="shared" si="51"/>
        <v>2880</v>
      </c>
      <c r="AI3809" s="21" t="s">
        <v>1165</v>
      </c>
      <c r="AJ3809" s="21" t="s">
        <v>1278</v>
      </c>
      <c r="AK3809">
        <v>0</v>
      </c>
      <c r="AN3809" s="21">
        <v>4</v>
      </c>
      <c r="AO3809" s="21">
        <v>100</v>
      </c>
      <c r="AP3809" s="21">
        <v>20</v>
      </c>
      <c r="AQ3809" s="22" t="s">
        <v>1283</v>
      </c>
      <c r="AR3809" s="21" t="s">
        <v>1279</v>
      </c>
    </row>
    <row r="3810" spans="1:44" x14ac:dyDescent="0.2">
      <c r="A3810" s="21" t="s">
        <v>1745</v>
      </c>
      <c r="B3810" s="21" t="s">
        <v>1146</v>
      </c>
      <c r="C3810" s="21" t="s">
        <v>1149</v>
      </c>
      <c r="D3810" s="21" t="s">
        <v>1743</v>
      </c>
      <c r="E3810" s="21" t="s">
        <v>1744</v>
      </c>
      <c r="F3810" s="21" t="s">
        <v>3198</v>
      </c>
      <c r="G3810" s="21" t="s">
        <v>153</v>
      </c>
      <c r="H3810" s="21" t="s">
        <v>1165</v>
      </c>
      <c r="I3810" s="21" t="s">
        <v>3199</v>
      </c>
      <c r="M3810" t="s">
        <v>1157</v>
      </c>
      <c r="U3810" s="21" t="s">
        <v>1246</v>
      </c>
      <c r="V3810" s="9" t="s">
        <v>1217</v>
      </c>
      <c r="W3810">
        <v>21</v>
      </c>
      <c r="X3810" s="9" t="s">
        <v>3203</v>
      </c>
      <c r="Y3810" t="s">
        <v>3207</v>
      </c>
      <c r="Z3810" s="9"/>
      <c r="AD3810" t="s">
        <v>1165</v>
      </c>
      <c r="AF3810" t="s">
        <v>153</v>
      </c>
      <c r="AG3810" t="s">
        <v>3200</v>
      </c>
      <c r="AH3810">
        <f t="shared" si="51"/>
        <v>2880</v>
      </c>
      <c r="AI3810" s="21" t="s">
        <v>1165</v>
      </c>
      <c r="AJ3810" s="21" t="s">
        <v>1278</v>
      </c>
      <c r="AK3810">
        <v>0.5</v>
      </c>
      <c r="AN3810" s="21">
        <v>4</v>
      </c>
      <c r="AO3810" s="21">
        <v>100</v>
      </c>
      <c r="AP3810" s="21">
        <v>30</v>
      </c>
      <c r="AQ3810" s="22" t="s">
        <v>1283</v>
      </c>
      <c r="AR3810" s="21" t="s">
        <v>1279</v>
      </c>
    </row>
    <row r="3811" spans="1:44" x14ac:dyDescent="0.2">
      <c r="A3811" s="21" t="s">
        <v>1745</v>
      </c>
      <c r="B3811" s="21" t="s">
        <v>1146</v>
      </c>
      <c r="C3811" s="21" t="s">
        <v>1149</v>
      </c>
      <c r="D3811" s="21" t="s">
        <v>1743</v>
      </c>
      <c r="E3811" s="21" t="s">
        <v>1744</v>
      </c>
      <c r="F3811" s="21" t="s">
        <v>3198</v>
      </c>
      <c r="G3811" s="21" t="s">
        <v>153</v>
      </c>
      <c r="H3811" s="21" t="s">
        <v>1165</v>
      </c>
      <c r="I3811" s="21" t="s">
        <v>3199</v>
      </c>
      <c r="M3811" t="s">
        <v>1157</v>
      </c>
      <c r="U3811" s="21" t="s">
        <v>1246</v>
      </c>
      <c r="V3811" s="9" t="s">
        <v>1217</v>
      </c>
      <c r="W3811">
        <v>21</v>
      </c>
      <c r="X3811" s="9" t="s">
        <v>3203</v>
      </c>
      <c r="Y3811" t="s">
        <v>3207</v>
      </c>
      <c r="Z3811" s="9"/>
      <c r="AD3811" t="s">
        <v>1165</v>
      </c>
      <c r="AF3811" t="s">
        <v>153</v>
      </c>
      <c r="AG3811" t="s">
        <v>3200</v>
      </c>
      <c r="AH3811">
        <f t="shared" si="51"/>
        <v>2880</v>
      </c>
      <c r="AI3811" s="21" t="s">
        <v>1165</v>
      </c>
      <c r="AJ3811" s="21" t="s">
        <v>1278</v>
      </c>
      <c r="AK3811">
        <v>1.028</v>
      </c>
      <c r="AN3811" s="21">
        <v>4</v>
      </c>
      <c r="AO3811" s="21">
        <v>100</v>
      </c>
      <c r="AP3811" s="21">
        <v>40</v>
      </c>
      <c r="AQ3811" s="22" t="s">
        <v>1283</v>
      </c>
      <c r="AR3811" s="21" t="s">
        <v>1279</v>
      </c>
    </row>
    <row r="3812" spans="1:44" x14ac:dyDescent="0.2">
      <c r="A3812" s="21" t="s">
        <v>1745</v>
      </c>
      <c r="B3812" s="21" t="s">
        <v>1146</v>
      </c>
      <c r="C3812" s="21" t="s">
        <v>1149</v>
      </c>
      <c r="D3812" s="21" t="s">
        <v>1743</v>
      </c>
      <c r="E3812" s="21" t="s">
        <v>1744</v>
      </c>
      <c r="F3812" s="21" t="s">
        <v>3198</v>
      </c>
      <c r="G3812" s="21" t="s">
        <v>153</v>
      </c>
      <c r="H3812" s="21" t="s">
        <v>1165</v>
      </c>
      <c r="I3812" s="21" t="s">
        <v>3199</v>
      </c>
      <c r="M3812" t="s">
        <v>1157</v>
      </c>
      <c r="U3812" s="21" t="s">
        <v>1246</v>
      </c>
      <c r="V3812" s="9" t="s">
        <v>1217</v>
      </c>
      <c r="W3812">
        <v>21</v>
      </c>
      <c r="X3812" s="9" t="s">
        <v>3203</v>
      </c>
      <c r="Y3812" t="s">
        <v>3207</v>
      </c>
      <c r="Z3812" s="9"/>
      <c r="AD3812" t="s">
        <v>1165</v>
      </c>
      <c r="AF3812" t="s">
        <v>153</v>
      </c>
      <c r="AG3812" t="s">
        <v>3200</v>
      </c>
      <c r="AH3812">
        <f t="shared" si="51"/>
        <v>2880</v>
      </c>
      <c r="AI3812" s="21" t="s">
        <v>1165</v>
      </c>
      <c r="AJ3812" s="21" t="s">
        <v>1278</v>
      </c>
      <c r="AK3812">
        <v>1.694</v>
      </c>
      <c r="AN3812" s="21">
        <v>4</v>
      </c>
      <c r="AO3812" s="21">
        <v>100</v>
      </c>
      <c r="AP3812" s="21">
        <v>50</v>
      </c>
      <c r="AQ3812" s="22" t="s">
        <v>1283</v>
      </c>
      <c r="AR3812" s="21" t="s">
        <v>1279</v>
      </c>
    </row>
    <row r="3813" spans="1:44" x14ac:dyDescent="0.2">
      <c r="A3813" s="21" t="s">
        <v>1745</v>
      </c>
      <c r="B3813" s="21" t="s">
        <v>1146</v>
      </c>
      <c r="C3813" s="21" t="s">
        <v>1149</v>
      </c>
      <c r="D3813" s="21" t="s">
        <v>1743</v>
      </c>
      <c r="E3813" s="21" t="s">
        <v>1744</v>
      </c>
      <c r="F3813" s="21" t="s">
        <v>3198</v>
      </c>
      <c r="G3813" s="21" t="s">
        <v>153</v>
      </c>
      <c r="H3813" s="21" t="s">
        <v>1165</v>
      </c>
      <c r="I3813" s="21" t="s">
        <v>3199</v>
      </c>
      <c r="M3813" t="s">
        <v>1157</v>
      </c>
      <c r="U3813" s="21" t="s">
        <v>1246</v>
      </c>
      <c r="V3813" s="9" t="s">
        <v>1217</v>
      </c>
      <c r="W3813">
        <v>21</v>
      </c>
      <c r="X3813" s="9" t="s">
        <v>3203</v>
      </c>
      <c r="Y3813" t="s">
        <v>3207</v>
      </c>
      <c r="Z3813" s="9"/>
      <c r="AD3813" t="s">
        <v>1165</v>
      </c>
      <c r="AF3813" t="s">
        <v>153</v>
      </c>
      <c r="AG3813" t="s">
        <v>3200</v>
      </c>
      <c r="AH3813">
        <f t="shared" si="51"/>
        <v>2880</v>
      </c>
      <c r="AI3813" s="21" t="s">
        <v>1165</v>
      </c>
      <c r="AJ3813" s="21" t="s">
        <v>1278</v>
      </c>
      <c r="AK3813">
        <v>7.4720000000000004</v>
      </c>
      <c r="AN3813" s="21">
        <v>4</v>
      </c>
      <c r="AO3813" s="21">
        <v>100</v>
      </c>
      <c r="AP3813" s="21">
        <v>60</v>
      </c>
      <c r="AQ3813" s="22" t="s">
        <v>1283</v>
      </c>
      <c r="AR3813" s="21" t="s">
        <v>1279</v>
      </c>
    </row>
    <row r="3814" spans="1:44" x14ac:dyDescent="0.2">
      <c r="A3814" s="21" t="s">
        <v>1745</v>
      </c>
      <c r="B3814" s="21" t="s">
        <v>1146</v>
      </c>
      <c r="C3814" s="21" t="s">
        <v>1149</v>
      </c>
      <c r="D3814" s="21" t="s">
        <v>1743</v>
      </c>
      <c r="E3814" s="21" t="s">
        <v>1744</v>
      </c>
      <c r="F3814" s="21" t="s">
        <v>3198</v>
      </c>
      <c r="G3814" s="21" t="s">
        <v>153</v>
      </c>
      <c r="H3814" s="21" t="s">
        <v>1165</v>
      </c>
      <c r="I3814" s="21" t="s">
        <v>3199</v>
      </c>
      <c r="M3814" t="s">
        <v>1157</v>
      </c>
      <c r="U3814" s="21" t="s">
        <v>1246</v>
      </c>
      <c r="V3814" s="9" t="s">
        <v>1217</v>
      </c>
      <c r="W3814">
        <v>21</v>
      </c>
      <c r="X3814" s="9" t="s">
        <v>3203</v>
      </c>
      <c r="Y3814" t="s">
        <v>3207</v>
      </c>
      <c r="Z3814" s="9"/>
      <c r="AD3814" t="s">
        <v>1165</v>
      </c>
      <c r="AF3814" t="s">
        <v>153</v>
      </c>
      <c r="AG3814" t="s">
        <v>3200</v>
      </c>
      <c r="AH3814">
        <f t="shared" si="51"/>
        <v>2880</v>
      </c>
      <c r="AI3814" s="21" t="s">
        <v>1165</v>
      </c>
      <c r="AJ3814" s="21" t="s">
        <v>1278</v>
      </c>
      <c r="AK3814">
        <v>20.361000000000001</v>
      </c>
      <c r="AN3814" s="21">
        <v>4</v>
      </c>
      <c r="AO3814" s="21">
        <v>100</v>
      </c>
      <c r="AP3814" s="21">
        <v>70</v>
      </c>
      <c r="AQ3814" s="22" t="s">
        <v>1283</v>
      </c>
      <c r="AR3814" s="21" t="s">
        <v>1279</v>
      </c>
    </row>
    <row r="3815" spans="1:44" x14ac:dyDescent="0.2">
      <c r="A3815" s="21" t="s">
        <v>1745</v>
      </c>
      <c r="B3815" s="21" t="s">
        <v>1146</v>
      </c>
      <c r="C3815" s="21" t="s">
        <v>1149</v>
      </c>
      <c r="D3815" s="21" t="s">
        <v>1743</v>
      </c>
      <c r="E3815" s="21" t="s">
        <v>1744</v>
      </c>
      <c r="F3815" s="21" t="s">
        <v>3198</v>
      </c>
      <c r="G3815" s="21" t="s">
        <v>153</v>
      </c>
      <c r="H3815" s="21" t="s">
        <v>1165</v>
      </c>
      <c r="I3815" s="21" t="s">
        <v>3199</v>
      </c>
      <c r="M3815" t="s">
        <v>1157</v>
      </c>
      <c r="U3815" s="21" t="s">
        <v>1246</v>
      </c>
      <c r="V3815" s="9" t="s">
        <v>1217</v>
      </c>
      <c r="W3815">
        <v>21</v>
      </c>
      <c r="X3815" s="9" t="s">
        <v>3203</v>
      </c>
      <c r="Y3815" t="s">
        <v>3207</v>
      </c>
      <c r="Z3815" s="9"/>
      <c r="AD3815" t="s">
        <v>1165</v>
      </c>
      <c r="AF3815" t="s">
        <v>153</v>
      </c>
      <c r="AG3815" t="s">
        <v>3200</v>
      </c>
      <c r="AH3815">
        <f t="shared" si="51"/>
        <v>2880</v>
      </c>
      <c r="AI3815" s="21" t="s">
        <v>1165</v>
      </c>
      <c r="AJ3815" s="21" t="s">
        <v>1278</v>
      </c>
      <c r="AK3815">
        <v>35.917000000000002</v>
      </c>
      <c r="AN3815" s="21">
        <v>4</v>
      </c>
      <c r="AO3815" s="21">
        <v>100</v>
      </c>
      <c r="AP3815" s="21">
        <v>80</v>
      </c>
      <c r="AQ3815" s="22" t="s">
        <v>1283</v>
      </c>
      <c r="AR3815" s="21" t="s">
        <v>1279</v>
      </c>
    </row>
    <row r="3816" spans="1:44" x14ac:dyDescent="0.2">
      <c r="A3816" s="21" t="s">
        <v>1745</v>
      </c>
      <c r="B3816" s="21" t="s">
        <v>1146</v>
      </c>
      <c r="C3816" s="21" t="s">
        <v>1149</v>
      </c>
      <c r="D3816" s="21" t="s">
        <v>1743</v>
      </c>
      <c r="E3816" s="21" t="s">
        <v>1744</v>
      </c>
      <c r="F3816" s="21" t="s">
        <v>3198</v>
      </c>
      <c r="G3816" s="21" t="s">
        <v>153</v>
      </c>
      <c r="H3816" s="21" t="s">
        <v>1165</v>
      </c>
      <c r="I3816" s="21" t="s">
        <v>3199</v>
      </c>
      <c r="M3816" t="s">
        <v>1157</v>
      </c>
      <c r="U3816" s="21" t="s">
        <v>1246</v>
      </c>
      <c r="V3816" s="9" t="s">
        <v>1217</v>
      </c>
      <c r="W3816">
        <v>21</v>
      </c>
      <c r="X3816" s="9" t="s">
        <v>3203</v>
      </c>
      <c r="Y3816" t="s">
        <v>3207</v>
      </c>
      <c r="Z3816" s="9"/>
      <c r="AD3816" t="s">
        <v>1165</v>
      </c>
      <c r="AF3816" t="s">
        <v>153</v>
      </c>
      <c r="AG3816" t="s">
        <v>3200</v>
      </c>
      <c r="AH3816">
        <f t="shared" si="51"/>
        <v>2880</v>
      </c>
      <c r="AI3816" s="21" t="s">
        <v>1165</v>
      </c>
      <c r="AJ3816" s="21" t="s">
        <v>1278</v>
      </c>
      <c r="AK3816">
        <v>40.582999999999998</v>
      </c>
      <c r="AN3816" s="21">
        <v>4</v>
      </c>
      <c r="AO3816" s="21">
        <v>100</v>
      </c>
      <c r="AP3816" s="21">
        <v>84</v>
      </c>
      <c r="AQ3816" s="22" t="s">
        <v>1283</v>
      </c>
      <c r="AR3816" s="21" t="s">
        <v>1279</v>
      </c>
    </row>
    <row r="3817" spans="1:44" x14ac:dyDescent="0.2">
      <c r="A3817" s="21" t="s">
        <v>1745</v>
      </c>
      <c r="B3817" s="21" t="s">
        <v>1146</v>
      </c>
      <c r="C3817" s="21" t="s">
        <v>1149</v>
      </c>
      <c r="D3817" s="21" t="s">
        <v>1743</v>
      </c>
      <c r="E3817" s="21" t="s">
        <v>1744</v>
      </c>
      <c r="F3817" s="21" t="s">
        <v>3198</v>
      </c>
      <c r="G3817" s="21" t="s">
        <v>153</v>
      </c>
      <c r="H3817" s="21" t="s">
        <v>1165</v>
      </c>
      <c r="I3817" s="21" t="s">
        <v>3199</v>
      </c>
      <c r="M3817" t="s">
        <v>1157</v>
      </c>
      <c r="U3817" s="21" t="s">
        <v>1246</v>
      </c>
      <c r="V3817" s="9" t="s">
        <v>1217</v>
      </c>
      <c r="W3817">
        <v>35</v>
      </c>
      <c r="X3817" s="9" t="s">
        <v>3203</v>
      </c>
      <c r="Y3817" t="s">
        <v>3209</v>
      </c>
      <c r="Z3817" s="9"/>
      <c r="AD3817" t="s">
        <v>1165</v>
      </c>
      <c r="AF3817" t="s">
        <v>153</v>
      </c>
      <c r="AG3817" t="s">
        <v>3200</v>
      </c>
      <c r="AH3817">
        <f>48*60</f>
        <v>2880</v>
      </c>
      <c r="AI3817" s="21" t="s">
        <v>1165</v>
      </c>
      <c r="AJ3817" s="21" t="s">
        <v>1278</v>
      </c>
      <c r="AK3817">
        <v>0</v>
      </c>
      <c r="AN3817" s="21">
        <v>4</v>
      </c>
      <c r="AO3817" s="21">
        <v>100</v>
      </c>
      <c r="AP3817" s="21">
        <v>0</v>
      </c>
      <c r="AQ3817" s="22" t="s">
        <v>1283</v>
      </c>
      <c r="AR3817" s="21" t="s">
        <v>1279</v>
      </c>
    </row>
    <row r="3818" spans="1:44" x14ac:dyDescent="0.2">
      <c r="A3818" s="21" t="s">
        <v>1745</v>
      </c>
      <c r="B3818" s="21" t="s">
        <v>1146</v>
      </c>
      <c r="C3818" s="21" t="s">
        <v>1149</v>
      </c>
      <c r="D3818" s="21" t="s">
        <v>1743</v>
      </c>
      <c r="E3818" s="21" t="s">
        <v>1744</v>
      </c>
      <c r="F3818" s="21" t="s">
        <v>3198</v>
      </c>
      <c r="G3818" s="21" t="s">
        <v>153</v>
      </c>
      <c r="H3818" s="21" t="s">
        <v>1165</v>
      </c>
      <c r="I3818" s="21" t="s">
        <v>3199</v>
      </c>
      <c r="M3818" t="s">
        <v>1157</v>
      </c>
      <c r="U3818" s="21" t="s">
        <v>1246</v>
      </c>
      <c r="V3818" s="9" t="s">
        <v>1217</v>
      </c>
      <c r="W3818">
        <v>35</v>
      </c>
      <c r="X3818" s="9" t="s">
        <v>3203</v>
      </c>
      <c r="Y3818" t="s">
        <v>3209</v>
      </c>
      <c r="Z3818" s="9"/>
      <c r="AD3818" t="s">
        <v>1165</v>
      </c>
      <c r="AF3818" t="s">
        <v>153</v>
      </c>
      <c r="AG3818" t="s">
        <v>3200</v>
      </c>
      <c r="AH3818">
        <f t="shared" ref="AH3818:AH3826" si="52">48*60</f>
        <v>2880</v>
      </c>
      <c r="AI3818" s="21" t="s">
        <v>1165</v>
      </c>
      <c r="AJ3818" s="21" t="s">
        <v>1278</v>
      </c>
      <c r="AK3818">
        <v>0</v>
      </c>
      <c r="AN3818" s="21">
        <v>4</v>
      </c>
      <c r="AO3818" s="21">
        <v>100</v>
      </c>
      <c r="AP3818" s="21">
        <v>10</v>
      </c>
      <c r="AQ3818" s="22" t="s">
        <v>1283</v>
      </c>
      <c r="AR3818" s="21" t="s">
        <v>1279</v>
      </c>
    </row>
    <row r="3819" spans="1:44" x14ac:dyDescent="0.2">
      <c r="A3819" s="21" t="s">
        <v>1745</v>
      </c>
      <c r="B3819" s="21" t="s">
        <v>1146</v>
      </c>
      <c r="C3819" s="21" t="s">
        <v>1149</v>
      </c>
      <c r="D3819" s="21" t="s">
        <v>1743</v>
      </c>
      <c r="E3819" s="21" t="s">
        <v>1744</v>
      </c>
      <c r="F3819" s="21" t="s">
        <v>3198</v>
      </c>
      <c r="G3819" s="21" t="s">
        <v>153</v>
      </c>
      <c r="H3819" s="21" t="s">
        <v>1165</v>
      </c>
      <c r="I3819" s="21" t="s">
        <v>3199</v>
      </c>
      <c r="M3819" t="s">
        <v>1157</v>
      </c>
      <c r="U3819" s="21" t="s">
        <v>1246</v>
      </c>
      <c r="V3819" s="9" t="s">
        <v>1217</v>
      </c>
      <c r="W3819">
        <v>35</v>
      </c>
      <c r="X3819" s="9" t="s">
        <v>3203</v>
      </c>
      <c r="Y3819" t="s">
        <v>3209</v>
      </c>
      <c r="Z3819" s="9"/>
      <c r="AD3819" t="s">
        <v>1165</v>
      </c>
      <c r="AF3819" t="s">
        <v>153</v>
      </c>
      <c r="AG3819" t="s">
        <v>3200</v>
      </c>
      <c r="AH3819">
        <f t="shared" si="52"/>
        <v>2880</v>
      </c>
      <c r="AI3819" s="21" t="s">
        <v>1165</v>
      </c>
      <c r="AJ3819" s="21" t="s">
        <v>1278</v>
      </c>
      <c r="AK3819">
        <v>0</v>
      </c>
      <c r="AN3819" s="21">
        <v>4</v>
      </c>
      <c r="AO3819" s="21">
        <v>100</v>
      </c>
      <c r="AP3819" s="21">
        <v>20</v>
      </c>
      <c r="AQ3819" s="22" t="s">
        <v>1283</v>
      </c>
      <c r="AR3819" s="21" t="s">
        <v>1279</v>
      </c>
    </row>
    <row r="3820" spans="1:44" x14ac:dyDescent="0.2">
      <c r="A3820" s="21" t="s">
        <v>1745</v>
      </c>
      <c r="B3820" s="21" t="s">
        <v>1146</v>
      </c>
      <c r="C3820" s="21" t="s">
        <v>1149</v>
      </c>
      <c r="D3820" s="21" t="s">
        <v>1743</v>
      </c>
      <c r="E3820" s="21" t="s">
        <v>1744</v>
      </c>
      <c r="F3820" s="21" t="s">
        <v>3198</v>
      </c>
      <c r="G3820" s="21" t="s">
        <v>153</v>
      </c>
      <c r="H3820" s="21" t="s">
        <v>1165</v>
      </c>
      <c r="I3820" s="21" t="s">
        <v>3199</v>
      </c>
      <c r="M3820" t="s">
        <v>1157</v>
      </c>
      <c r="U3820" s="21" t="s">
        <v>1246</v>
      </c>
      <c r="V3820" s="9" t="s">
        <v>1217</v>
      </c>
      <c r="W3820">
        <v>35</v>
      </c>
      <c r="X3820" s="9" t="s">
        <v>3203</v>
      </c>
      <c r="Y3820" t="s">
        <v>3209</v>
      </c>
      <c r="Z3820" s="9"/>
      <c r="AD3820" t="s">
        <v>1165</v>
      </c>
      <c r="AF3820" t="s">
        <v>153</v>
      </c>
      <c r="AG3820" t="s">
        <v>3200</v>
      </c>
      <c r="AH3820">
        <f t="shared" si="52"/>
        <v>2880</v>
      </c>
      <c r="AI3820" s="21" t="s">
        <v>1165</v>
      </c>
      <c r="AJ3820" s="21" t="s">
        <v>1278</v>
      </c>
      <c r="AK3820">
        <v>3.8330000000000002</v>
      </c>
      <c r="AN3820" s="21">
        <v>4</v>
      </c>
      <c r="AO3820" s="21">
        <v>100</v>
      </c>
      <c r="AP3820" s="21">
        <v>30</v>
      </c>
      <c r="AQ3820" s="22" t="s">
        <v>1283</v>
      </c>
      <c r="AR3820" s="21" t="s">
        <v>1279</v>
      </c>
    </row>
    <row r="3821" spans="1:44" x14ac:dyDescent="0.2">
      <c r="A3821" s="21" t="s">
        <v>1745</v>
      </c>
      <c r="B3821" s="21" t="s">
        <v>1146</v>
      </c>
      <c r="C3821" s="21" t="s">
        <v>1149</v>
      </c>
      <c r="D3821" s="21" t="s">
        <v>1743</v>
      </c>
      <c r="E3821" s="21" t="s">
        <v>1744</v>
      </c>
      <c r="F3821" s="21" t="s">
        <v>3198</v>
      </c>
      <c r="G3821" s="21" t="s">
        <v>153</v>
      </c>
      <c r="H3821" s="21" t="s">
        <v>1165</v>
      </c>
      <c r="I3821" s="21" t="s">
        <v>3199</v>
      </c>
      <c r="M3821" t="s">
        <v>1157</v>
      </c>
      <c r="U3821" s="21" t="s">
        <v>1246</v>
      </c>
      <c r="V3821" s="9" t="s">
        <v>1217</v>
      </c>
      <c r="W3821">
        <v>35</v>
      </c>
      <c r="X3821" s="9" t="s">
        <v>3203</v>
      </c>
      <c r="Y3821" t="s">
        <v>3209</v>
      </c>
      <c r="Z3821" s="9"/>
      <c r="AD3821" t="s">
        <v>1165</v>
      </c>
      <c r="AF3821" t="s">
        <v>153</v>
      </c>
      <c r="AG3821" t="s">
        <v>3200</v>
      </c>
      <c r="AH3821">
        <f t="shared" si="52"/>
        <v>2880</v>
      </c>
      <c r="AI3821" s="21" t="s">
        <v>1165</v>
      </c>
      <c r="AJ3821" s="21" t="s">
        <v>1278</v>
      </c>
      <c r="AK3821">
        <v>7.694</v>
      </c>
      <c r="AN3821" s="21">
        <v>4</v>
      </c>
      <c r="AO3821" s="21">
        <v>100</v>
      </c>
      <c r="AP3821" s="21">
        <v>40</v>
      </c>
      <c r="AQ3821" s="22" t="s">
        <v>1283</v>
      </c>
      <c r="AR3821" s="21" t="s">
        <v>1279</v>
      </c>
    </row>
    <row r="3822" spans="1:44" x14ac:dyDescent="0.2">
      <c r="A3822" s="21" t="s">
        <v>1745</v>
      </c>
      <c r="B3822" s="21" t="s">
        <v>1146</v>
      </c>
      <c r="C3822" s="21" t="s">
        <v>1149</v>
      </c>
      <c r="D3822" s="21" t="s">
        <v>1743</v>
      </c>
      <c r="E3822" s="21" t="s">
        <v>1744</v>
      </c>
      <c r="F3822" s="21" t="s">
        <v>3198</v>
      </c>
      <c r="G3822" s="21" t="s">
        <v>153</v>
      </c>
      <c r="H3822" s="21" t="s">
        <v>1165</v>
      </c>
      <c r="I3822" s="21" t="s">
        <v>3199</v>
      </c>
      <c r="M3822" t="s">
        <v>1157</v>
      </c>
      <c r="U3822" s="21" t="s">
        <v>1246</v>
      </c>
      <c r="V3822" s="9" t="s">
        <v>1217</v>
      </c>
      <c r="W3822">
        <v>35</v>
      </c>
      <c r="X3822" s="9" t="s">
        <v>3203</v>
      </c>
      <c r="Y3822" t="s">
        <v>3209</v>
      </c>
      <c r="Z3822" s="9"/>
      <c r="AD3822" t="s">
        <v>1165</v>
      </c>
      <c r="AF3822" t="s">
        <v>153</v>
      </c>
      <c r="AG3822" t="s">
        <v>3200</v>
      </c>
      <c r="AH3822">
        <f t="shared" si="52"/>
        <v>2880</v>
      </c>
      <c r="AI3822" s="21" t="s">
        <v>1165</v>
      </c>
      <c r="AJ3822" s="21" t="s">
        <v>1278</v>
      </c>
      <c r="AK3822">
        <v>9.0280000000000005</v>
      </c>
      <c r="AN3822" s="21">
        <v>4</v>
      </c>
      <c r="AO3822" s="21">
        <v>100</v>
      </c>
      <c r="AP3822" s="21">
        <v>50</v>
      </c>
      <c r="AQ3822" s="22" t="s">
        <v>1283</v>
      </c>
      <c r="AR3822" s="21" t="s">
        <v>1279</v>
      </c>
    </row>
    <row r="3823" spans="1:44" x14ac:dyDescent="0.2">
      <c r="A3823" s="21" t="s">
        <v>1745</v>
      </c>
      <c r="B3823" s="21" t="s">
        <v>1146</v>
      </c>
      <c r="C3823" s="21" t="s">
        <v>1149</v>
      </c>
      <c r="D3823" s="21" t="s">
        <v>1743</v>
      </c>
      <c r="E3823" s="21" t="s">
        <v>1744</v>
      </c>
      <c r="F3823" s="21" t="s">
        <v>3198</v>
      </c>
      <c r="G3823" s="21" t="s">
        <v>153</v>
      </c>
      <c r="H3823" s="21" t="s">
        <v>1165</v>
      </c>
      <c r="I3823" s="21" t="s">
        <v>3199</v>
      </c>
      <c r="M3823" t="s">
        <v>1157</v>
      </c>
      <c r="U3823" s="21" t="s">
        <v>1246</v>
      </c>
      <c r="V3823" s="9" t="s">
        <v>1217</v>
      </c>
      <c r="W3823">
        <v>35</v>
      </c>
      <c r="X3823" s="9" t="s">
        <v>3203</v>
      </c>
      <c r="Y3823" t="s">
        <v>3209</v>
      </c>
      <c r="Z3823" s="9"/>
      <c r="AD3823" t="s">
        <v>1165</v>
      </c>
      <c r="AF3823" t="s">
        <v>153</v>
      </c>
      <c r="AG3823" t="s">
        <v>3200</v>
      </c>
      <c r="AH3823">
        <f t="shared" si="52"/>
        <v>2880</v>
      </c>
      <c r="AI3823" s="21" t="s">
        <v>1165</v>
      </c>
      <c r="AJ3823" s="21" t="s">
        <v>1278</v>
      </c>
      <c r="AK3823">
        <v>14.361000000000001</v>
      </c>
      <c r="AN3823" s="21">
        <v>4</v>
      </c>
      <c r="AO3823" s="21">
        <v>100</v>
      </c>
      <c r="AP3823" s="21">
        <v>60</v>
      </c>
      <c r="AQ3823" s="22" t="s">
        <v>1283</v>
      </c>
      <c r="AR3823" s="21" t="s">
        <v>1279</v>
      </c>
    </row>
    <row r="3824" spans="1:44" x14ac:dyDescent="0.2">
      <c r="A3824" s="21" t="s">
        <v>1745</v>
      </c>
      <c r="B3824" s="21" t="s">
        <v>1146</v>
      </c>
      <c r="C3824" s="21" t="s">
        <v>1149</v>
      </c>
      <c r="D3824" s="21" t="s">
        <v>1743</v>
      </c>
      <c r="E3824" s="21" t="s">
        <v>1744</v>
      </c>
      <c r="F3824" s="21" t="s">
        <v>3198</v>
      </c>
      <c r="G3824" s="21" t="s">
        <v>153</v>
      </c>
      <c r="H3824" s="21" t="s">
        <v>1165</v>
      </c>
      <c r="I3824" s="21" t="s">
        <v>3199</v>
      </c>
      <c r="M3824" t="s">
        <v>1157</v>
      </c>
      <c r="U3824" s="21" t="s">
        <v>1246</v>
      </c>
      <c r="V3824" s="9" t="s">
        <v>1217</v>
      </c>
      <c r="W3824">
        <v>35</v>
      </c>
      <c r="X3824" s="9" t="s">
        <v>3203</v>
      </c>
      <c r="Y3824" t="s">
        <v>3209</v>
      </c>
      <c r="Z3824" s="9"/>
      <c r="AD3824" t="s">
        <v>1165</v>
      </c>
      <c r="AF3824" t="s">
        <v>153</v>
      </c>
      <c r="AG3824" t="s">
        <v>3200</v>
      </c>
      <c r="AH3824">
        <f t="shared" si="52"/>
        <v>2880</v>
      </c>
      <c r="AI3824" s="21" t="s">
        <v>1165</v>
      </c>
      <c r="AJ3824" s="21" t="s">
        <v>1278</v>
      </c>
      <c r="AK3824">
        <v>25.693999999999999</v>
      </c>
      <c r="AN3824" s="21">
        <v>4</v>
      </c>
      <c r="AO3824" s="21">
        <v>100</v>
      </c>
      <c r="AP3824" s="21">
        <v>70</v>
      </c>
      <c r="AQ3824" s="22" t="s">
        <v>1283</v>
      </c>
      <c r="AR3824" s="21" t="s">
        <v>1279</v>
      </c>
    </row>
    <row r="3825" spans="1:44" x14ac:dyDescent="0.2">
      <c r="A3825" s="21" t="s">
        <v>1745</v>
      </c>
      <c r="B3825" s="21" t="s">
        <v>1146</v>
      </c>
      <c r="C3825" s="21" t="s">
        <v>1149</v>
      </c>
      <c r="D3825" s="21" t="s">
        <v>1743</v>
      </c>
      <c r="E3825" s="21" t="s">
        <v>1744</v>
      </c>
      <c r="F3825" s="21" t="s">
        <v>3198</v>
      </c>
      <c r="G3825" s="21" t="s">
        <v>153</v>
      </c>
      <c r="H3825" s="21" t="s">
        <v>1165</v>
      </c>
      <c r="I3825" s="21" t="s">
        <v>3199</v>
      </c>
      <c r="M3825" t="s">
        <v>1157</v>
      </c>
      <c r="U3825" s="21" t="s">
        <v>1246</v>
      </c>
      <c r="V3825" s="9" t="s">
        <v>1217</v>
      </c>
      <c r="W3825">
        <v>35</v>
      </c>
      <c r="X3825" s="9" t="s">
        <v>3203</v>
      </c>
      <c r="Y3825" t="s">
        <v>3209</v>
      </c>
      <c r="Z3825" s="9"/>
      <c r="AD3825" t="s">
        <v>1165</v>
      </c>
      <c r="AF3825" t="s">
        <v>153</v>
      </c>
      <c r="AG3825" t="s">
        <v>3200</v>
      </c>
      <c r="AH3825">
        <f t="shared" si="52"/>
        <v>2880</v>
      </c>
      <c r="AI3825" s="21" t="s">
        <v>1165</v>
      </c>
      <c r="AJ3825" s="21" t="s">
        <v>1278</v>
      </c>
      <c r="AK3825">
        <v>35.472000000000001</v>
      </c>
      <c r="AN3825" s="21">
        <v>4</v>
      </c>
      <c r="AO3825" s="21">
        <v>100</v>
      </c>
      <c r="AP3825" s="21">
        <v>80</v>
      </c>
      <c r="AQ3825" s="22" t="s">
        <v>1283</v>
      </c>
      <c r="AR3825" s="21" t="s">
        <v>1279</v>
      </c>
    </row>
    <row r="3826" spans="1:44" x14ac:dyDescent="0.2">
      <c r="A3826" s="21" t="s">
        <v>1745</v>
      </c>
      <c r="B3826" s="21" t="s">
        <v>1146</v>
      </c>
      <c r="C3826" s="21" t="s">
        <v>1149</v>
      </c>
      <c r="D3826" s="21" t="s">
        <v>1743</v>
      </c>
      <c r="E3826" s="21" t="s">
        <v>1744</v>
      </c>
      <c r="F3826" s="21" t="s">
        <v>3198</v>
      </c>
      <c r="G3826" s="21" t="s">
        <v>153</v>
      </c>
      <c r="H3826" s="21" t="s">
        <v>1165</v>
      </c>
      <c r="I3826" s="21" t="s">
        <v>3199</v>
      </c>
      <c r="M3826" t="s">
        <v>1157</v>
      </c>
      <c r="U3826" s="21" t="s">
        <v>1246</v>
      </c>
      <c r="V3826" s="9" t="s">
        <v>1217</v>
      </c>
      <c r="W3826">
        <v>35</v>
      </c>
      <c r="X3826" s="9" t="s">
        <v>3203</v>
      </c>
      <c r="Y3826" t="s">
        <v>3209</v>
      </c>
      <c r="Z3826" s="9"/>
      <c r="AD3826" t="s">
        <v>1165</v>
      </c>
      <c r="AF3826" t="s">
        <v>153</v>
      </c>
      <c r="AG3826" t="s">
        <v>3200</v>
      </c>
      <c r="AH3826">
        <f t="shared" si="52"/>
        <v>2880</v>
      </c>
      <c r="AI3826" s="21" t="s">
        <v>1165</v>
      </c>
      <c r="AJ3826" s="21" t="s">
        <v>1278</v>
      </c>
      <c r="AK3826">
        <v>39.25</v>
      </c>
      <c r="AN3826" s="21">
        <v>4</v>
      </c>
      <c r="AO3826" s="21">
        <v>100</v>
      </c>
      <c r="AP3826" s="21">
        <v>84</v>
      </c>
      <c r="AQ3826" s="22" t="s">
        <v>1283</v>
      </c>
      <c r="AR3826" s="21" t="s">
        <v>1279</v>
      </c>
    </row>
    <row r="3827" spans="1:44" x14ac:dyDescent="0.2">
      <c r="A3827" s="21" t="s">
        <v>1745</v>
      </c>
      <c r="B3827" s="21" t="s">
        <v>1146</v>
      </c>
      <c r="C3827" s="21" t="s">
        <v>1149</v>
      </c>
      <c r="D3827" s="21" t="s">
        <v>1743</v>
      </c>
      <c r="E3827" s="21" t="s">
        <v>1744</v>
      </c>
      <c r="F3827" s="21" t="s">
        <v>3198</v>
      </c>
      <c r="G3827" s="21" t="s">
        <v>153</v>
      </c>
      <c r="H3827" s="21" t="s">
        <v>1165</v>
      </c>
      <c r="I3827" s="21" t="s">
        <v>3199</v>
      </c>
      <c r="M3827" t="s">
        <v>1157</v>
      </c>
      <c r="U3827" s="21" t="s">
        <v>1246</v>
      </c>
      <c r="V3827" s="9" t="s">
        <v>1217</v>
      </c>
      <c r="W3827">
        <v>49</v>
      </c>
      <c r="X3827" s="9" t="s">
        <v>3203</v>
      </c>
      <c r="Y3827" t="s">
        <v>3209</v>
      </c>
      <c r="Z3827" s="9"/>
      <c r="AD3827" t="s">
        <v>1165</v>
      </c>
      <c r="AF3827" t="s">
        <v>153</v>
      </c>
      <c r="AG3827" t="s">
        <v>3200</v>
      </c>
      <c r="AH3827">
        <f>48*60</f>
        <v>2880</v>
      </c>
      <c r="AI3827" s="21" t="s">
        <v>1165</v>
      </c>
      <c r="AJ3827" s="21" t="s">
        <v>1278</v>
      </c>
      <c r="AK3827">
        <v>0</v>
      </c>
      <c r="AN3827" s="21">
        <v>4</v>
      </c>
      <c r="AO3827" s="21">
        <v>100</v>
      </c>
      <c r="AP3827" s="21">
        <v>0</v>
      </c>
      <c r="AQ3827" s="22" t="s">
        <v>1283</v>
      </c>
      <c r="AR3827" s="21" t="s">
        <v>1279</v>
      </c>
    </row>
    <row r="3828" spans="1:44" x14ac:dyDescent="0.2">
      <c r="A3828" s="21" t="s">
        <v>1745</v>
      </c>
      <c r="B3828" s="21" t="s">
        <v>1146</v>
      </c>
      <c r="C3828" s="21" t="s">
        <v>1149</v>
      </c>
      <c r="D3828" s="21" t="s">
        <v>1743</v>
      </c>
      <c r="E3828" s="21" t="s">
        <v>1744</v>
      </c>
      <c r="F3828" s="21" t="s">
        <v>3198</v>
      </c>
      <c r="G3828" s="21" t="s">
        <v>153</v>
      </c>
      <c r="H3828" s="21" t="s">
        <v>1165</v>
      </c>
      <c r="I3828" s="21" t="s">
        <v>3199</v>
      </c>
      <c r="M3828" t="s">
        <v>1157</v>
      </c>
      <c r="U3828" s="21" t="s">
        <v>1246</v>
      </c>
      <c r="V3828" s="9" t="s">
        <v>1217</v>
      </c>
      <c r="W3828">
        <v>49</v>
      </c>
      <c r="X3828" s="9" t="s">
        <v>3203</v>
      </c>
      <c r="Y3828" t="s">
        <v>3209</v>
      </c>
      <c r="Z3828" s="9"/>
      <c r="AD3828" t="s">
        <v>1165</v>
      </c>
      <c r="AF3828" t="s">
        <v>153</v>
      </c>
      <c r="AG3828" t="s">
        <v>3200</v>
      </c>
      <c r="AH3828">
        <f t="shared" ref="AH3828:AH3836" si="53">48*60</f>
        <v>2880</v>
      </c>
      <c r="AI3828" s="21" t="s">
        <v>1165</v>
      </c>
      <c r="AJ3828" s="21" t="s">
        <v>1278</v>
      </c>
      <c r="AK3828">
        <v>0</v>
      </c>
      <c r="AN3828" s="21">
        <v>4</v>
      </c>
      <c r="AO3828" s="21">
        <v>100</v>
      </c>
      <c r="AP3828" s="21">
        <v>10</v>
      </c>
      <c r="AQ3828" s="22" t="s">
        <v>1283</v>
      </c>
      <c r="AR3828" s="21" t="s">
        <v>1279</v>
      </c>
    </row>
    <row r="3829" spans="1:44" x14ac:dyDescent="0.2">
      <c r="A3829" s="21" t="s">
        <v>1745</v>
      </c>
      <c r="B3829" s="21" t="s">
        <v>1146</v>
      </c>
      <c r="C3829" s="21" t="s">
        <v>1149</v>
      </c>
      <c r="D3829" s="21" t="s">
        <v>1743</v>
      </c>
      <c r="E3829" s="21" t="s">
        <v>1744</v>
      </c>
      <c r="F3829" s="21" t="s">
        <v>3198</v>
      </c>
      <c r="G3829" s="21" t="s">
        <v>153</v>
      </c>
      <c r="H3829" s="21" t="s">
        <v>1165</v>
      </c>
      <c r="I3829" s="21" t="s">
        <v>3199</v>
      </c>
      <c r="M3829" t="s">
        <v>1157</v>
      </c>
      <c r="U3829" s="21" t="s">
        <v>1246</v>
      </c>
      <c r="V3829" s="9" t="s">
        <v>1217</v>
      </c>
      <c r="W3829">
        <v>49</v>
      </c>
      <c r="X3829" s="9" t="s">
        <v>3203</v>
      </c>
      <c r="Y3829" t="s">
        <v>3209</v>
      </c>
      <c r="Z3829" s="9"/>
      <c r="AD3829" t="s">
        <v>1165</v>
      </c>
      <c r="AF3829" t="s">
        <v>153</v>
      </c>
      <c r="AG3829" t="s">
        <v>3200</v>
      </c>
      <c r="AH3829">
        <f t="shared" si="53"/>
        <v>2880</v>
      </c>
      <c r="AI3829" s="21" t="s">
        <v>1165</v>
      </c>
      <c r="AJ3829" s="21" t="s">
        <v>1278</v>
      </c>
      <c r="AK3829">
        <v>0</v>
      </c>
      <c r="AN3829" s="21">
        <v>4</v>
      </c>
      <c r="AO3829" s="21">
        <v>100</v>
      </c>
      <c r="AP3829" s="21">
        <v>20</v>
      </c>
      <c r="AQ3829" s="22" t="s">
        <v>1283</v>
      </c>
      <c r="AR3829" s="21" t="s">
        <v>1279</v>
      </c>
    </row>
    <row r="3830" spans="1:44" x14ac:dyDescent="0.2">
      <c r="A3830" s="21" t="s">
        <v>1745</v>
      </c>
      <c r="B3830" s="21" t="s">
        <v>1146</v>
      </c>
      <c r="C3830" s="21" t="s">
        <v>1149</v>
      </c>
      <c r="D3830" s="21" t="s">
        <v>1743</v>
      </c>
      <c r="E3830" s="21" t="s">
        <v>1744</v>
      </c>
      <c r="F3830" s="21" t="s">
        <v>3198</v>
      </c>
      <c r="G3830" s="21" t="s">
        <v>153</v>
      </c>
      <c r="H3830" s="21" t="s">
        <v>1165</v>
      </c>
      <c r="I3830" s="21" t="s">
        <v>3199</v>
      </c>
      <c r="M3830" t="s">
        <v>1157</v>
      </c>
      <c r="U3830" s="21" t="s">
        <v>1246</v>
      </c>
      <c r="V3830" s="9" t="s">
        <v>1217</v>
      </c>
      <c r="W3830">
        <v>49</v>
      </c>
      <c r="X3830" s="9" t="s">
        <v>3203</v>
      </c>
      <c r="Y3830" t="s">
        <v>3209</v>
      </c>
      <c r="Z3830" s="9"/>
      <c r="AD3830" t="s">
        <v>1165</v>
      </c>
      <c r="AF3830" t="s">
        <v>153</v>
      </c>
      <c r="AG3830" t="s">
        <v>3200</v>
      </c>
      <c r="AH3830">
        <f t="shared" si="53"/>
        <v>2880</v>
      </c>
      <c r="AI3830" s="21" t="s">
        <v>1165</v>
      </c>
      <c r="AJ3830" s="21" t="s">
        <v>1278</v>
      </c>
      <c r="AK3830">
        <v>7.1669999999999998</v>
      </c>
      <c r="AN3830" s="21">
        <v>4</v>
      </c>
      <c r="AO3830" s="21">
        <v>100</v>
      </c>
      <c r="AP3830" s="21">
        <v>30</v>
      </c>
      <c r="AQ3830" s="22" t="s">
        <v>1283</v>
      </c>
      <c r="AR3830" s="21" t="s">
        <v>1279</v>
      </c>
    </row>
    <row r="3831" spans="1:44" x14ac:dyDescent="0.2">
      <c r="A3831" s="21" t="s">
        <v>1745</v>
      </c>
      <c r="B3831" s="21" t="s">
        <v>1146</v>
      </c>
      <c r="C3831" s="21" t="s">
        <v>1149</v>
      </c>
      <c r="D3831" s="21" t="s">
        <v>1743</v>
      </c>
      <c r="E3831" s="21" t="s">
        <v>1744</v>
      </c>
      <c r="F3831" s="21" t="s">
        <v>3198</v>
      </c>
      <c r="G3831" s="21" t="s">
        <v>153</v>
      </c>
      <c r="H3831" s="21" t="s">
        <v>1165</v>
      </c>
      <c r="I3831" s="21" t="s">
        <v>3199</v>
      </c>
      <c r="M3831" t="s">
        <v>1157</v>
      </c>
      <c r="U3831" s="21" t="s">
        <v>1246</v>
      </c>
      <c r="V3831" s="9" t="s">
        <v>1217</v>
      </c>
      <c r="W3831">
        <v>49</v>
      </c>
      <c r="X3831" s="9" t="s">
        <v>3203</v>
      </c>
      <c r="Y3831" t="s">
        <v>3209</v>
      </c>
      <c r="Z3831" s="9"/>
      <c r="AD3831" t="s">
        <v>1165</v>
      </c>
      <c r="AF3831" t="s">
        <v>153</v>
      </c>
      <c r="AG3831" t="s">
        <v>3200</v>
      </c>
      <c r="AH3831">
        <f t="shared" si="53"/>
        <v>2880</v>
      </c>
      <c r="AI3831" s="21" t="s">
        <v>1165</v>
      </c>
      <c r="AJ3831" s="21" t="s">
        <v>1278</v>
      </c>
      <c r="AK3831">
        <v>13.917</v>
      </c>
      <c r="AN3831" s="21">
        <v>4</v>
      </c>
      <c r="AO3831" s="21">
        <v>100</v>
      </c>
      <c r="AP3831" s="21">
        <v>40</v>
      </c>
      <c r="AQ3831" s="22" t="s">
        <v>1283</v>
      </c>
      <c r="AR3831" s="21" t="s">
        <v>1279</v>
      </c>
    </row>
    <row r="3832" spans="1:44" x14ac:dyDescent="0.2">
      <c r="A3832" s="21" t="s">
        <v>1745</v>
      </c>
      <c r="B3832" s="21" t="s">
        <v>1146</v>
      </c>
      <c r="C3832" s="21" t="s">
        <v>1149</v>
      </c>
      <c r="D3832" s="21" t="s">
        <v>1743</v>
      </c>
      <c r="E3832" s="21" t="s">
        <v>1744</v>
      </c>
      <c r="F3832" s="21" t="s">
        <v>3198</v>
      </c>
      <c r="G3832" s="21" t="s">
        <v>153</v>
      </c>
      <c r="H3832" s="21" t="s">
        <v>1165</v>
      </c>
      <c r="I3832" s="21" t="s">
        <v>3199</v>
      </c>
      <c r="M3832" t="s">
        <v>1157</v>
      </c>
      <c r="U3832" s="21" t="s">
        <v>1246</v>
      </c>
      <c r="V3832" s="9" t="s">
        <v>1217</v>
      </c>
      <c r="W3832">
        <v>49</v>
      </c>
      <c r="X3832" s="9" t="s">
        <v>3203</v>
      </c>
      <c r="Y3832" t="s">
        <v>3209</v>
      </c>
      <c r="Z3832" s="9"/>
      <c r="AD3832" t="s">
        <v>1165</v>
      </c>
      <c r="AF3832" t="s">
        <v>153</v>
      </c>
      <c r="AG3832" t="s">
        <v>3200</v>
      </c>
      <c r="AH3832">
        <f t="shared" si="53"/>
        <v>2880</v>
      </c>
      <c r="AI3832" s="21" t="s">
        <v>1165</v>
      </c>
      <c r="AJ3832" s="21" t="s">
        <v>1278</v>
      </c>
      <c r="AK3832">
        <v>15.25</v>
      </c>
      <c r="AN3832" s="21">
        <v>4</v>
      </c>
      <c r="AO3832" s="21">
        <v>100</v>
      </c>
      <c r="AP3832" s="21">
        <v>50</v>
      </c>
      <c r="AQ3832" s="22" t="s">
        <v>1283</v>
      </c>
      <c r="AR3832" s="21" t="s">
        <v>1279</v>
      </c>
    </row>
    <row r="3833" spans="1:44" x14ac:dyDescent="0.2">
      <c r="A3833" s="21" t="s">
        <v>1745</v>
      </c>
      <c r="B3833" s="21" t="s">
        <v>1146</v>
      </c>
      <c r="C3833" s="21" t="s">
        <v>1149</v>
      </c>
      <c r="D3833" s="21" t="s">
        <v>1743</v>
      </c>
      <c r="E3833" s="21" t="s">
        <v>1744</v>
      </c>
      <c r="F3833" s="21" t="s">
        <v>3198</v>
      </c>
      <c r="G3833" s="21" t="s">
        <v>153</v>
      </c>
      <c r="H3833" s="21" t="s">
        <v>1165</v>
      </c>
      <c r="I3833" s="21" t="s">
        <v>3199</v>
      </c>
      <c r="M3833" t="s">
        <v>1157</v>
      </c>
      <c r="U3833" s="21" t="s">
        <v>1246</v>
      </c>
      <c r="V3833" s="9" t="s">
        <v>1217</v>
      </c>
      <c r="W3833">
        <v>49</v>
      </c>
      <c r="X3833" s="9" t="s">
        <v>3203</v>
      </c>
      <c r="Y3833" t="s">
        <v>3209</v>
      </c>
      <c r="Z3833" s="9"/>
      <c r="AD3833" t="s">
        <v>1165</v>
      </c>
      <c r="AF3833" t="s">
        <v>153</v>
      </c>
      <c r="AG3833" t="s">
        <v>3200</v>
      </c>
      <c r="AH3833">
        <f t="shared" si="53"/>
        <v>2880</v>
      </c>
      <c r="AI3833" s="21" t="s">
        <v>1165</v>
      </c>
      <c r="AJ3833" s="21" t="s">
        <v>1278</v>
      </c>
      <c r="AK3833">
        <v>25.472000000000001</v>
      </c>
      <c r="AN3833" s="21">
        <v>4</v>
      </c>
      <c r="AO3833" s="21">
        <v>100</v>
      </c>
      <c r="AP3833" s="21">
        <v>60</v>
      </c>
      <c r="AQ3833" s="22" t="s">
        <v>1283</v>
      </c>
      <c r="AR3833" s="21" t="s">
        <v>1279</v>
      </c>
    </row>
    <row r="3834" spans="1:44" x14ac:dyDescent="0.2">
      <c r="A3834" s="21" t="s">
        <v>1745</v>
      </c>
      <c r="B3834" s="21" t="s">
        <v>1146</v>
      </c>
      <c r="C3834" s="21" t="s">
        <v>1149</v>
      </c>
      <c r="D3834" s="21" t="s">
        <v>1743</v>
      </c>
      <c r="E3834" s="21" t="s">
        <v>1744</v>
      </c>
      <c r="F3834" s="21" t="s">
        <v>3198</v>
      </c>
      <c r="G3834" s="21" t="s">
        <v>153</v>
      </c>
      <c r="H3834" s="21" t="s">
        <v>1165</v>
      </c>
      <c r="I3834" s="21" t="s">
        <v>3199</v>
      </c>
      <c r="M3834" t="s">
        <v>1157</v>
      </c>
      <c r="U3834" s="21" t="s">
        <v>1246</v>
      </c>
      <c r="V3834" s="9" t="s">
        <v>1217</v>
      </c>
      <c r="W3834">
        <v>49</v>
      </c>
      <c r="X3834" s="9" t="s">
        <v>3203</v>
      </c>
      <c r="Y3834" t="s">
        <v>3209</v>
      </c>
      <c r="Z3834" s="9"/>
      <c r="AD3834" t="s">
        <v>1165</v>
      </c>
      <c r="AF3834" t="s">
        <v>153</v>
      </c>
      <c r="AG3834" t="s">
        <v>3200</v>
      </c>
      <c r="AH3834">
        <f t="shared" si="53"/>
        <v>2880</v>
      </c>
      <c r="AI3834" s="21" t="s">
        <v>1165</v>
      </c>
      <c r="AJ3834" s="21" t="s">
        <v>1278</v>
      </c>
      <c r="AK3834">
        <v>40.805999999999997</v>
      </c>
      <c r="AN3834" s="21">
        <v>4</v>
      </c>
      <c r="AO3834" s="21">
        <v>100</v>
      </c>
      <c r="AP3834" s="21">
        <v>70</v>
      </c>
      <c r="AQ3834" s="22" t="s">
        <v>1283</v>
      </c>
      <c r="AR3834" s="21" t="s">
        <v>1279</v>
      </c>
    </row>
    <row r="3835" spans="1:44" x14ac:dyDescent="0.2">
      <c r="A3835" s="21" t="s">
        <v>1745</v>
      </c>
      <c r="B3835" s="21" t="s">
        <v>1146</v>
      </c>
      <c r="C3835" s="21" t="s">
        <v>1149</v>
      </c>
      <c r="D3835" s="21" t="s">
        <v>1743</v>
      </c>
      <c r="E3835" s="21" t="s">
        <v>1744</v>
      </c>
      <c r="F3835" s="21" t="s">
        <v>3198</v>
      </c>
      <c r="G3835" s="21" t="s">
        <v>153</v>
      </c>
      <c r="H3835" s="21" t="s">
        <v>1165</v>
      </c>
      <c r="I3835" s="21" t="s">
        <v>3199</v>
      </c>
      <c r="M3835" t="s">
        <v>1157</v>
      </c>
      <c r="U3835" s="21" t="s">
        <v>1246</v>
      </c>
      <c r="V3835" s="9" t="s">
        <v>1217</v>
      </c>
      <c r="W3835">
        <v>49</v>
      </c>
      <c r="X3835" s="9" t="s">
        <v>3203</v>
      </c>
      <c r="Y3835" t="s">
        <v>3209</v>
      </c>
      <c r="Z3835" s="9"/>
      <c r="AD3835" t="s">
        <v>1165</v>
      </c>
      <c r="AF3835" t="s">
        <v>153</v>
      </c>
      <c r="AG3835" t="s">
        <v>3200</v>
      </c>
      <c r="AH3835">
        <f t="shared" si="53"/>
        <v>2880</v>
      </c>
      <c r="AI3835" s="21" t="s">
        <v>1165</v>
      </c>
      <c r="AJ3835" s="21" t="s">
        <v>1278</v>
      </c>
      <c r="AK3835">
        <v>49.694000000000003</v>
      </c>
      <c r="AN3835" s="21">
        <v>4</v>
      </c>
      <c r="AO3835" s="21">
        <v>100</v>
      </c>
      <c r="AP3835" s="21">
        <v>80</v>
      </c>
      <c r="AQ3835" s="22" t="s">
        <v>1283</v>
      </c>
      <c r="AR3835" s="21" t="s">
        <v>1279</v>
      </c>
    </row>
    <row r="3836" spans="1:44" x14ac:dyDescent="0.2">
      <c r="A3836" s="21" t="s">
        <v>1745</v>
      </c>
      <c r="B3836" s="21" t="s">
        <v>1146</v>
      </c>
      <c r="C3836" s="21" t="s">
        <v>1149</v>
      </c>
      <c r="D3836" s="21" t="s">
        <v>1743</v>
      </c>
      <c r="E3836" s="21" t="s">
        <v>1744</v>
      </c>
      <c r="F3836" s="21" t="s">
        <v>3198</v>
      </c>
      <c r="G3836" s="21" t="s">
        <v>153</v>
      </c>
      <c r="H3836" s="21" t="s">
        <v>1165</v>
      </c>
      <c r="I3836" s="21" t="s">
        <v>3199</v>
      </c>
      <c r="M3836" t="s">
        <v>1157</v>
      </c>
      <c r="U3836" s="21" t="s">
        <v>1246</v>
      </c>
      <c r="V3836" s="9" t="s">
        <v>1217</v>
      </c>
      <c r="W3836">
        <v>49</v>
      </c>
      <c r="X3836" s="9" t="s">
        <v>3203</v>
      </c>
      <c r="Y3836" t="s">
        <v>3209</v>
      </c>
      <c r="Z3836" s="9"/>
      <c r="AD3836" t="s">
        <v>1165</v>
      </c>
      <c r="AF3836" t="s">
        <v>153</v>
      </c>
      <c r="AG3836" t="s">
        <v>3200</v>
      </c>
      <c r="AH3836">
        <f t="shared" si="53"/>
        <v>2880</v>
      </c>
      <c r="AI3836" s="21" t="s">
        <v>1165</v>
      </c>
      <c r="AJ3836" s="21" t="s">
        <v>1278</v>
      </c>
      <c r="AK3836">
        <v>52.139000000000003</v>
      </c>
      <c r="AN3836" s="21">
        <v>4</v>
      </c>
      <c r="AO3836" s="21">
        <v>100</v>
      </c>
      <c r="AP3836" s="21">
        <v>84</v>
      </c>
      <c r="AQ3836" s="22" t="s">
        <v>1283</v>
      </c>
      <c r="AR3836" s="21" t="s">
        <v>1279</v>
      </c>
    </row>
    <row r="3837" spans="1:44" x14ac:dyDescent="0.2">
      <c r="A3837" s="21" t="s">
        <v>1745</v>
      </c>
      <c r="B3837" s="21" t="s">
        <v>1146</v>
      </c>
      <c r="C3837" s="21" t="s">
        <v>1149</v>
      </c>
      <c r="D3837" s="21" t="s">
        <v>1743</v>
      </c>
      <c r="E3837" s="21" t="s">
        <v>1744</v>
      </c>
      <c r="F3837" s="21" t="s">
        <v>3198</v>
      </c>
      <c r="G3837" s="21" t="s">
        <v>153</v>
      </c>
      <c r="H3837" s="21" t="s">
        <v>1165</v>
      </c>
      <c r="I3837" s="21" t="s">
        <v>3199</v>
      </c>
      <c r="M3837" t="s">
        <v>1157</v>
      </c>
      <c r="U3837" s="21" t="s">
        <v>1246</v>
      </c>
      <c r="V3837" s="9" t="s">
        <v>1217</v>
      </c>
      <c r="W3837">
        <f>9*7</f>
        <v>63</v>
      </c>
      <c r="X3837" s="9" t="s">
        <v>3203</v>
      </c>
      <c r="Y3837" t="s">
        <v>3209</v>
      </c>
      <c r="Z3837" s="9"/>
      <c r="AD3837" t="s">
        <v>1165</v>
      </c>
      <c r="AF3837" t="s">
        <v>153</v>
      </c>
      <c r="AG3837" t="s">
        <v>3200</v>
      </c>
      <c r="AH3837">
        <f>48*60</f>
        <v>2880</v>
      </c>
      <c r="AI3837" s="21" t="s">
        <v>1165</v>
      </c>
      <c r="AJ3837" s="21" t="s">
        <v>1278</v>
      </c>
      <c r="AK3837">
        <v>0</v>
      </c>
      <c r="AN3837" s="21">
        <v>4</v>
      </c>
      <c r="AO3837" s="21">
        <v>100</v>
      </c>
      <c r="AP3837" s="21">
        <v>0</v>
      </c>
      <c r="AQ3837" s="22" t="s">
        <v>1283</v>
      </c>
      <c r="AR3837" s="21" t="s">
        <v>1279</v>
      </c>
    </row>
    <row r="3838" spans="1:44" x14ac:dyDescent="0.2">
      <c r="A3838" s="21" t="s">
        <v>1745</v>
      </c>
      <c r="B3838" s="21" t="s">
        <v>1146</v>
      </c>
      <c r="C3838" s="21" t="s">
        <v>1149</v>
      </c>
      <c r="D3838" s="21" t="s">
        <v>1743</v>
      </c>
      <c r="E3838" s="21" t="s">
        <v>1744</v>
      </c>
      <c r="F3838" s="21" t="s">
        <v>3198</v>
      </c>
      <c r="G3838" s="21" t="s">
        <v>153</v>
      </c>
      <c r="H3838" s="21" t="s">
        <v>1165</v>
      </c>
      <c r="I3838" s="21" t="s">
        <v>3199</v>
      </c>
      <c r="M3838" t="s">
        <v>1157</v>
      </c>
      <c r="U3838" s="21" t="s">
        <v>1246</v>
      </c>
      <c r="V3838" s="9" t="s">
        <v>1217</v>
      </c>
      <c r="W3838">
        <f t="shared" ref="W3838:W3846" si="54">9*7</f>
        <v>63</v>
      </c>
      <c r="X3838" s="9" t="s">
        <v>3203</v>
      </c>
      <c r="Y3838" t="s">
        <v>3209</v>
      </c>
      <c r="Z3838" s="9"/>
      <c r="AD3838" t="s">
        <v>1165</v>
      </c>
      <c r="AF3838" t="s">
        <v>153</v>
      </c>
      <c r="AG3838" t="s">
        <v>3200</v>
      </c>
      <c r="AH3838">
        <f t="shared" ref="AH3838:AH3846" si="55">48*60</f>
        <v>2880</v>
      </c>
      <c r="AI3838" s="21" t="s">
        <v>1165</v>
      </c>
      <c r="AJ3838" s="21" t="s">
        <v>1278</v>
      </c>
      <c r="AK3838">
        <v>0</v>
      </c>
      <c r="AN3838" s="21">
        <v>4</v>
      </c>
      <c r="AO3838" s="21">
        <v>100</v>
      </c>
      <c r="AP3838" s="21">
        <v>10</v>
      </c>
      <c r="AQ3838" s="22" t="s">
        <v>1283</v>
      </c>
      <c r="AR3838" s="21" t="s">
        <v>1279</v>
      </c>
    </row>
    <row r="3839" spans="1:44" x14ac:dyDescent="0.2">
      <c r="A3839" s="21" t="s">
        <v>1745</v>
      </c>
      <c r="B3839" s="21" t="s">
        <v>1146</v>
      </c>
      <c r="C3839" s="21" t="s">
        <v>1149</v>
      </c>
      <c r="D3839" s="21" t="s">
        <v>1743</v>
      </c>
      <c r="E3839" s="21" t="s">
        <v>1744</v>
      </c>
      <c r="F3839" s="21" t="s">
        <v>3198</v>
      </c>
      <c r="G3839" s="21" t="s">
        <v>153</v>
      </c>
      <c r="H3839" s="21" t="s">
        <v>1165</v>
      </c>
      <c r="I3839" s="21" t="s">
        <v>3199</v>
      </c>
      <c r="M3839" t="s">
        <v>1157</v>
      </c>
      <c r="U3839" s="21" t="s">
        <v>1246</v>
      </c>
      <c r="V3839" s="9" t="s">
        <v>1217</v>
      </c>
      <c r="W3839">
        <f t="shared" si="54"/>
        <v>63</v>
      </c>
      <c r="X3839" s="9" t="s">
        <v>3203</v>
      </c>
      <c r="Y3839" t="s">
        <v>3209</v>
      </c>
      <c r="Z3839" s="9"/>
      <c r="AD3839" t="s">
        <v>1165</v>
      </c>
      <c r="AF3839" t="s">
        <v>153</v>
      </c>
      <c r="AG3839" t="s">
        <v>3200</v>
      </c>
      <c r="AH3839">
        <f t="shared" si="55"/>
        <v>2880</v>
      </c>
      <c r="AI3839" s="21" t="s">
        <v>1165</v>
      </c>
      <c r="AJ3839" s="21" t="s">
        <v>1278</v>
      </c>
      <c r="AK3839">
        <v>0</v>
      </c>
      <c r="AN3839" s="21">
        <v>4</v>
      </c>
      <c r="AO3839" s="21">
        <v>100</v>
      </c>
      <c r="AP3839" s="21">
        <v>20</v>
      </c>
      <c r="AQ3839" s="22" t="s">
        <v>1283</v>
      </c>
      <c r="AR3839" s="21" t="s">
        <v>1279</v>
      </c>
    </row>
    <row r="3840" spans="1:44" x14ac:dyDescent="0.2">
      <c r="A3840" s="21" t="s">
        <v>1745</v>
      </c>
      <c r="B3840" s="21" t="s">
        <v>1146</v>
      </c>
      <c r="C3840" s="21" t="s">
        <v>1149</v>
      </c>
      <c r="D3840" s="21" t="s">
        <v>1743</v>
      </c>
      <c r="E3840" s="21" t="s">
        <v>1744</v>
      </c>
      <c r="F3840" s="21" t="s">
        <v>3198</v>
      </c>
      <c r="G3840" s="21" t="s">
        <v>153</v>
      </c>
      <c r="H3840" s="21" t="s">
        <v>1165</v>
      </c>
      <c r="I3840" s="21" t="s">
        <v>3199</v>
      </c>
      <c r="M3840" t="s">
        <v>1157</v>
      </c>
      <c r="U3840" s="21" t="s">
        <v>1246</v>
      </c>
      <c r="V3840" s="9" t="s">
        <v>1217</v>
      </c>
      <c r="W3840">
        <f t="shared" si="54"/>
        <v>63</v>
      </c>
      <c r="X3840" s="9" t="s">
        <v>3203</v>
      </c>
      <c r="Y3840" t="s">
        <v>3209</v>
      </c>
      <c r="Z3840" s="9"/>
      <c r="AD3840" t="s">
        <v>1165</v>
      </c>
      <c r="AF3840" t="s">
        <v>153</v>
      </c>
      <c r="AG3840" t="s">
        <v>3200</v>
      </c>
      <c r="AH3840">
        <f t="shared" si="55"/>
        <v>2880</v>
      </c>
      <c r="AI3840" s="21" t="s">
        <v>1165</v>
      </c>
      <c r="AJ3840" s="21" t="s">
        <v>1278</v>
      </c>
      <c r="AK3840">
        <v>37.917000000000002</v>
      </c>
      <c r="AN3840" s="21">
        <v>4</v>
      </c>
      <c r="AO3840" s="21">
        <v>100</v>
      </c>
      <c r="AP3840" s="21">
        <v>30</v>
      </c>
      <c r="AQ3840" s="22" t="s">
        <v>1283</v>
      </c>
      <c r="AR3840" s="21" t="s">
        <v>1279</v>
      </c>
    </row>
    <row r="3841" spans="1:44" x14ac:dyDescent="0.2">
      <c r="A3841" s="21" t="s">
        <v>1745</v>
      </c>
      <c r="B3841" s="21" t="s">
        <v>1146</v>
      </c>
      <c r="C3841" s="21" t="s">
        <v>1149</v>
      </c>
      <c r="D3841" s="21" t="s">
        <v>1743</v>
      </c>
      <c r="E3841" s="21" t="s">
        <v>1744</v>
      </c>
      <c r="F3841" s="21" t="s">
        <v>3198</v>
      </c>
      <c r="G3841" s="21" t="s">
        <v>153</v>
      </c>
      <c r="H3841" s="21" t="s">
        <v>1165</v>
      </c>
      <c r="I3841" s="21" t="s">
        <v>3199</v>
      </c>
      <c r="M3841" t="s">
        <v>1157</v>
      </c>
      <c r="U3841" s="21" t="s">
        <v>1246</v>
      </c>
      <c r="V3841" s="9" t="s">
        <v>1217</v>
      </c>
      <c r="W3841">
        <f t="shared" si="54"/>
        <v>63</v>
      </c>
      <c r="X3841" s="9" t="s">
        <v>3203</v>
      </c>
      <c r="Y3841" t="s">
        <v>3209</v>
      </c>
      <c r="Z3841" s="9"/>
      <c r="AD3841" t="s">
        <v>1165</v>
      </c>
      <c r="AF3841" t="s">
        <v>153</v>
      </c>
      <c r="AG3841" t="s">
        <v>3200</v>
      </c>
      <c r="AH3841">
        <f t="shared" si="55"/>
        <v>2880</v>
      </c>
      <c r="AI3841" s="21" t="s">
        <v>1165</v>
      </c>
      <c r="AJ3841" s="21" t="s">
        <v>1278</v>
      </c>
      <c r="AK3841">
        <v>56.582999999999998</v>
      </c>
      <c r="AN3841" s="21">
        <v>4</v>
      </c>
      <c r="AO3841" s="21">
        <v>100</v>
      </c>
      <c r="AP3841" s="21">
        <v>40</v>
      </c>
      <c r="AQ3841" s="22" t="s">
        <v>1283</v>
      </c>
      <c r="AR3841" s="21" t="s">
        <v>1279</v>
      </c>
    </row>
    <row r="3842" spans="1:44" x14ac:dyDescent="0.2">
      <c r="A3842" s="21" t="s">
        <v>1745</v>
      </c>
      <c r="B3842" s="21" t="s">
        <v>1146</v>
      </c>
      <c r="C3842" s="21" t="s">
        <v>1149</v>
      </c>
      <c r="D3842" s="21" t="s">
        <v>1743</v>
      </c>
      <c r="E3842" s="21" t="s">
        <v>1744</v>
      </c>
      <c r="F3842" s="21" t="s">
        <v>3198</v>
      </c>
      <c r="G3842" s="21" t="s">
        <v>153</v>
      </c>
      <c r="H3842" s="21" t="s">
        <v>1165</v>
      </c>
      <c r="I3842" s="21" t="s">
        <v>3199</v>
      </c>
      <c r="M3842" t="s">
        <v>1157</v>
      </c>
      <c r="U3842" s="21" t="s">
        <v>1246</v>
      </c>
      <c r="V3842" s="9" t="s">
        <v>1217</v>
      </c>
      <c r="W3842">
        <f t="shared" si="54"/>
        <v>63</v>
      </c>
      <c r="X3842" s="9" t="s">
        <v>3203</v>
      </c>
      <c r="Y3842" t="s">
        <v>3209</v>
      </c>
      <c r="Z3842" s="9"/>
      <c r="AD3842" t="s">
        <v>1165</v>
      </c>
      <c r="AF3842" t="s">
        <v>153</v>
      </c>
      <c r="AG3842" t="s">
        <v>3200</v>
      </c>
      <c r="AH3842">
        <f t="shared" si="55"/>
        <v>2880</v>
      </c>
      <c r="AI3842" s="21" t="s">
        <v>1165</v>
      </c>
      <c r="AJ3842" s="21" t="s">
        <v>1278</v>
      </c>
      <c r="AK3842">
        <v>57.25</v>
      </c>
      <c r="AN3842" s="21">
        <v>4</v>
      </c>
      <c r="AO3842" s="21">
        <v>100</v>
      </c>
      <c r="AP3842" s="21">
        <v>50</v>
      </c>
      <c r="AQ3842" s="22" t="s">
        <v>1283</v>
      </c>
      <c r="AR3842" s="21" t="s">
        <v>1279</v>
      </c>
    </row>
    <row r="3843" spans="1:44" x14ac:dyDescent="0.2">
      <c r="A3843" s="21" t="s">
        <v>1745</v>
      </c>
      <c r="B3843" s="21" t="s">
        <v>1146</v>
      </c>
      <c r="C3843" s="21" t="s">
        <v>1149</v>
      </c>
      <c r="D3843" s="21" t="s">
        <v>1743</v>
      </c>
      <c r="E3843" s="21" t="s">
        <v>1744</v>
      </c>
      <c r="F3843" s="21" t="s">
        <v>3198</v>
      </c>
      <c r="G3843" s="21" t="s">
        <v>153</v>
      </c>
      <c r="H3843" s="21" t="s">
        <v>1165</v>
      </c>
      <c r="I3843" s="21" t="s">
        <v>3199</v>
      </c>
      <c r="M3843" t="s">
        <v>1157</v>
      </c>
      <c r="U3843" s="21" t="s">
        <v>1246</v>
      </c>
      <c r="V3843" s="9" t="s">
        <v>1217</v>
      </c>
      <c r="W3843">
        <f t="shared" si="54"/>
        <v>63</v>
      </c>
      <c r="X3843" s="9" t="s">
        <v>3203</v>
      </c>
      <c r="Y3843" t="s">
        <v>3209</v>
      </c>
      <c r="Z3843" s="9"/>
      <c r="AD3843" t="s">
        <v>1165</v>
      </c>
      <c r="AF3843" t="s">
        <v>153</v>
      </c>
      <c r="AG3843" t="s">
        <v>3200</v>
      </c>
      <c r="AH3843">
        <f t="shared" si="55"/>
        <v>2880</v>
      </c>
      <c r="AI3843" s="21" t="s">
        <v>1165</v>
      </c>
      <c r="AJ3843" s="21" t="s">
        <v>1278</v>
      </c>
      <c r="AK3843">
        <v>60.139000000000003</v>
      </c>
      <c r="AN3843" s="21">
        <v>4</v>
      </c>
      <c r="AO3843" s="21">
        <v>100</v>
      </c>
      <c r="AP3843" s="21">
        <v>60</v>
      </c>
      <c r="AQ3843" s="22" t="s">
        <v>1283</v>
      </c>
      <c r="AR3843" s="21" t="s">
        <v>1279</v>
      </c>
    </row>
    <row r="3844" spans="1:44" x14ac:dyDescent="0.2">
      <c r="A3844" s="21" t="s">
        <v>1745</v>
      </c>
      <c r="B3844" s="21" t="s">
        <v>1146</v>
      </c>
      <c r="C3844" s="21" t="s">
        <v>1149</v>
      </c>
      <c r="D3844" s="21" t="s">
        <v>1743</v>
      </c>
      <c r="E3844" s="21" t="s">
        <v>1744</v>
      </c>
      <c r="F3844" s="21" t="s">
        <v>3198</v>
      </c>
      <c r="G3844" s="21" t="s">
        <v>153</v>
      </c>
      <c r="H3844" s="21" t="s">
        <v>1165</v>
      </c>
      <c r="I3844" s="21" t="s">
        <v>3199</v>
      </c>
      <c r="M3844" t="s">
        <v>1157</v>
      </c>
      <c r="U3844" s="21" t="s">
        <v>1246</v>
      </c>
      <c r="V3844" s="9" t="s">
        <v>1217</v>
      </c>
      <c r="W3844">
        <f t="shared" si="54"/>
        <v>63</v>
      </c>
      <c r="X3844" s="9" t="s">
        <v>3203</v>
      </c>
      <c r="Y3844" t="s">
        <v>3209</v>
      </c>
      <c r="Z3844" s="9"/>
      <c r="AD3844" t="s">
        <v>1165</v>
      </c>
      <c r="AF3844" t="s">
        <v>153</v>
      </c>
      <c r="AG3844" t="s">
        <v>3200</v>
      </c>
      <c r="AH3844">
        <f t="shared" si="55"/>
        <v>2880</v>
      </c>
      <c r="AI3844" s="21" t="s">
        <v>1165</v>
      </c>
      <c r="AJ3844" s="21" t="s">
        <v>1278</v>
      </c>
      <c r="AK3844">
        <v>63.694000000000003</v>
      </c>
      <c r="AN3844" s="21">
        <v>4</v>
      </c>
      <c r="AO3844" s="21">
        <v>100</v>
      </c>
      <c r="AP3844" s="21">
        <v>70</v>
      </c>
      <c r="AQ3844" s="22" t="s">
        <v>1283</v>
      </c>
      <c r="AR3844" s="21" t="s">
        <v>1279</v>
      </c>
    </row>
    <row r="3845" spans="1:44" x14ac:dyDescent="0.2">
      <c r="A3845" s="21" t="s">
        <v>1745</v>
      </c>
      <c r="B3845" s="21" t="s">
        <v>1146</v>
      </c>
      <c r="C3845" s="21" t="s">
        <v>1149</v>
      </c>
      <c r="D3845" s="21" t="s">
        <v>1743</v>
      </c>
      <c r="E3845" s="21" t="s">
        <v>1744</v>
      </c>
      <c r="F3845" s="21" t="s">
        <v>3198</v>
      </c>
      <c r="G3845" s="21" t="s">
        <v>153</v>
      </c>
      <c r="H3845" s="21" t="s">
        <v>1165</v>
      </c>
      <c r="I3845" s="21" t="s">
        <v>3199</v>
      </c>
      <c r="M3845" t="s">
        <v>1157</v>
      </c>
      <c r="U3845" s="21" t="s">
        <v>1246</v>
      </c>
      <c r="V3845" s="9" t="s">
        <v>1217</v>
      </c>
      <c r="W3845">
        <f t="shared" si="54"/>
        <v>63</v>
      </c>
      <c r="X3845" s="9" t="s">
        <v>3203</v>
      </c>
      <c r="Y3845" t="s">
        <v>3209</v>
      </c>
      <c r="Z3845" s="9"/>
      <c r="AD3845" t="s">
        <v>1165</v>
      </c>
      <c r="AF3845" t="s">
        <v>153</v>
      </c>
      <c r="AG3845" t="s">
        <v>3200</v>
      </c>
      <c r="AH3845">
        <f t="shared" si="55"/>
        <v>2880</v>
      </c>
      <c r="AI3845" s="21" t="s">
        <v>1165</v>
      </c>
      <c r="AJ3845" s="21" t="s">
        <v>1278</v>
      </c>
      <c r="AK3845">
        <v>66.138999999999996</v>
      </c>
      <c r="AN3845" s="21">
        <v>4</v>
      </c>
      <c r="AO3845" s="21">
        <v>100</v>
      </c>
      <c r="AP3845" s="21">
        <v>80</v>
      </c>
      <c r="AQ3845" s="22" t="s">
        <v>1283</v>
      </c>
      <c r="AR3845" s="21" t="s">
        <v>1279</v>
      </c>
    </row>
    <row r="3846" spans="1:44" x14ac:dyDescent="0.2">
      <c r="A3846" s="21" t="s">
        <v>1745</v>
      </c>
      <c r="B3846" s="21" t="s">
        <v>1146</v>
      </c>
      <c r="C3846" s="21" t="s">
        <v>1149</v>
      </c>
      <c r="D3846" s="21" t="s">
        <v>1743</v>
      </c>
      <c r="E3846" s="21" t="s">
        <v>1744</v>
      </c>
      <c r="F3846" s="21" t="s">
        <v>3198</v>
      </c>
      <c r="G3846" s="21" t="s">
        <v>153</v>
      </c>
      <c r="H3846" s="21" t="s">
        <v>1165</v>
      </c>
      <c r="I3846" s="21" t="s">
        <v>3199</v>
      </c>
      <c r="M3846" t="s">
        <v>1157</v>
      </c>
      <c r="U3846" s="21" t="s">
        <v>1246</v>
      </c>
      <c r="V3846" s="9" t="s">
        <v>1217</v>
      </c>
      <c r="W3846">
        <f t="shared" si="54"/>
        <v>63</v>
      </c>
      <c r="X3846" s="9" t="s">
        <v>3203</v>
      </c>
      <c r="Y3846" t="s">
        <v>3209</v>
      </c>
      <c r="Z3846" s="9"/>
      <c r="AD3846" t="s">
        <v>1165</v>
      </c>
      <c r="AF3846" t="s">
        <v>153</v>
      </c>
      <c r="AG3846" t="s">
        <v>3200</v>
      </c>
      <c r="AH3846">
        <f t="shared" si="55"/>
        <v>2880</v>
      </c>
      <c r="AI3846" s="21" t="s">
        <v>1165</v>
      </c>
      <c r="AJ3846" s="21" t="s">
        <v>1278</v>
      </c>
      <c r="AK3846">
        <v>67.25</v>
      </c>
      <c r="AN3846" s="21">
        <v>4</v>
      </c>
      <c r="AO3846" s="21">
        <v>100</v>
      </c>
      <c r="AP3846" s="21">
        <v>84</v>
      </c>
      <c r="AQ3846" s="22" t="s">
        <v>1283</v>
      </c>
      <c r="AR3846" s="21" t="s">
        <v>1279</v>
      </c>
    </row>
    <row r="3847" spans="1:44" x14ac:dyDescent="0.2">
      <c r="A3847" s="21" t="s">
        <v>1745</v>
      </c>
      <c r="B3847" s="21" t="s">
        <v>1146</v>
      </c>
      <c r="C3847" s="21" t="s">
        <v>1149</v>
      </c>
      <c r="D3847" s="21" t="s">
        <v>1743</v>
      </c>
      <c r="E3847" s="21" t="s">
        <v>1744</v>
      </c>
      <c r="F3847" s="21" t="s">
        <v>3198</v>
      </c>
      <c r="G3847" s="21" t="s">
        <v>153</v>
      </c>
      <c r="H3847" s="21" t="s">
        <v>1165</v>
      </c>
      <c r="I3847" s="21" t="s">
        <v>3199</v>
      </c>
      <c r="M3847" t="s">
        <v>1157</v>
      </c>
      <c r="U3847" s="21" t="s">
        <v>1246</v>
      </c>
      <c r="V3847" s="9" t="s">
        <v>1217</v>
      </c>
      <c r="W3847">
        <f>16*7</f>
        <v>112</v>
      </c>
      <c r="X3847" s="9" t="s">
        <v>3203</v>
      </c>
      <c r="Y3847" t="s">
        <v>3209</v>
      </c>
      <c r="Z3847" s="9"/>
      <c r="AD3847" t="s">
        <v>1165</v>
      </c>
      <c r="AF3847" t="s">
        <v>153</v>
      </c>
      <c r="AG3847" t="s">
        <v>3200</v>
      </c>
      <c r="AH3847">
        <f>48*60</f>
        <v>2880</v>
      </c>
      <c r="AI3847" s="21" t="s">
        <v>1165</v>
      </c>
      <c r="AJ3847" s="21" t="s">
        <v>1278</v>
      </c>
      <c r="AK3847">
        <v>0</v>
      </c>
      <c r="AN3847" s="21">
        <v>4</v>
      </c>
      <c r="AO3847" s="21">
        <v>100</v>
      </c>
      <c r="AP3847" s="21">
        <v>0</v>
      </c>
      <c r="AQ3847" s="22" t="s">
        <v>1283</v>
      </c>
      <c r="AR3847" s="21" t="s">
        <v>1279</v>
      </c>
    </row>
    <row r="3848" spans="1:44" x14ac:dyDescent="0.2">
      <c r="A3848" s="21" t="s">
        <v>1745</v>
      </c>
      <c r="B3848" s="21" t="s">
        <v>1146</v>
      </c>
      <c r="C3848" s="21" t="s">
        <v>1149</v>
      </c>
      <c r="D3848" s="21" t="s">
        <v>1743</v>
      </c>
      <c r="E3848" s="21" t="s">
        <v>1744</v>
      </c>
      <c r="F3848" s="21" t="s">
        <v>3198</v>
      </c>
      <c r="G3848" s="21" t="s">
        <v>153</v>
      </c>
      <c r="H3848" s="21" t="s">
        <v>1165</v>
      </c>
      <c r="I3848" s="21" t="s">
        <v>3199</v>
      </c>
      <c r="M3848" t="s">
        <v>1157</v>
      </c>
      <c r="U3848" s="21" t="s">
        <v>1246</v>
      </c>
      <c r="V3848" s="9" t="s">
        <v>1217</v>
      </c>
      <c r="W3848">
        <f t="shared" ref="W3848:W3856" si="56">16*7</f>
        <v>112</v>
      </c>
      <c r="X3848" s="9" t="s">
        <v>3203</v>
      </c>
      <c r="Y3848" t="s">
        <v>3209</v>
      </c>
      <c r="Z3848" s="9"/>
      <c r="AD3848" t="s">
        <v>1165</v>
      </c>
      <c r="AF3848" t="s">
        <v>153</v>
      </c>
      <c r="AG3848" t="s">
        <v>3200</v>
      </c>
      <c r="AH3848">
        <f t="shared" ref="AH3848:AH3856" si="57">48*60</f>
        <v>2880</v>
      </c>
      <c r="AI3848" s="21" t="s">
        <v>1165</v>
      </c>
      <c r="AJ3848" s="21" t="s">
        <v>1278</v>
      </c>
      <c r="AK3848">
        <v>0</v>
      </c>
      <c r="AN3848" s="21">
        <v>4</v>
      </c>
      <c r="AO3848" s="21">
        <v>100</v>
      </c>
      <c r="AP3848" s="21">
        <v>10</v>
      </c>
      <c r="AQ3848" s="22" t="s">
        <v>1283</v>
      </c>
      <c r="AR3848" s="21" t="s">
        <v>1279</v>
      </c>
    </row>
    <row r="3849" spans="1:44" x14ac:dyDescent="0.2">
      <c r="A3849" s="21" t="s">
        <v>1745</v>
      </c>
      <c r="B3849" s="21" t="s">
        <v>1146</v>
      </c>
      <c r="C3849" s="21" t="s">
        <v>1149</v>
      </c>
      <c r="D3849" s="21" t="s">
        <v>1743</v>
      </c>
      <c r="E3849" s="21" t="s">
        <v>1744</v>
      </c>
      <c r="F3849" s="21" t="s">
        <v>3198</v>
      </c>
      <c r="G3849" s="21" t="s">
        <v>153</v>
      </c>
      <c r="H3849" s="21" t="s">
        <v>1165</v>
      </c>
      <c r="I3849" s="21" t="s">
        <v>3199</v>
      </c>
      <c r="M3849" t="s">
        <v>1157</v>
      </c>
      <c r="U3849" s="21" t="s">
        <v>1246</v>
      </c>
      <c r="V3849" s="9" t="s">
        <v>1217</v>
      </c>
      <c r="W3849">
        <f t="shared" si="56"/>
        <v>112</v>
      </c>
      <c r="X3849" s="9" t="s">
        <v>3203</v>
      </c>
      <c r="Y3849" t="s">
        <v>3209</v>
      </c>
      <c r="Z3849" s="9"/>
      <c r="AD3849" t="s">
        <v>1165</v>
      </c>
      <c r="AF3849" t="s">
        <v>153</v>
      </c>
      <c r="AG3849" t="s">
        <v>3200</v>
      </c>
      <c r="AH3849">
        <f t="shared" si="57"/>
        <v>2880</v>
      </c>
      <c r="AI3849" s="21" t="s">
        <v>1165</v>
      </c>
      <c r="AJ3849" s="21" t="s">
        <v>1278</v>
      </c>
      <c r="AK3849">
        <v>0</v>
      </c>
      <c r="AN3849" s="21">
        <v>4</v>
      </c>
      <c r="AO3849" s="21">
        <v>100</v>
      </c>
      <c r="AP3849" s="21">
        <v>20</v>
      </c>
      <c r="AQ3849" s="22" t="s">
        <v>1283</v>
      </c>
      <c r="AR3849" s="21" t="s">
        <v>1279</v>
      </c>
    </row>
    <row r="3850" spans="1:44" x14ac:dyDescent="0.2">
      <c r="A3850" s="21" t="s">
        <v>1745</v>
      </c>
      <c r="B3850" s="21" t="s">
        <v>1146</v>
      </c>
      <c r="C3850" s="21" t="s">
        <v>1149</v>
      </c>
      <c r="D3850" s="21" t="s">
        <v>1743</v>
      </c>
      <c r="E3850" s="21" t="s">
        <v>1744</v>
      </c>
      <c r="F3850" s="21" t="s">
        <v>3198</v>
      </c>
      <c r="G3850" s="21" t="s">
        <v>153</v>
      </c>
      <c r="H3850" s="21" t="s">
        <v>1165</v>
      </c>
      <c r="I3850" s="21" t="s">
        <v>3199</v>
      </c>
      <c r="M3850" t="s">
        <v>1157</v>
      </c>
      <c r="U3850" s="21" t="s">
        <v>1246</v>
      </c>
      <c r="V3850" s="9" t="s">
        <v>1217</v>
      </c>
      <c r="W3850">
        <f t="shared" si="56"/>
        <v>112</v>
      </c>
      <c r="X3850" s="9" t="s">
        <v>3203</v>
      </c>
      <c r="Y3850" t="s">
        <v>3209</v>
      </c>
      <c r="Z3850" s="9"/>
      <c r="AD3850" t="s">
        <v>1165</v>
      </c>
      <c r="AF3850" t="s">
        <v>153</v>
      </c>
      <c r="AG3850" t="s">
        <v>3200</v>
      </c>
      <c r="AH3850">
        <f t="shared" si="57"/>
        <v>2880</v>
      </c>
      <c r="AI3850" s="21" t="s">
        <v>1165</v>
      </c>
      <c r="AJ3850" s="21" t="s">
        <v>1278</v>
      </c>
      <c r="AK3850">
        <v>73.028000000000006</v>
      </c>
      <c r="AN3850" s="21">
        <v>4</v>
      </c>
      <c r="AO3850" s="21">
        <v>100</v>
      </c>
      <c r="AP3850" s="21">
        <v>30</v>
      </c>
      <c r="AQ3850" s="22" t="s">
        <v>1283</v>
      </c>
      <c r="AR3850" s="21" t="s">
        <v>1279</v>
      </c>
    </row>
    <row r="3851" spans="1:44" x14ac:dyDescent="0.2">
      <c r="A3851" s="21" t="s">
        <v>1745</v>
      </c>
      <c r="B3851" s="21" t="s">
        <v>1146</v>
      </c>
      <c r="C3851" s="21" t="s">
        <v>1149</v>
      </c>
      <c r="D3851" s="21" t="s">
        <v>1743</v>
      </c>
      <c r="E3851" s="21" t="s">
        <v>1744</v>
      </c>
      <c r="F3851" s="21" t="s">
        <v>3198</v>
      </c>
      <c r="G3851" s="21" t="s">
        <v>153</v>
      </c>
      <c r="H3851" s="21" t="s">
        <v>1165</v>
      </c>
      <c r="I3851" s="21" t="s">
        <v>3199</v>
      </c>
      <c r="M3851" t="s">
        <v>1157</v>
      </c>
      <c r="U3851" s="21" t="s">
        <v>1246</v>
      </c>
      <c r="V3851" s="9" t="s">
        <v>1217</v>
      </c>
      <c r="W3851">
        <f t="shared" si="56"/>
        <v>112</v>
      </c>
      <c r="X3851" s="9" t="s">
        <v>3203</v>
      </c>
      <c r="Y3851" t="s">
        <v>3209</v>
      </c>
      <c r="Z3851" s="9"/>
      <c r="AD3851" t="s">
        <v>1165</v>
      </c>
      <c r="AF3851" t="s">
        <v>153</v>
      </c>
      <c r="AG3851" t="s">
        <v>3200</v>
      </c>
      <c r="AH3851">
        <f t="shared" si="57"/>
        <v>2880</v>
      </c>
      <c r="AI3851" s="21" t="s">
        <v>1165</v>
      </c>
      <c r="AJ3851" s="21" t="s">
        <v>1278</v>
      </c>
      <c r="AK3851">
        <v>79.694000000000003</v>
      </c>
      <c r="AN3851" s="21">
        <v>4</v>
      </c>
      <c r="AO3851" s="21">
        <v>100</v>
      </c>
      <c r="AP3851" s="21">
        <v>40</v>
      </c>
      <c r="AQ3851" s="22" t="s">
        <v>1283</v>
      </c>
      <c r="AR3851" s="21" t="s">
        <v>1279</v>
      </c>
    </row>
    <row r="3852" spans="1:44" x14ac:dyDescent="0.2">
      <c r="A3852" s="21" t="s">
        <v>1745</v>
      </c>
      <c r="B3852" s="21" t="s">
        <v>1146</v>
      </c>
      <c r="C3852" s="21" t="s">
        <v>1149</v>
      </c>
      <c r="D3852" s="21" t="s">
        <v>1743</v>
      </c>
      <c r="E3852" s="21" t="s">
        <v>1744</v>
      </c>
      <c r="F3852" s="21" t="s">
        <v>3198</v>
      </c>
      <c r="G3852" s="21" t="s">
        <v>153</v>
      </c>
      <c r="H3852" s="21" t="s">
        <v>1165</v>
      </c>
      <c r="I3852" s="21" t="s">
        <v>3199</v>
      </c>
      <c r="M3852" t="s">
        <v>1157</v>
      </c>
      <c r="U3852" s="21" t="s">
        <v>1246</v>
      </c>
      <c r="V3852" s="9" t="s">
        <v>1217</v>
      </c>
      <c r="W3852">
        <f t="shared" si="56"/>
        <v>112</v>
      </c>
      <c r="X3852" s="9" t="s">
        <v>3203</v>
      </c>
      <c r="Y3852" t="s">
        <v>3209</v>
      </c>
      <c r="Z3852" s="9"/>
      <c r="AD3852" t="s">
        <v>1165</v>
      </c>
      <c r="AF3852" t="s">
        <v>153</v>
      </c>
      <c r="AG3852" t="s">
        <v>3200</v>
      </c>
      <c r="AH3852">
        <f t="shared" si="57"/>
        <v>2880</v>
      </c>
      <c r="AI3852" s="21" t="s">
        <v>1165</v>
      </c>
      <c r="AJ3852" s="21" t="s">
        <v>1278</v>
      </c>
      <c r="AK3852">
        <v>81.25</v>
      </c>
      <c r="AN3852" s="21">
        <v>4</v>
      </c>
      <c r="AO3852" s="21">
        <v>100</v>
      </c>
      <c r="AP3852" s="21">
        <v>50</v>
      </c>
      <c r="AQ3852" s="22" t="s">
        <v>1283</v>
      </c>
      <c r="AR3852" s="21" t="s">
        <v>1279</v>
      </c>
    </row>
    <row r="3853" spans="1:44" x14ac:dyDescent="0.2">
      <c r="A3853" s="21" t="s">
        <v>1745</v>
      </c>
      <c r="B3853" s="21" t="s">
        <v>1146</v>
      </c>
      <c r="C3853" s="21" t="s">
        <v>1149</v>
      </c>
      <c r="D3853" s="21" t="s">
        <v>1743</v>
      </c>
      <c r="E3853" s="21" t="s">
        <v>1744</v>
      </c>
      <c r="F3853" s="21" t="s">
        <v>3198</v>
      </c>
      <c r="G3853" s="21" t="s">
        <v>153</v>
      </c>
      <c r="H3853" s="21" t="s">
        <v>1165</v>
      </c>
      <c r="I3853" s="21" t="s">
        <v>3199</v>
      </c>
      <c r="M3853" t="s">
        <v>1157</v>
      </c>
      <c r="U3853" s="21" t="s">
        <v>1246</v>
      </c>
      <c r="V3853" s="9" t="s">
        <v>1217</v>
      </c>
      <c r="W3853">
        <f t="shared" si="56"/>
        <v>112</v>
      </c>
      <c r="X3853" s="9" t="s">
        <v>3203</v>
      </c>
      <c r="Y3853" t="s">
        <v>3209</v>
      </c>
      <c r="Z3853" s="9"/>
      <c r="AD3853" t="s">
        <v>1165</v>
      </c>
      <c r="AF3853" t="s">
        <v>153</v>
      </c>
      <c r="AG3853" t="s">
        <v>3200</v>
      </c>
      <c r="AH3853">
        <f t="shared" si="57"/>
        <v>2880</v>
      </c>
      <c r="AI3853" s="21" t="s">
        <v>1165</v>
      </c>
      <c r="AJ3853" s="21" t="s">
        <v>1278</v>
      </c>
      <c r="AK3853">
        <v>81.917000000000002</v>
      </c>
      <c r="AN3853" s="21">
        <v>4</v>
      </c>
      <c r="AO3853" s="21">
        <v>100</v>
      </c>
      <c r="AP3853" s="21">
        <v>60</v>
      </c>
      <c r="AQ3853" s="22" t="s">
        <v>1283</v>
      </c>
      <c r="AR3853" s="21" t="s">
        <v>1279</v>
      </c>
    </row>
    <row r="3854" spans="1:44" x14ac:dyDescent="0.2">
      <c r="A3854" s="21" t="s">
        <v>1745</v>
      </c>
      <c r="B3854" s="21" t="s">
        <v>1146</v>
      </c>
      <c r="C3854" s="21" t="s">
        <v>1149</v>
      </c>
      <c r="D3854" s="21" t="s">
        <v>1743</v>
      </c>
      <c r="E3854" s="21" t="s">
        <v>1744</v>
      </c>
      <c r="F3854" s="21" t="s">
        <v>3198</v>
      </c>
      <c r="G3854" s="21" t="s">
        <v>153</v>
      </c>
      <c r="H3854" s="21" t="s">
        <v>1165</v>
      </c>
      <c r="I3854" s="21" t="s">
        <v>3199</v>
      </c>
      <c r="M3854" t="s">
        <v>1157</v>
      </c>
      <c r="U3854" s="21" t="s">
        <v>1246</v>
      </c>
      <c r="V3854" s="9" t="s">
        <v>1217</v>
      </c>
      <c r="W3854">
        <f t="shared" si="56"/>
        <v>112</v>
      </c>
      <c r="X3854" s="9" t="s">
        <v>3203</v>
      </c>
      <c r="Y3854" t="s">
        <v>3209</v>
      </c>
      <c r="Z3854" s="9"/>
      <c r="AD3854" t="s">
        <v>1165</v>
      </c>
      <c r="AF3854" t="s">
        <v>153</v>
      </c>
      <c r="AG3854" t="s">
        <v>3200</v>
      </c>
      <c r="AH3854">
        <f t="shared" si="57"/>
        <v>2880</v>
      </c>
      <c r="AI3854" s="21" t="s">
        <v>1165</v>
      </c>
      <c r="AJ3854" s="21" t="s">
        <v>1278</v>
      </c>
      <c r="AK3854">
        <v>82.805999999999997</v>
      </c>
      <c r="AN3854" s="21">
        <v>4</v>
      </c>
      <c r="AO3854" s="21">
        <v>100</v>
      </c>
      <c r="AP3854" s="21">
        <v>70</v>
      </c>
      <c r="AQ3854" s="22" t="s">
        <v>1283</v>
      </c>
      <c r="AR3854" s="21" t="s">
        <v>1279</v>
      </c>
    </row>
    <row r="3855" spans="1:44" x14ac:dyDescent="0.2">
      <c r="A3855" s="21" t="s">
        <v>1745</v>
      </c>
      <c r="B3855" s="21" t="s">
        <v>1146</v>
      </c>
      <c r="C3855" s="21" t="s">
        <v>1149</v>
      </c>
      <c r="D3855" s="21" t="s">
        <v>1743</v>
      </c>
      <c r="E3855" s="21" t="s">
        <v>1744</v>
      </c>
      <c r="F3855" s="21" t="s">
        <v>3198</v>
      </c>
      <c r="G3855" s="21" t="s">
        <v>153</v>
      </c>
      <c r="H3855" s="21" t="s">
        <v>1165</v>
      </c>
      <c r="I3855" s="21" t="s">
        <v>3199</v>
      </c>
      <c r="M3855" t="s">
        <v>1157</v>
      </c>
      <c r="U3855" s="21" t="s">
        <v>1246</v>
      </c>
      <c r="V3855" s="9" t="s">
        <v>1217</v>
      </c>
      <c r="W3855">
        <f t="shared" si="56"/>
        <v>112</v>
      </c>
      <c r="X3855" s="9" t="s">
        <v>3203</v>
      </c>
      <c r="Y3855" t="s">
        <v>3209</v>
      </c>
      <c r="Z3855" s="9"/>
      <c r="AD3855" t="s">
        <v>1165</v>
      </c>
      <c r="AF3855" t="s">
        <v>153</v>
      </c>
      <c r="AG3855" t="s">
        <v>3200</v>
      </c>
      <c r="AH3855">
        <f t="shared" si="57"/>
        <v>2880</v>
      </c>
      <c r="AI3855" s="21" t="s">
        <v>1165</v>
      </c>
      <c r="AJ3855" s="21" t="s">
        <v>1278</v>
      </c>
      <c r="AK3855">
        <v>84.138999999999996</v>
      </c>
      <c r="AN3855" s="21">
        <v>4</v>
      </c>
      <c r="AO3855" s="21">
        <v>100</v>
      </c>
      <c r="AP3855" s="21">
        <v>80</v>
      </c>
      <c r="AQ3855" s="22" t="s">
        <v>1283</v>
      </c>
      <c r="AR3855" s="21" t="s">
        <v>1279</v>
      </c>
    </row>
    <row r="3856" spans="1:44" x14ac:dyDescent="0.2">
      <c r="A3856" s="21" t="s">
        <v>1745</v>
      </c>
      <c r="B3856" s="21" t="s">
        <v>1146</v>
      </c>
      <c r="C3856" s="21" t="s">
        <v>1149</v>
      </c>
      <c r="D3856" s="21" t="s">
        <v>1743</v>
      </c>
      <c r="E3856" s="21" t="s">
        <v>1744</v>
      </c>
      <c r="F3856" s="21" t="s">
        <v>3198</v>
      </c>
      <c r="G3856" s="21" t="s">
        <v>153</v>
      </c>
      <c r="H3856" s="21" t="s">
        <v>1165</v>
      </c>
      <c r="I3856" s="21" t="s">
        <v>3199</v>
      </c>
      <c r="M3856" t="s">
        <v>1157</v>
      </c>
      <c r="U3856" s="21" t="s">
        <v>1246</v>
      </c>
      <c r="V3856" s="9" t="s">
        <v>1217</v>
      </c>
      <c r="W3856">
        <f t="shared" si="56"/>
        <v>112</v>
      </c>
      <c r="X3856" s="9" t="s">
        <v>3203</v>
      </c>
      <c r="Y3856" t="s">
        <v>3209</v>
      </c>
      <c r="Z3856" s="9"/>
      <c r="AD3856" t="s">
        <v>1165</v>
      </c>
      <c r="AF3856" t="s">
        <v>153</v>
      </c>
      <c r="AG3856" t="s">
        <v>3200</v>
      </c>
      <c r="AH3856">
        <f t="shared" si="57"/>
        <v>2880</v>
      </c>
      <c r="AI3856" s="21" t="s">
        <v>1165</v>
      </c>
      <c r="AJ3856" s="21" t="s">
        <v>1278</v>
      </c>
      <c r="AK3856">
        <v>84.361000000000004</v>
      </c>
      <c r="AN3856" s="21">
        <v>4</v>
      </c>
      <c r="AO3856" s="21">
        <v>100</v>
      </c>
      <c r="AP3856" s="21">
        <v>84</v>
      </c>
      <c r="AQ3856" s="22" t="s">
        <v>1283</v>
      </c>
      <c r="AR3856" s="21" t="s">
        <v>1279</v>
      </c>
    </row>
    <row r="3857" spans="1:45" x14ac:dyDescent="0.2">
      <c r="A3857" s="21" t="s">
        <v>1745</v>
      </c>
      <c r="B3857" s="21" t="s">
        <v>1146</v>
      </c>
      <c r="C3857" s="21" t="s">
        <v>1149</v>
      </c>
      <c r="D3857" s="21" t="s">
        <v>1743</v>
      </c>
      <c r="E3857" s="21" t="s">
        <v>1744</v>
      </c>
      <c r="F3857" s="21" t="s">
        <v>3198</v>
      </c>
      <c r="G3857" s="21" t="s">
        <v>153</v>
      </c>
      <c r="H3857" s="21" t="s">
        <v>1165</v>
      </c>
      <c r="I3857" s="21" t="s">
        <v>3199</v>
      </c>
      <c r="M3857" t="s">
        <v>1157</v>
      </c>
      <c r="U3857" s="21" t="s">
        <v>1147</v>
      </c>
      <c r="X3857" s="9" t="s">
        <v>3203</v>
      </c>
      <c r="Y3857" t="s">
        <v>3209</v>
      </c>
      <c r="Z3857" s="9"/>
      <c r="AD3857" t="s">
        <v>1165</v>
      </c>
      <c r="AF3857" t="s">
        <v>153</v>
      </c>
      <c r="AG3857" t="s">
        <v>3200</v>
      </c>
      <c r="AH3857">
        <f>48*60</f>
        <v>2880</v>
      </c>
      <c r="AI3857" s="21" t="s">
        <v>1165</v>
      </c>
      <c r="AJ3857" s="21" t="s">
        <v>1278</v>
      </c>
      <c r="AK3857">
        <v>0</v>
      </c>
      <c r="AN3857" s="21">
        <v>4</v>
      </c>
      <c r="AO3857" s="21">
        <v>100</v>
      </c>
      <c r="AP3857" s="21">
        <v>0</v>
      </c>
      <c r="AQ3857" s="22" t="s">
        <v>1283</v>
      </c>
      <c r="AR3857" s="21" t="s">
        <v>1279</v>
      </c>
    </row>
    <row r="3858" spans="1:45" x14ac:dyDescent="0.2">
      <c r="A3858" s="21" t="s">
        <v>1745</v>
      </c>
      <c r="B3858" s="21" t="s">
        <v>1146</v>
      </c>
      <c r="C3858" s="21" t="s">
        <v>1149</v>
      </c>
      <c r="D3858" s="21" t="s">
        <v>1743</v>
      </c>
      <c r="E3858" s="21" t="s">
        <v>1744</v>
      </c>
      <c r="F3858" s="21" t="s">
        <v>3198</v>
      </c>
      <c r="G3858" s="21" t="s">
        <v>153</v>
      </c>
      <c r="H3858" s="21" t="s">
        <v>1165</v>
      </c>
      <c r="I3858" s="21" t="s">
        <v>3199</v>
      </c>
      <c r="M3858" t="s">
        <v>1157</v>
      </c>
      <c r="U3858" s="21" t="s">
        <v>1147</v>
      </c>
      <c r="X3858" s="9" t="s">
        <v>3203</v>
      </c>
      <c r="Y3858" t="s">
        <v>3209</v>
      </c>
      <c r="Z3858" s="9"/>
      <c r="AD3858" t="s">
        <v>1165</v>
      </c>
      <c r="AF3858" t="s">
        <v>153</v>
      </c>
      <c r="AG3858" t="s">
        <v>3200</v>
      </c>
      <c r="AH3858">
        <f t="shared" ref="AH3858:AH3866" si="58">48*60</f>
        <v>2880</v>
      </c>
      <c r="AI3858" s="21" t="s">
        <v>1165</v>
      </c>
      <c r="AJ3858" s="21" t="s">
        <v>1278</v>
      </c>
      <c r="AK3858">
        <v>0</v>
      </c>
      <c r="AN3858" s="21">
        <v>4</v>
      </c>
      <c r="AO3858" s="21">
        <v>100</v>
      </c>
      <c r="AP3858" s="21">
        <v>10</v>
      </c>
      <c r="AQ3858" s="22" t="s">
        <v>1283</v>
      </c>
      <c r="AR3858" s="21" t="s">
        <v>1279</v>
      </c>
    </row>
    <row r="3859" spans="1:45" x14ac:dyDescent="0.2">
      <c r="A3859" s="21" t="s">
        <v>1745</v>
      </c>
      <c r="B3859" s="21" t="s">
        <v>1146</v>
      </c>
      <c r="C3859" s="21" t="s">
        <v>1149</v>
      </c>
      <c r="D3859" s="21" t="s">
        <v>1743</v>
      </c>
      <c r="E3859" s="21" t="s">
        <v>1744</v>
      </c>
      <c r="F3859" s="21" t="s">
        <v>3198</v>
      </c>
      <c r="G3859" s="21" t="s">
        <v>153</v>
      </c>
      <c r="H3859" s="21" t="s">
        <v>1165</v>
      </c>
      <c r="I3859" s="21" t="s">
        <v>3199</v>
      </c>
      <c r="M3859" t="s">
        <v>1157</v>
      </c>
      <c r="U3859" s="21" t="s">
        <v>1147</v>
      </c>
      <c r="X3859" s="9" t="s">
        <v>3203</v>
      </c>
      <c r="Y3859" t="s">
        <v>3209</v>
      </c>
      <c r="Z3859" s="9"/>
      <c r="AD3859" t="s">
        <v>1165</v>
      </c>
      <c r="AF3859" t="s">
        <v>153</v>
      </c>
      <c r="AG3859" t="s">
        <v>3200</v>
      </c>
      <c r="AH3859">
        <f t="shared" si="58"/>
        <v>2880</v>
      </c>
      <c r="AI3859" s="21" t="s">
        <v>1165</v>
      </c>
      <c r="AJ3859" s="21" t="s">
        <v>1278</v>
      </c>
      <c r="AK3859">
        <v>0</v>
      </c>
      <c r="AN3859" s="21">
        <v>4</v>
      </c>
      <c r="AO3859" s="21">
        <v>100</v>
      </c>
      <c r="AP3859" s="21">
        <v>20</v>
      </c>
      <c r="AQ3859" s="22" t="s">
        <v>1283</v>
      </c>
      <c r="AR3859" s="21" t="s">
        <v>1279</v>
      </c>
    </row>
    <row r="3860" spans="1:45" x14ac:dyDescent="0.2">
      <c r="A3860" s="21" t="s">
        <v>1745</v>
      </c>
      <c r="B3860" s="21" t="s">
        <v>1146</v>
      </c>
      <c r="C3860" s="21" t="s">
        <v>1149</v>
      </c>
      <c r="D3860" s="21" t="s">
        <v>1743</v>
      </c>
      <c r="E3860" s="21" t="s">
        <v>1744</v>
      </c>
      <c r="F3860" s="21" t="s">
        <v>3198</v>
      </c>
      <c r="G3860" s="21" t="s">
        <v>153</v>
      </c>
      <c r="H3860" s="21" t="s">
        <v>1165</v>
      </c>
      <c r="I3860" s="21" t="s">
        <v>3199</v>
      </c>
      <c r="M3860" t="s">
        <v>1157</v>
      </c>
      <c r="U3860" s="21" t="s">
        <v>1147</v>
      </c>
      <c r="X3860" s="9" t="s">
        <v>3203</v>
      </c>
      <c r="Y3860" t="s">
        <v>3209</v>
      </c>
      <c r="Z3860" s="9"/>
      <c r="AD3860" t="s">
        <v>1165</v>
      </c>
      <c r="AF3860" t="s">
        <v>153</v>
      </c>
      <c r="AG3860" t="s">
        <v>3200</v>
      </c>
      <c r="AH3860">
        <f t="shared" si="58"/>
        <v>2880</v>
      </c>
      <c r="AI3860" s="21" t="s">
        <v>1165</v>
      </c>
      <c r="AJ3860" s="21" t="s">
        <v>1278</v>
      </c>
      <c r="AK3860" s="21">
        <v>0</v>
      </c>
      <c r="AN3860" s="21">
        <v>4</v>
      </c>
      <c r="AO3860" s="21">
        <v>100</v>
      </c>
      <c r="AP3860" s="21">
        <v>30</v>
      </c>
      <c r="AQ3860" s="22" t="s">
        <v>1283</v>
      </c>
      <c r="AR3860" s="21" t="s">
        <v>1279</v>
      </c>
    </row>
    <row r="3861" spans="1:45" x14ac:dyDescent="0.2">
      <c r="A3861" s="21" t="s">
        <v>1745</v>
      </c>
      <c r="B3861" s="21" t="s">
        <v>1146</v>
      </c>
      <c r="C3861" s="21" t="s">
        <v>1149</v>
      </c>
      <c r="D3861" s="21" t="s">
        <v>1743</v>
      </c>
      <c r="E3861" s="21" t="s">
        <v>1744</v>
      </c>
      <c r="F3861" s="21" t="s">
        <v>3198</v>
      </c>
      <c r="G3861" s="21" t="s">
        <v>153</v>
      </c>
      <c r="H3861" s="21" t="s">
        <v>1165</v>
      </c>
      <c r="I3861" s="21" t="s">
        <v>3199</v>
      </c>
      <c r="M3861" t="s">
        <v>1157</v>
      </c>
      <c r="U3861" s="21" t="s">
        <v>1147</v>
      </c>
      <c r="X3861" s="9" t="s">
        <v>3203</v>
      </c>
      <c r="Y3861" t="s">
        <v>3209</v>
      </c>
      <c r="Z3861" s="9"/>
      <c r="AD3861" t="s">
        <v>1165</v>
      </c>
      <c r="AF3861" t="s">
        <v>153</v>
      </c>
      <c r="AG3861" t="s">
        <v>3200</v>
      </c>
      <c r="AH3861">
        <f t="shared" si="58"/>
        <v>2880</v>
      </c>
      <c r="AI3861" s="21" t="s">
        <v>1165</v>
      </c>
      <c r="AJ3861" s="21" t="s">
        <v>1278</v>
      </c>
      <c r="AK3861">
        <v>0</v>
      </c>
      <c r="AN3861" s="21">
        <v>4</v>
      </c>
      <c r="AO3861" s="21">
        <v>100</v>
      </c>
      <c r="AP3861" s="21">
        <v>40</v>
      </c>
      <c r="AQ3861" s="22" t="s">
        <v>1283</v>
      </c>
      <c r="AR3861" s="21" t="s">
        <v>1279</v>
      </c>
    </row>
    <row r="3862" spans="1:45" x14ac:dyDescent="0.2">
      <c r="A3862" s="21" t="s">
        <v>1745</v>
      </c>
      <c r="B3862" s="21" t="s">
        <v>1146</v>
      </c>
      <c r="C3862" s="21" t="s">
        <v>1149</v>
      </c>
      <c r="D3862" s="21" t="s">
        <v>1743</v>
      </c>
      <c r="E3862" s="21" t="s">
        <v>1744</v>
      </c>
      <c r="F3862" s="21" t="s">
        <v>3198</v>
      </c>
      <c r="G3862" s="21" t="s">
        <v>153</v>
      </c>
      <c r="H3862" s="21" t="s">
        <v>1165</v>
      </c>
      <c r="I3862" s="21" t="s">
        <v>3199</v>
      </c>
      <c r="M3862" t="s">
        <v>1157</v>
      </c>
      <c r="U3862" s="21" t="s">
        <v>1147</v>
      </c>
      <c r="X3862" s="9" t="s">
        <v>3203</v>
      </c>
      <c r="Y3862" t="s">
        <v>3209</v>
      </c>
      <c r="Z3862" s="9"/>
      <c r="AD3862" t="s">
        <v>1165</v>
      </c>
      <c r="AF3862" t="s">
        <v>153</v>
      </c>
      <c r="AG3862" t="s">
        <v>3200</v>
      </c>
      <c r="AH3862">
        <f t="shared" si="58"/>
        <v>2880</v>
      </c>
      <c r="AI3862" s="21" t="s">
        <v>1165</v>
      </c>
      <c r="AJ3862" s="21" t="s">
        <v>1278</v>
      </c>
      <c r="AK3862">
        <v>0</v>
      </c>
      <c r="AN3862" s="21">
        <v>4</v>
      </c>
      <c r="AO3862" s="21">
        <v>100</v>
      </c>
      <c r="AP3862" s="21">
        <v>50</v>
      </c>
      <c r="AQ3862" s="22" t="s">
        <v>1283</v>
      </c>
      <c r="AR3862" s="21" t="s">
        <v>1279</v>
      </c>
    </row>
    <row r="3863" spans="1:45" x14ac:dyDescent="0.2">
      <c r="A3863" s="21" t="s">
        <v>1745</v>
      </c>
      <c r="B3863" s="21" t="s">
        <v>1146</v>
      </c>
      <c r="C3863" s="21" t="s">
        <v>1149</v>
      </c>
      <c r="D3863" s="21" t="s">
        <v>1743</v>
      </c>
      <c r="E3863" s="21" t="s">
        <v>1744</v>
      </c>
      <c r="F3863" s="21" t="s">
        <v>3198</v>
      </c>
      <c r="G3863" s="21" t="s">
        <v>153</v>
      </c>
      <c r="H3863" s="21" t="s">
        <v>1165</v>
      </c>
      <c r="I3863" s="21" t="s">
        <v>3199</v>
      </c>
      <c r="M3863" t="s">
        <v>1157</v>
      </c>
      <c r="U3863" s="21" t="s">
        <v>1147</v>
      </c>
      <c r="X3863" s="9" t="s">
        <v>3203</v>
      </c>
      <c r="Y3863" t="s">
        <v>3209</v>
      </c>
      <c r="Z3863" s="9"/>
      <c r="AD3863" t="s">
        <v>1165</v>
      </c>
      <c r="AF3863" t="s">
        <v>153</v>
      </c>
      <c r="AG3863" t="s">
        <v>3200</v>
      </c>
      <c r="AH3863">
        <f t="shared" si="58"/>
        <v>2880</v>
      </c>
      <c r="AI3863" s="21" t="s">
        <v>1165</v>
      </c>
      <c r="AJ3863" s="21" t="s">
        <v>1278</v>
      </c>
      <c r="AK3863">
        <v>1.694</v>
      </c>
      <c r="AN3863" s="21">
        <v>4</v>
      </c>
      <c r="AO3863" s="21">
        <v>100</v>
      </c>
      <c r="AP3863" s="21">
        <v>60</v>
      </c>
      <c r="AQ3863" s="22" t="s">
        <v>1283</v>
      </c>
      <c r="AR3863" s="21" t="s">
        <v>1279</v>
      </c>
    </row>
    <row r="3864" spans="1:45" x14ac:dyDescent="0.2">
      <c r="A3864" s="21" t="s">
        <v>1745</v>
      </c>
      <c r="B3864" s="21" t="s">
        <v>1146</v>
      </c>
      <c r="C3864" s="21" t="s">
        <v>1149</v>
      </c>
      <c r="D3864" s="21" t="s">
        <v>1743</v>
      </c>
      <c r="E3864" s="21" t="s">
        <v>1744</v>
      </c>
      <c r="F3864" s="21" t="s">
        <v>3198</v>
      </c>
      <c r="G3864" s="21" t="s">
        <v>153</v>
      </c>
      <c r="H3864" s="21" t="s">
        <v>1165</v>
      </c>
      <c r="I3864" s="21" t="s">
        <v>3199</v>
      </c>
      <c r="M3864" t="s">
        <v>1157</v>
      </c>
      <c r="U3864" s="21" t="s">
        <v>1147</v>
      </c>
      <c r="X3864" s="9" t="s">
        <v>3203</v>
      </c>
      <c r="Y3864" t="s">
        <v>3209</v>
      </c>
      <c r="Z3864" s="9"/>
      <c r="AD3864" t="s">
        <v>1165</v>
      </c>
      <c r="AF3864" t="s">
        <v>153</v>
      </c>
      <c r="AG3864" t="s">
        <v>3200</v>
      </c>
      <c r="AH3864">
        <f t="shared" si="58"/>
        <v>2880</v>
      </c>
      <c r="AI3864" s="21" t="s">
        <v>1165</v>
      </c>
      <c r="AJ3864" s="21" t="s">
        <v>1278</v>
      </c>
      <c r="AK3864">
        <v>10.361000000000001</v>
      </c>
      <c r="AN3864" s="21">
        <v>4</v>
      </c>
      <c r="AO3864" s="21">
        <v>100</v>
      </c>
      <c r="AP3864" s="21">
        <v>70</v>
      </c>
      <c r="AQ3864" s="22" t="s">
        <v>1283</v>
      </c>
      <c r="AR3864" s="21" t="s">
        <v>1279</v>
      </c>
    </row>
    <row r="3865" spans="1:45" x14ac:dyDescent="0.2">
      <c r="A3865" s="21" t="s">
        <v>1745</v>
      </c>
      <c r="B3865" s="21" t="s">
        <v>1146</v>
      </c>
      <c r="C3865" s="21" t="s">
        <v>1149</v>
      </c>
      <c r="D3865" s="21" t="s">
        <v>1743</v>
      </c>
      <c r="E3865" s="21" t="s">
        <v>1744</v>
      </c>
      <c r="F3865" s="21" t="s">
        <v>3198</v>
      </c>
      <c r="G3865" s="21" t="s">
        <v>153</v>
      </c>
      <c r="H3865" s="21" t="s">
        <v>1165</v>
      </c>
      <c r="I3865" s="21" t="s">
        <v>3199</v>
      </c>
      <c r="M3865" t="s">
        <v>1157</v>
      </c>
      <c r="U3865" s="21" t="s">
        <v>1147</v>
      </c>
      <c r="X3865" s="9" t="s">
        <v>3203</v>
      </c>
      <c r="Y3865" t="s">
        <v>3209</v>
      </c>
      <c r="Z3865" s="9"/>
      <c r="AD3865" t="s">
        <v>1165</v>
      </c>
      <c r="AF3865" t="s">
        <v>153</v>
      </c>
      <c r="AG3865" t="s">
        <v>3200</v>
      </c>
      <c r="AH3865">
        <f t="shared" si="58"/>
        <v>2880</v>
      </c>
      <c r="AI3865" s="21" t="s">
        <v>1165</v>
      </c>
      <c r="AJ3865" s="21" t="s">
        <v>1278</v>
      </c>
      <c r="AK3865">
        <v>17.25</v>
      </c>
      <c r="AN3865" s="21">
        <v>4</v>
      </c>
      <c r="AO3865" s="21">
        <v>100</v>
      </c>
      <c r="AP3865" s="21">
        <v>80</v>
      </c>
      <c r="AQ3865" s="22" t="s">
        <v>1283</v>
      </c>
      <c r="AR3865" s="21" t="s">
        <v>1279</v>
      </c>
    </row>
    <row r="3866" spans="1:45" x14ac:dyDescent="0.2">
      <c r="A3866" s="21" t="s">
        <v>1745</v>
      </c>
      <c r="B3866" s="21" t="s">
        <v>1146</v>
      </c>
      <c r="C3866" s="21" t="s">
        <v>1149</v>
      </c>
      <c r="D3866" s="21" t="s">
        <v>1743</v>
      </c>
      <c r="E3866" s="21" t="s">
        <v>1744</v>
      </c>
      <c r="F3866" s="21" t="s">
        <v>3198</v>
      </c>
      <c r="G3866" s="21" t="s">
        <v>153</v>
      </c>
      <c r="H3866" s="21" t="s">
        <v>1165</v>
      </c>
      <c r="I3866" s="21" t="s">
        <v>3199</v>
      </c>
      <c r="M3866" t="s">
        <v>1157</v>
      </c>
      <c r="U3866" s="21" t="s">
        <v>1147</v>
      </c>
      <c r="X3866" s="9" t="s">
        <v>3203</v>
      </c>
      <c r="Y3866" t="s">
        <v>3209</v>
      </c>
      <c r="Z3866" s="9"/>
      <c r="AD3866" t="s">
        <v>1165</v>
      </c>
      <c r="AF3866" t="s">
        <v>153</v>
      </c>
      <c r="AG3866" t="s">
        <v>3200</v>
      </c>
      <c r="AH3866">
        <f t="shared" si="58"/>
        <v>2880</v>
      </c>
      <c r="AI3866" s="21" t="s">
        <v>1165</v>
      </c>
      <c r="AJ3866" s="21" t="s">
        <v>1278</v>
      </c>
      <c r="AK3866">
        <v>23.472000000000001</v>
      </c>
      <c r="AN3866" s="21">
        <v>4</v>
      </c>
      <c r="AO3866" s="21">
        <v>100</v>
      </c>
      <c r="AP3866" s="21">
        <v>84</v>
      </c>
      <c r="AQ3866" s="22" t="s">
        <v>1283</v>
      </c>
      <c r="AR3866" s="21" t="s">
        <v>1279</v>
      </c>
    </row>
    <row r="3867" spans="1:45" x14ac:dyDescent="0.2">
      <c r="A3867" t="s">
        <v>1876</v>
      </c>
      <c r="B3867" s="21" t="s">
        <v>1146</v>
      </c>
      <c r="C3867" s="21" t="s">
        <v>1149</v>
      </c>
      <c r="D3867" s="21" t="s">
        <v>1857</v>
      </c>
      <c r="E3867" s="21" t="s">
        <v>1875</v>
      </c>
      <c r="G3867" s="21" t="s">
        <v>153</v>
      </c>
      <c r="H3867" s="21" t="s">
        <v>1165</v>
      </c>
      <c r="I3867" s="21" t="s">
        <v>3222</v>
      </c>
      <c r="M3867" t="s">
        <v>1157</v>
      </c>
      <c r="O3867">
        <v>1998</v>
      </c>
      <c r="P3867">
        <v>2001</v>
      </c>
      <c r="Q3867" t="s">
        <v>1329</v>
      </c>
      <c r="R3867">
        <f>365*3</f>
        <v>1095</v>
      </c>
      <c r="T3867">
        <v>-5</v>
      </c>
      <c r="U3867" s="21" t="s">
        <v>1246</v>
      </c>
      <c r="V3867" s="9" t="s">
        <v>3223</v>
      </c>
      <c r="W3867">
        <v>35</v>
      </c>
      <c r="X3867" s="9" t="s">
        <v>1333</v>
      </c>
      <c r="Z3867" s="9" t="s">
        <v>3201</v>
      </c>
      <c r="AD3867" t="s">
        <v>1165</v>
      </c>
      <c r="AF3867" t="s">
        <v>153</v>
      </c>
      <c r="AG3867" t="s">
        <v>1160</v>
      </c>
      <c r="AH3867" t="s">
        <v>3226</v>
      </c>
      <c r="AI3867" s="21" t="s">
        <v>1165</v>
      </c>
      <c r="AJ3867" s="21" t="s">
        <v>1148</v>
      </c>
      <c r="AK3867">
        <v>59.3</v>
      </c>
      <c r="AN3867" s="21">
        <v>4</v>
      </c>
      <c r="AO3867" s="21">
        <v>50</v>
      </c>
      <c r="AP3867" s="21">
        <v>28</v>
      </c>
      <c r="AQ3867" s="22" t="s">
        <v>3224</v>
      </c>
      <c r="AR3867" s="21" t="s">
        <v>3225</v>
      </c>
      <c r="AS3867" t="s">
        <v>3227</v>
      </c>
    </row>
    <row r="3868" spans="1:45" x14ac:dyDescent="0.2">
      <c r="A3868" t="s">
        <v>1876</v>
      </c>
      <c r="B3868" s="21" t="s">
        <v>1146</v>
      </c>
      <c r="C3868" s="21" t="s">
        <v>1149</v>
      </c>
      <c r="D3868" s="21" t="s">
        <v>1857</v>
      </c>
      <c r="E3868" s="21" t="s">
        <v>1875</v>
      </c>
      <c r="G3868" s="21" t="s">
        <v>153</v>
      </c>
      <c r="H3868" s="21" t="s">
        <v>1165</v>
      </c>
      <c r="I3868" s="21" t="s">
        <v>3222</v>
      </c>
      <c r="M3868" t="s">
        <v>1157</v>
      </c>
      <c r="O3868">
        <v>1998</v>
      </c>
      <c r="P3868">
        <v>2001</v>
      </c>
      <c r="Q3868" t="s">
        <v>1329</v>
      </c>
      <c r="R3868">
        <f>365*3</f>
        <v>1095</v>
      </c>
      <c r="T3868">
        <v>-5</v>
      </c>
      <c r="U3868" s="21" t="s">
        <v>1246</v>
      </c>
      <c r="V3868" s="9" t="s">
        <v>3223</v>
      </c>
      <c r="W3868">
        <v>21</v>
      </c>
      <c r="X3868" s="9" t="s">
        <v>1333</v>
      </c>
      <c r="Z3868" s="9" t="s">
        <v>3201</v>
      </c>
      <c r="AA3868" t="s">
        <v>3228</v>
      </c>
      <c r="AB3868">
        <v>101.15</v>
      </c>
      <c r="AD3868" t="s">
        <v>1165</v>
      </c>
      <c r="AF3868" t="s">
        <v>153</v>
      </c>
      <c r="AG3868" t="s">
        <v>3228</v>
      </c>
      <c r="AH3868" t="s">
        <v>3226</v>
      </c>
      <c r="AI3868" s="21" t="s">
        <v>1165</v>
      </c>
      <c r="AJ3868" s="21" t="s">
        <v>1148</v>
      </c>
      <c r="AK3868">
        <v>74.3</v>
      </c>
      <c r="AN3868" s="21">
        <v>4</v>
      </c>
      <c r="AO3868" s="21">
        <v>50</v>
      </c>
      <c r="AP3868" s="21">
        <v>28</v>
      </c>
      <c r="AQ3868" s="22" t="s">
        <v>3224</v>
      </c>
      <c r="AR3868" s="21" t="s">
        <v>3225</v>
      </c>
      <c r="AS3868" t="s">
        <v>3227</v>
      </c>
    </row>
    <row r="3869" spans="1:45" x14ac:dyDescent="0.2">
      <c r="A3869" t="s">
        <v>1876</v>
      </c>
      <c r="B3869" s="21" t="s">
        <v>1146</v>
      </c>
      <c r="C3869" s="21" t="s">
        <v>1149</v>
      </c>
      <c r="D3869" s="21" t="s">
        <v>1857</v>
      </c>
      <c r="E3869" s="21" t="s">
        <v>1875</v>
      </c>
      <c r="G3869" s="21" t="s">
        <v>153</v>
      </c>
      <c r="H3869" s="21" t="s">
        <v>1165</v>
      </c>
      <c r="I3869" s="21" t="s">
        <v>3222</v>
      </c>
      <c r="M3869" t="s">
        <v>1157</v>
      </c>
      <c r="O3869">
        <v>1998</v>
      </c>
      <c r="P3869">
        <v>2001</v>
      </c>
      <c r="Q3869" t="s">
        <v>1329</v>
      </c>
      <c r="R3869">
        <f>365*3</f>
        <v>1095</v>
      </c>
      <c r="T3869">
        <v>-5</v>
      </c>
      <c r="U3869" s="21" t="s">
        <v>3229</v>
      </c>
      <c r="X3869" s="9" t="s">
        <v>3223</v>
      </c>
      <c r="Z3869" s="9"/>
      <c r="AD3869" t="s">
        <v>1165</v>
      </c>
      <c r="AF3869" t="s">
        <v>1165</v>
      </c>
      <c r="AI3869" s="21" t="s">
        <v>1165</v>
      </c>
      <c r="AJ3869" s="21" t="s">
        <v>1148</v>
      </c>
      <c r="AK3869">
        <v>70.599999999999994</v>
      </c>
      <c r="AN3869" s="21">
        <v>4</v>
      </c>
      <c r="AO3869" s="21">
        <v>50</v>
      </c>
      <c r="AP3869" s="21">
        <v>28</v>
      </c>
      <c r="AQ3869" s="22" t="s">
        <v>3224</v>
      </c>
      <c r="AR3869" s="21" t="s">
        <v>3225</v>
      </c>
      <c r="AS3869" t="s">
        <v>3227</v>
      </c>
    </row>
    <row r="3870" spans="1:45" x14ac:dyDescent="0.2">
      <c r="A3870" t="s">
        <v>1876</v>
      </c>
      <c r="B3870" s="21" t="s">
        <v>1146</v>
      </c>
      <c r="C3870" s="21" t="s">
        <v>1149</v>
      </c>
      <c r="D3870" s="21" t="s">
        <v>1857</v>
      </c>
      <c r="E3870" s="21" t="s">
        <v>1875</v>
      </c>
      <c r="G3870" s="21" t="s">
        <v>153</v>
      </c>
      <c r="H3870" s="21" t="s">
        <v>1165</v>
      </c>
      <c r="I3870" s="21" t="s">
        <v>3222</v>
      </c>
      <c r="M3870" t="s">
        <v>1157</v>
      </c>
      <c r="O3870">
        <v>1998</v>
      </c>
      <c r="P3870">
        <v>2001</v>
      </c>
      <c r="Q3870" t="s">
        <v>1329</v>
      </c>
      <c r="R3870">
        <f>365*3</f>
        <v>1095</v>
      </c>
      <c r="T3870">
        <v>-5</v>
      </c>
      <c r="U3870" s="21" t="s">
        <v>1246</v>
      </c>
      <c r="V3870" s="9" t="s">
        <v>3223</v>
      </c>
      <c r="W3870">
        <v>35</v>
      </c>
      <c r="X3870" s="9" t="s">
        <v>1333</v>
      </c>
      <c r="Z3870" s="9" t="s">
        <v>3201</v>
      </c>
      <c r="AD3870" t="s">
        <v>1165</v>
      </c>
      <c r="AF3870" t="s">
        <v>153</v>
      </c>
      <c r="AG3870" t="s">
        <v>1160</v>
      </c>
      <c r="AH3870" t="s">
        <v>3226</v>
      </c>
      <c r="AI3870" s="21" t="s">
        <v>1165</v>
      </c>
      <c r="AJ3870" s="21" t="s">
        <v>1278</v>
      </c>
      <c r="AK3870">
        <v>7.8</v>
      </c>
      <c r="AN3870" s="21">
        <v>4</v>
      </c>
      <c r="AO3870" s="21">
        <v>50</v>
      </c>
      <c r="AP3870" s="21">
        <v>28</v>
      </c>
      <c r="AQ3870" s="22" t="s">
        <v>3224</v>
      </c>
      <c r="AR3870" s="21" t="s">
        <v>3230</v>
      </c>
      <c r="AS3870" t="s">
        <v>3227</v>
      </c>
    </row>
    <row r="3871" spans="1:45" x14ac:dyDescent="0.2">
      <c r="A3871" t="s">
        <v>1876</v>
      </c>
      <c r="B3871" s="21" t="s">
        <v>1146</v>
      </c>
      <c r="C3871" s="21" t="s">
        <v>1149</v>
      </c>
      <c r="D3871" s="21" t="s">
        <v>1857</v>
      </c>
      <c r="E3871" s="21" t="s">
        <v>1875</v>
      </c>
      <c r="G3871" s="21" t="s">
        <v>153</v>
      </c>
      <c r="H3871" s="21" t="s">
        <v>1165</v>
      </c>
      <c r="I3871" s="21" t="s">
        <v>3222</v>
      </c>
      <c r="M3871" t="s">
        <v>1157</v>
      </c>
      <c r="O3871">
        <v>1998</v>
      </c>
      <c r="P3871">
        <v>2001</v>
      </c>
      <c r="Q3871" t="s">
        <v>1329</v>
      </c>
      <c r="R3871">
        <f>365*3</f>
        <v>1095</v>
      </c>
      <c r="T3871">
        <v>-5</v>
      </c>
      <c r="U3871" s="21" t="s">
        <v>1246</v>
      </c>
      <c r="V3871" s="9" t="s">
        <v>3223</v>
      </c>
      <c r="W3871">
        <v>21</v>
      </c>
      <c r="X3871" s="9" t="s">
        <v>1333</v>
      </c>
      <c r="Z3871" s="9" t="s">
        <v>3201</v>
      </c>
      <c r="AA3871" t="s">
        <v>3228</v>
      </c>
      <c r="AB3871">
        <v>101.15</v>
      </c>
      <c r="AD3871" t="s">
        <v>1165</v>
      </c>
      <c r="AF3871" t="s">
        <v>153</v>
      </c>
      <c r="AG3871" t="s">
        <v>3228</v>
      </c>
      <c r="AH3871" t="s">
        <v>3226</v>
      </c>
      <c r="AI3871" s="21" t="s">
        <v>1165</v>
      </c>
      <c r="AJ3871" s="21" t="s">
        <v>1278</v>
      </c>
      <c r="AK3871">
        <v>8.8000000000000007</v>
      </c>
      <c r="AN3871" s="21">
        <v>4</v>
      </c>
      <c r="AO3871" s="21">
        <v>50</v>
      </c>
      <c r="AP3871" s="21">
        <v>28</v>
      </c>
      <c r="AQ3871" s="22" t="s">
        <v>3224</v>
      </c>
      <c r="AR3871" s="21" t="s">
        <v>3230</v>
      </c>
      <c r="AS3871" t="s">
        <v>3227</v>
      </c>
    </row>
    <row r="3872" spans="1:45" x14ac:dyDescent="0.2">
      <c r="A3872" t="s">
        <v>1876</v>
      </c>
      <c r="B3872" s="21" t="s">
        <v>1146</v>
      </c>
      <c r="C3872" s="21" t="s">
        <v>1149</v>
      </c>
      <c r="D3872" s="21" t="s">
        <v>1857</v>
      </c>
      <c r="E3872" s="21" t="s">
        <v>1875</v>
      </c>
      <c r="G3872" s="21" t="s">
        <v>153</v>
      </c>
      <c r="H3872" s="21" t="s">
        <v>1165</v>
      </c>
      <c r="I3872" s="21" t="s">
        <v>3222</v>
      </c>
      <c r="M3872" t="s">
        <v>1157</v>
      </c>
      <c r="O3872">
        <v>1998</v>
      </c>
      <c r="P3872">
        <v>2001</v>
      </c>
      <c r="Q3872" t="s">
        <v>1329</v>
      </c>
      <c r="R3872">
        <f>365*3</f>
        <v>1095</v>
      </c>
      <c r="T3872">
        <v>-5</v>
      </c>
      <c r="U3872" s="21" t="s">
        <v>3229</v>
      </c>
      <c r="X3872" s="9" t="s">
        <v>3223</v>
      </c>
      <c r="Z3872" s="9"/>
      <c r="AD3872" t="s">
        <v>1165</v>
      </c>
      <c r="AF3872" t="s">
        <v>1165</v>
      </c>
      <c r="AI3872" s="21" t="s">
        <v>1165</v>
      </c>
      <c r="AJ3872" s="21" t="s">
        <v>1278</v>
      </c>
      <c r="AK3872">
        <v>34.200000000000003</v>
      </c>
      <c r="AN3872" s="21">
        <v>4</v>
      </c>
      <c r="AO3872" s="21">
        <v>50</v>
      </c>
      <c r="AP3872" s="21">
        <v>28</v>
      </c>
      <c r="AQ3872" s="22" t="s">
        <v>3224</v>
      </c>
      <c r="AR3872" s="21" t="s">
        <v>3230</v>
      </c>
      <c r="AS3872" t="s">
        <v>3227</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93"/>
  <sheetViews>
    <sheetView topLeftCell="A276" zoomScale="65" workbookViewId="0">
      <selection activeCell="J303" sqref="A1:XFD1048576"/>
    </sheetView>
  </sheetViews>
  <sheetFormatPr baseColWidth="10" defaultRowHeight="16" x14ac:dyDescent="0.2"/>
  <sheetData>
    <row r="1" spans="1:44" s="2" customFormat="1" x14ac:dyDescent="0.2">
      <c r="V1" s="26"/>
      <c r="X1" s="26"/>
    </row>
    <row r="2" spans="1:44" x14ac:dyDescent="0.2">
      <c r="A2" s="21"/>
      <c r="B2" s="21"/>
      <c r="C2" s="21"/>
      <c r="D2" s="21"/>
      <c r="E2" s="21"/>
      <c r="G2" s="21"/>
      <c r="H2" s="21"/>
      <c r="I2" s="21"/>
      <c r="J2" s="21"/>
      <c r="M2" s="21"/>
      <c r="O2" s="21"/>
      <c r="Q2" s="21"/>
      <c r="T2" s="21"/>
      <c r="U2" s="21"/>
      <c r="V2" s="9"/>
      <c r="W2" s="21"/>
      <c r="X2" s="9"/>
      <c r="Z2" s="22"/>
      <c r="AD2" s="22"/>
      <c r="AF2" s="24"/>
      <c r="AI2" s="21"/>
      <c r="AJ2" s="21"/>
      <c r="AK2" s="21"/>
      <c r="AL2" s="21"/>
      <c r="AN2" s="21"/>
      <c r="AO2" s="21"/>
      <c r="AP2" s="21"/>
      <c r="AQ2" s="22"/>
      <c r="AR2" s="21"/>
    </row>
    <row r="3" spans="1:44" x14ac:dyDescent="0.2">
      <c r="A3" s="21"/>
      <c r="B3" s="21"/>
      <c r="C3" s="21"/>
      <c r="D3" s="21"/>
      <c r="E3" s="21"/>
      <c r="G3" s="21"/>
      <c r="H3" s="21"/>
      <c r="I3" s="21"/>
      <c r="J3" s="21"/>
      <c r="M3" s="21"/>
      <c r="O3" s="21"/>
      <c r="Q3" s="21"/>
      <c r="T3" s="21"/>
      <c r="U3" s="21"/>
      <c r="V3" s="9"/>
      <c r="W3" s="21"/>
      <c r="X3" s="9"/>
      <c r="Z3" s="22"/>
      <c r="AD3" s="22"/>
      <c r="AF3" s="24"/>
      <c r="AI3" s="21"/>
      <c r="AJ3" s="21"/>
      <c r="AK3" s="21"/>
      <c r="AL3" s="21"/>
      <c r="AN3" s="21"/>
      <c r="AO3" s="21"/>
      <c r="AP3" s="21"/>
      <c r="AQ3" s="22"/>
      <c r="AR3" s="21"/>
    </row>
    <row r="4" spans="1:44" x14ac:dyDescent="0.2">
      <c r="A4" s="21"/>
      <c r="B4" s="21"/>
      <c r="C4" s="21"/>
      <c r="D4" s="21"/>
      <c r="E4" s="21"/>
      <c r="G4" s="21"/>
      <c r="H4" s="21"/>
      <c r="I4" s="21"/>
      <c r="J4" s="21"/>
      <c r="M4" s="21"/>
      <c r="O4" s="21"/>
      <c r="Q4" s="21"/>
      <c r="T4" s="21"/>
      <c r="U4" s="21"/>
      <c r="V4" s="9"/>
      <c r="W4" s="21"/>
      <c r="X4" s="9"/>
      <c r="Z4" s="22"/>
      <c r="AD4" s="22"/>
      <c r="AF4" s="24"/>
      <c r="AI4" s="21"/>
      <c r="AJ4" s="21"/>
      <c r="AK4" s="21"/>
      <c r="AL4" s="21"/>
      <c r="AN4" s="21"/>
      <c r="AO4" s="21"/>
      <c r="AP4" s="21"/>
      <c r="AQ4" s="22"/>
      <c r="AR4" s="21"/>
    </row>
    <row r="5" spans="1:44" x14ac:dyDescent="0.2">
      <c r="A5" s="21"/>
      <c r="B5" s="21"/>
      <c r="C5" s="21"/>
      <c r="D5" s="21"/>
      <c r="E5" s="21"/>
      <c r="G5" s="21"/>
      <c r="H5" s="21"/>
      <c r="I5" s="21"/>
      <c r="J5" s="21"/>
      <c r="M5" s="21"/>
      <c r="O5" s="21"/>
      <c r="Q5" s="21"/>
      <c r="T5" s="21"/>
      <c r="U5" s="21"/>
      <c r="V5" s="9"/>
      <c r="W5" s="21"/>
      <c r="X5" s="9"/>
      <c r="Z5" s="22"/>
      <c r="AD5" s="22"/>
      <c r="AF5" s="24"/>
      <c r="AI5" s="21"/>
      <c r="AJ5" s="21"/>
      <c r="AK5" s="21"/>
      <c r="AL5" s="21"/>
      <c r="AN5" s="21"/>
      <c r="AO5" s="21"/>
      <c r="AP5" s="21"/>
      <c r="AQ5" s="22"/>
      <c r="AR5" s="21"/>
    </row>
    <row r="6" spans="1:44" x14ac:dyDescent="0.2">
      <c r="A6" s="21"/>
      <c r="B6" s="21"/>
      <c r="C6" s="21"/>
      <c r="D6" s="21"/>
      <c r="E6" s="21"/>
      <c r="G6" s="21"/>
      <c r="H6" s="21"/>
      <c r="I6" s="21"/>
      <c r="J6" s="21"/>
      <c r="M6" s="21"/>
      <c r="O6" s="21"/>
      <c r="Q6" s="21"/>
      <c r="T6" s="21"/>
      <c r="U6" s="21"/>
      <c r="V6" s="9"/>
      <c r="W6" s="21"/>
      <c r="X6" s="9"/>
      <c r="Z6" s="22"/>
      <c r="AD6" s="22"/>
      <c r="AF6" s="24"/>
      <c r="AI6" s="21"/>
      <c r="AJ6" s="21"/>
      <c r="AK6" s="21"/>
      <c r="AL6" s="21"/>
      <c r="AN6" s="21"/>
      <c r="AO6" s="21"/>
      <c r="AP6" s="21"/>
      <c r="AQ6" s="22"/>
      <c r="AR6" s="21"/>
    </row>
    <row r="7" spans="1:44" x14ac:dyDescent="0.2">
      <c r="A7" s="21"/>
      <c r="B7" s="21"/>
      <c r="C7" s="21"/>
      <c r="D7" s="21"/>
      <c r="E7" s="21"/>
      <c r="G7" s="21"/>
      <c r="H7" s="21"/>
      <c r="I7" s="21"/>
      <c r="J7" s="21"/>
      <c r="M7" s="21"/>
      <c r="O7" s="21"/>
      <c r="Q7" s="21"/>
      <c r="T7" s="21"/>
      <c r="U7" s="21"/>
      <c r="V7" s="9"/>
      <c r="W7" s="21"/>
      <c r="X7" s="9"/>
      <c r="Z7" s="22"/>
      <c r="AD7" s="22"/>
      <c r="AF7" s="24"/>
      <c r="AI7" s="21"/>
      <c r="AJ7" s="21"/>
      <c r="AK7" s="21"/>
      <c r="AL7" s="21"/>
      <c r="AN7" s="21"/>
      <c r="AO7" s="21"/>
      <c r="AP7" s="21"/>
      <c r="AQ7" s="22"/>
      <c r="AR7" s="21"/>
    </row>
    <row r="8" spans="1:44" x14ac:dyDescent="0.2">
      <c r="A8" s="21"/>
      <c r="B8" s="21"/>
      <c r="C8" s="21"/>
      <c r="D8" s="21"/>
      <c r="E8" s="21"/>
      <c r="G8" s="21"/>
      <c r="H8" s="21"/>
      <c r="I8" s="21"/>
      <c r="J8" s="21"/>
      <c r="M8" s="21"/>
      <c r="O8" s="21"/>
      <c r="Q8" s="21"/>
      <c r="T8" s="21"/>
      <c r="U8" s="21"/>
      <c r="V8" s="9"/>
      <c r="W8" s="21"/>
      <c r="X8" s="9"/>
      <c r="Z8" s="22"/>
      <c r="AD8" s="22"/>
      <c r="AF8" s="24"/>
      <c r="AI8" s="21"/>
      <c r="AJ8" s="21"/>
      <c r="AK8" s="21"/>
      <c r="AL8" s="21"/>
      <c r="AM8" s="21"/>
      <c r="AN8" s="21"/>
      <c r="AO8" s="21"/>
      <c r="AP8" s="21"/>
      <c r="AQ8" s="22"/>
      <c r="AR8" s="21"/>
    </row>
    <row r="9" spans="1:44" x14ac:dyDescent="0.2">
      <c r="A9" s="21"/>
      <c r="B9" s="21"/>
      <c r="C9" s="21"/>
      <c r="D9" s="21"/>
      <c r="E9" s="21"/>
      <c r="G9" s="21"/>
      <c r="H9" s="21"/>
      <c r="I9" s="21"/>
      <c r="J9" s="21"/>
      <c r="M9" s="21"/>
      <c r="O9" s="21"/>
      <c r="Q9" s="21"/>
      <c r="T9" s="21"/>
      <c r="U9" s="21"/>
      <c r="V9" s="9"/>
      <c r="W9" s="21"/>
      <c r="X9" s="9"/>
      <c r="Z9" s="22"/>
      <c r="AD9" s="22"/>
      <c r="AF9" s="24"/>
      <c r="AI9" s="21"/>
      <c r="AJ9" s="21"/>
      <c r="AK9" s="21"/>
      <c r="AL9" s="21"/>
      <c r="AM9" s="21"/>
      <c r="AN9" s="21"/>
      <c r="AO9" s="21"/>
      <c r="AP9" s="21"/>
      <c r="AQ9" s="22"/>
      <c r="AR9" s="21"/>
    </row>
    <row r="10" spans="1:44" x14ac:dyDescent="0.2">
      <c r="A10" s="21"/>
      <c r="B10" s="21"/>
      <c r="C10" s="21"/>
      <c r="D10" s="21"/>
      <c r="E10" s="21"/>
      <c r="G10" s="21"/>
      <c r="H10" s="21"/>
      <c r="I10" s="21"/>
      <c r="J10" s="21"/>
      <c r="M10" s="21"/>
      <c r="O10" s="21"/>
      <c r="Q10" s="21"/>
      <c r="T10" s="21"/>
      <c r="U10" s="21"/>
      <c r="V10" s="9"/>
      <c r="W10" s="21"/>
      <c r="X10" s="9"/>
      <c r="Z10" s="22"/>
      <c r="AD10" s="22"/>
      <c r="AF10" s="24"/>
      <c r="AI10" s="21"/>
      <c r="AJ10" s="21"/>
      <c r="AK10" s="21"/>
      <c r="AL10" s="21"/>
      <c r="AM10" s="21"/>
      <c r="AN10" s="21"/>
      <c r="AO10" s="21"/>
      <c r="AP10" s="21"/>
      <c r="AQ10" s="22"/>
      <c r="AR10" s="21"/>
    </row>
    <row r="11" spans="1:44" x14ac:dyDescent="0.2">
      <c r="A11" s="21"/>
      <c r="B11" s="21"/>
      <c r="C11" s="21"/>
      <c r="D11" s="21"/>
      <c r="E11" s="21"/>
      <c r="G11" s="21"/>
      <c r="H11" s="21"/>
      <c r="I11" s="21"/>
      <c r="J11" s="21"/>
      <c r="M11" s="21"/>
      <c r="O11" s="21"/>
      <c r="Q11" s="21"/>
      <c r="T11" s="21"/>
      <c r="U11" s="21"/>
      <c r="V11" s="9"/>
      <c r="W11" s="21"/>
      <c r="X11" s="9"/>
      <c r="Z11" s="22"/>
      <c r="AD11" s="22"/>
      <c r="AF11" s="24"/>
      <c r="AI11" s="21"/>
      <c r="AJ11" s="21"/>
      <c r="AK11" s="21"/>
      <c r="AL11" s="21"/>
      <c r="AM11" s="21"/>
      <c r="AN11" s="21"/>
      <c r="AO11" s="21"/>
      <c r="AP11" s="21"/>
      <c r="AQ11" s="22"/>
      <c r="AR11" s="21"/>
    </row>
    <row r="12" spans="1:44" x14ac:dyDescent="0.2">
      <c r="A12" s="21"/>
      <c r="B12" s="21"/>
      <c r="C12" s="21"/>
      <c r="D12" s="21"/>
      <c r="E12" s="21"/>
      <c r="G12" s="21"/>
      <c r="H12" s="21"/>
      <c r="I12" s="21"/>
      <c r="J12" s="21"/>
      <c r="M12" s="21"/>
      <c r="O12" s="21"/>
      <c r="Q12" s="21"/>
      <c r="T12" s="21"/>
      <c r="U12" s="21"/>
      <c r="V12" s="9"/>
      <c r="W12" s="21"/>
      <c r="X12" s="9"/>
      <c r="Z12" s="22"/>
      <c r="AD12" s="22"/>
      <c r="AF12" s="24"/>
      <c r="AI12" s="21"/>
      <c r="AJ12" s="21"/>
      <c r="AK12" s="21"/>
      <c r="AL12" s="21"/>
      <c r="AM12" s="21"/>
      <c r="AN12" s="21"/>
      <c r="AO12" s="21"/>
      <c r="AP12" s="21"/>
      <c r="AQ12" s="22"/>
      <c r="AR12" s="21"/>
    </row>
    <row r="13" spans="1:44" x14ac:dyDescent="0.2">
      <c r="A13" s="21"/>
      <c r="B13" s="21"/>
      <c r="C13" s="21"/>
      <c r="D13" s="21"/>
      <c r="E13" s="21"/>
      <c r="G13" s="21"/>
      <c r="H13" s="21"/>
      <c r="I13" s="21"/>
      <c r="J13" s="21"/>
      <c r="M13" s="21"/>
      <c r="O13" s="21"/>
      <c r="Q13" s="21"/>
      <c r="T13" s="21"/>
      <c r="U13" s="21"/>
      <c r="V13" s="9"/>
      <c r="W13" s="21"/>
      <c r="X13" s="9"/>
      <c r="Z13" s="22"/>
      <c r="AD13" s="22"/>
      <c r="AF13" s="24"/>
      <c r="AI13" s="21"/>
      <c r="AJ13" s="21"/>
      <c r="AK13" s="21"/>
      <c r="AL13" s="21"/>
      <c r="AM13" s="21"/>
      <c r="AN13" s="21"/>
      <c r="AO13" s="21"/>
      <c r="AP13" s="21"/>
      <c r="AQ13" s="22"/>
      <c r="AR13" s="21"/>
    </row>
    <row r="14" spans="1:44" x14ac:dyDescent="0.2">
      <c r="A14" s="21"/>
      <c r="B14" s="21"/>
      <c r="C14" s="21"/>
      <c r="D14" s="21"/>
      <c r="E14" s="21"/>
      <c r="G14" s="21"/>
      <c r="H14" s="21"/>
      <c r="I14" s="21"/>
      <c r="J14" s="21"/>
      <c r="M14" s="21"/>
      <c r="O14" s="21"/>
      <c r="Q14" s="21"/>
      <c r="T14" s="21"/>
      <c r="U14" s="21"/>
      <c r="V14" s="9"/>
      <c r="W14" s="21"/>
      <c r="X14" s="9"/>
      <c r="Z14" s="22"/>
      <c r="AD14" s="22"/>
      <c r="AF14" s="24"/>
      <c r="AI14" s="21"/>
      <c r="AJ14" s="21"/>
      <c r="AK14" s="21"/>
      <c r="AL14" s="21"/>
      <c r="AM14" s="21"/>
      <c r="AN14" s="21"/>
      <c r="AO14" s="21"/>
      <c r="AP14" s="21"/>
      <c r="AQ14" s="22"/>
      <c r="AR14" s="21"/>
    </row>
    <row r="15" spans="1:44" x14ac:dyDescent="0.2">
      <c r="A15" s="21"/>
      <c r="B15" s="21"/>
      <c r="C15" s="21"/>
      <c r="D15" s="21"/>
      <c r="E15" s="21"/>
      <c r="G15" s="21"/>
      <c r="H15" s="21"/>
      <c r="I15" s="21"/>
      <c r="J15" s="21"/>
      <c r="M15" s="21"/>
      <c r="O15" s="21"/>
      <c r="Q15" s="21"/>
      <c r="T15" s="21"/>
      <c r="U15" s="21"/>
      <c r="V15" s="9"/>
      <c r="W15" s="21"/>
      <c r="X15" s="9"/>
      <c r="Z15" s="22"/>
      <c r="AD15" s="22"/>
      <c r="AF15" s="24"/>
      <c r="AI15" s="21"/>
      <c r="AJ15" s="21"/>
      <c r="AK15" s="21"/>
      <c r="AL15" s="21"/>
      <c r="AM15" s="21"/>
      <c r="AN15" s="21"/>
      <c r="AO15" s="21"/>
      <c r="AP15" s="21"/>
      <c r="AQ15" s="22"/>
      <c r="AR15" s="21"/>
    </row>
    <row r="16" spans="1:44" x14ac:dyDescent="0.2">
      <c r="A16" s="21"/>
      <c r="B16" s="21"/>
      <c r="C16" s="21"/>
      <c r="D16" s="21"/>
      <c r="E16" s="21"/>
      <c r="G16" s="21"/>
      <c r="H16" s="21"/>
      <c r="I16" s="21"/>
      <c r="J16" s="21"/>
      <c r="M16" s="21"/>
      <c r="O16" s="21"/>
      <c r="Q16" s="21"/>
      <c r="T16" s="21"/>
      <c r="U16" s="21"/>
      <c r="V16" s="9"/>
      <c r="W16" s="21"/>
      <c r="X16" s="9"/>
      <c r="Z16" s="22"/>
      <c r="AD16" s="22"/>
      <c r="AF16" s="24"/>
      <c r="AI16" s="21"/>
      <c r="AJ16" s="21"/>
      <c r="AK16" s="21"/>
      <c r="AL16" s="21"/>
      <c r="AM16" s="21"/>
      <c r="AN16" s="21"/>
      <c r="AO16" s="21"/>
      <c r="AP16" s="21"/>
      <c r="AQ16" s="22"/>
      <c r="AR16" s="21"/>
    </row>
    <row r="17" spans="1:44" x14ac:dyDescent="0.2">
      <c r="A17" s="21"/>
      <c r="B17" s="21"/>
      <c r="C17" s="21"/>
      <c r="D17" s="21"/>
      <c r="E17" s="21"/>
      <c r="G17" s="21"/>
      <c r="H17" s="21"/>
      <c r="I17" s="21"/>
      <c r="J17" s="21"/>
      <c r="M17" s="21"/>
      <c r="O17" s="21"/>
      <c r="Q17" s="21"/>
      <c r="T17" s="21"/>
      <c r="U17" s="21"/>
      <c r="V17" s="9"/>
      <c r="W17" s="21"/>
      <c r="X17" s="9"/>
      <c r="Z17" s="22"/>
      <c r="AD17" s="22"/>
      <c r="AF17" s="24"/>
      <c r="AI17" s="21"/>
      <c r="AJ17" s="21"/>
      <c r="AK17" s="21"/>
      <c r="AL17" s="21"/>
      <c r="AM17" s="21"/>
      <c r="AN17" s="21"/>
      <c r="AO17" s="21"/>
      <c r="AP17" s="21"/>
      <c r="AQ17" s="22"/>
      <c r="AR17" s="21"/>
    </row>
    <row r="18" spans="1:44" x14ac:dyDescent="0.2">
      <c r="A18" s="21"/>
      <c r="B18" s="21"/>
      <c r="C18" s="21"/>
      <c r="D18" s="21"/>
      <c r="E18" s="21"/>
      <c r="G18" s="21"/>
      <c r="H18" s="21"/>
      <c r="I18" s="21"/>
      <c r="J18" s="21"/>
      <c r="M18" s="21"/>
      <c r="O18" s="21"/>
      <c r="Q18" s="21"/>
      <c r="T18" s="21"/>
      <c r="U18" s="21"/>
      <c r="V18" s="9"/>
      <c r="W18" s="21"/>
      <c r="X18" s="9"/>
      <c r="Z18" s="22"/>
      <c r="AD18" s="22"/>
      <c r="AF18" s="24"/>
      <c r="AI18" s="21"/>
      <c r="AJ18" s="21"/>
      <c r="AK18" s="21"/>
      <c r="AL18" s="21"/>
      <c r="AM18" s="21"/>
      <c r="AN18" s="21"/>
      <c r="AO18" s="21"/>
      <c r="AP18" s="21"/>
      <c r="AQ18" s="22"/>
      <c r="AR18" s="21"/>
    </row>
    <row r="19" spans="1:44" x14ac:dyDescent="0.2">
      <c r="A19" s="21"/>
      <c r="B19" s="21"/>
      <c r="C19" s="21"/>
      <c r="D19" s="21"/>
      <c r="E19" s="21"/>
      <c r="G19" s="21"/>
      <c r="H19" s="21"/>
      <c r="I19" s="21"/>
      <c r="J19" s="21"/>
      <c r="M19" s="21"/>
      <c r="O19" s="21"/>
      <c r="Q19" s="21"/>
      <c r="T19" s="21"/>
      <c r="U19" s="21"/>
      <c r="V19" s="9"/>
      <c r="W19" s="21"/>
      <c r="X19" s="9"/>
      <c r="Z19" s="22"/>
      <c r="AD19" s="22"/>
      <c r="AF19" s="24"/>
      <c r="AI19" s="21"/>
      <c r="AJ19" s="21"/>
      <c r="AK19" s="21"/>
      <c r="AL19" s="21"/>
      <c r="AM19" s="21"/>
      <c r="AN19" s="21"/>
      <c r="AO19" s="21"/>
      <c r="AP19" s="21"/>
      <c r="AQ19" s="22"/>
      <c r="AR19" s="21"/>
    </row>
    <row r="20" spans="1:44" x14ac:dyDescent="0.2">
      <c r="A20" s="21"/>
      <c r="B20" s="21"/>
      <c r="C20" s="21"/>
      <c r="D20" s="21"/>
      <c r="E20" s="21"/>
      <c r="G20" s="21"/>
      <c r="H20" s="21"/>
      <c r="I20" s="21"/>
      <c r="J20" s="21"/>
      <c r="M20" s="21"/>
      <c r="O20" s="21"/>
      <c r="Q20" s="21"/>
      <c r="T20" s="21"/>
      <c r="U20" s="21"/>
      <c r="V20" s="9"/>
      <c r="W20" s="21"/>
      <c r="X20" s="9"/>
      <c r="Z20" s="22"/>
      <c r="AD20" s="22"/>
      <c r="AF20" s="24"/>
      <c r="AI20" s="21"/>
      <c r="AJ20" s="21"/>
      <c r="AK20" s="21"/>
      <c r="AL20" s="21"/>
      <c r="AM20" s="21"/>
      <c r="AN20" s="21"/>
      <c r="AO20" s="21"/>
      <c r="AP20" s="21"/>
      <c r="AQ20" s="22"/>
      <c r="AR20" s="21"/>
    </row>
    <row r="21" spans="1:44" x14ac:dyDescent="0.2">
      <c r="A21" s="21"/>
      <c r="B21" s="21"/>
      <c r="C21" s="21"/>
      <c r="D21" s="21"/>
      <c r="E21" s="21"/>
      <c r="G21" s="21"/>
      <c r="H21" s="21"/>
      <c r="I21" s="21"/>
      <c r="J21" s="21"/>
      <c r="M21" s="21"/>
      <c r="O21" s="21"/>
      <c r="Q21" s="21"/>
      <c r="T21" s="21"/>
      <c r="U21" s="21"/>
      <c r="V21" s="9"/>
      <c r="W21" s="21"/>
      <c r="X21" s="9"/>
      <c r="Z21" s="22"/>
      <c r="AD21" s="22"/>
      <c r="AF21" s="24"/>
      <c r="AI21" s="21"/>
      <c r="AJ21" s="21"/>
      <c r="AK21" s="21"/>
      <c r="AL21" s="21"/>
      <c r="AM21" s="21"/>
      <c r="AN21" s="21"/>
      <c r="AO21" s="21"/>
      <c r="AP21" s="21"/>
      <c r="AQ21" s="22"/>
      <c r="AR21" s="21"/>
    </row>
    <row r="22" spans="1:44" x14ac:dyDescent="0.2">
      <c r="A22" s="21"/>
      <c r="B22" s="21"/>
      <c r="C22" s="21"/>
      <c r="D22" s="21"/>
      <c r="E22" s="21"/>
      <c r="G22" s="21"/>
      <c r="H22" s="21"/>
      <c r="I22" s="21"/>
      <c r="J22" s="21"/>
      <c r="M22" s="21"/>
      <c r="O22" s="21"/>
      <c r="Q22" s="21"/>
      <c r="T22" s="21"/>
      <c r="U22" s="21"/>
      <c r="V22" s="9"/>
      <c r="W22" s="21"/>
      <c r="X22" s="9"/>
      <c r="Z22" s="22"/>
      <c r="AD22" s="22"/>
      <c r="AF22" s="24"/>
      <c r="AI22" s="21"/>
      <c r="AJ22" s="21"/>
      <c r="AK22" s="21"/>
      <c r="AL22" s="21"/>
      <c r="AM22" s="21"/>
      <c r="AN22" s="21"/>
      <c r="AO22" s="21"/>
      <c r="AP22" s="21"/>
      <c r="AQ22" s="22"/>
      <c r="AR22" s="21"/>
    </row>
    <row r="23" spans="1:44" x14ac:dyDescent="0.2">
      <c r="A23" s="21"/>
      <c r="B23" s="21"/>
      <c r="C23" s="21"/>
      <c r="D23" s="21"/>
      <c r="E23" s="21"/>
      <c r="G23" s="21"/>
      <c r="H23" s="21"/>
      <c r="I23" s="21"/>
      <c r="J23" s="21"/>
      <c r="M23" s="21"/>
      <c r="O23" s="21"/>
      <c r="Q23" s="21"/>
      <c r="T23" s="21"/>
      <c r="U23" s="21"/>
      <c r="V23" s="9"/>
      <c r="W23" s="21"/>
      <c r="X23" s="9"/>
      <c r="Z23" s="22"/>
      <c r="AD23" s="22"/>
      <c r="AF23" s="24"/>
      <c r="AI23" s="21"/>
      <c r="AJ23" s="21"/>
      <c r="AK23" s="21"/>
      <c r="AL23" s="21"/>
      <c r="AM23" s="21"/>
      <c r="AN23" s="21"/>
      <c r="AO23" s="21"/>
      <c r="AP23" s="21"/>
      <c r="AQ23" s="22"/>
      <c r="AR23" s="21"/>
    </row>
    <row r="24" spans="1:44" x14ac:dyDescent="0.2">
      <c r="A24" s="21"/>
      <c r="B24" s="21"/>
      <c r="C24" s="21"/>
      <c r="D24" s="21"/>
      <c r="E24" s="21"/>
      <c r="G24" s="21"/>
      <c r="H24" s="21"/>
      <c r="I24" s="21"/>
      <c r="J24" s="21"/>
      <c r="M24" s="21"/>
      <c r="O24" s="21"/>
      <c r="Q24" s="21"/>
      <c r="T24" s="21"/>
      <c r="U24" s="21"/>
      <c r="V24" s="9"/>
      <c r="W24" s="21"/>
      <c r="X24" s="9"/>
      <c r="Z24" s="22"/>
      <c r="AD24" s="22"/>
      <c r="AF24" s="24"/>
      <c r="AI24" s="21"/>
      <c r="AJ24" s="21"/>
      <c r="AK24" s="21"/>
      <c r="AL24" s="21"/>
      <c r="AM24" s="21"/>
      <c r="AN24" s="21"/>
      <c r="AO24" s="21"/>
      <c r="AP24" s="21"/>
      <c r="AQ24" s="22"/>
      <c r="AR24" s="21"/>
    </row>
    <row r="25" spans="1:44" x14ac:dyDescent="0.2">
      <c r="A25" s="21"/>
      <c r="B25" s="21"/>
      <c r="C25" s="21"/>
      <c r="D25" s="21"/>
      <c r="E25" s="21"/>
      <c r="G25" s="21"/>
      <c r="H25" s="21"/>
      <c r="I25" s="21"/>
      <c r="J25" s="21"/>
      <c r="M25" s="21"/>
      <c r="O25" s="21"/>
      <c r="Q25" s="21"/>
      <c r="T25" s="21"/>
      <c r="U25" s="21"/>
      <c r="V25" s="9"/>
      <c r="W25" s="21"/>
      <c r="X25" s="9"/>
      <c r="Z25" s="22"/>
      <c r="AD25" s="22"/>
      <c r="AF25" s="24"/>
      <c r="AI25" s="21"/>
      <c r="AJ25" s="21"/>
      <c r="AK25" s="21"/>
      <c r="AL25" s="21"/>
      <c r="AM25" s="21"/>
      <c r="AN25" s="21"/>
      <c r="AO25" s="21"/>
      <c r="AP25" s="21"/>
      <c r="AQ25" s="22"/>
      <c r="AR25" s="21"/>
    </row>
    <row r="26" spans="1:44" x14ac:dyDescent="0.2">
      <c r="A26" s="21"/>
      <c r="B26" s="21"/>
      <c r="C26" s="21"/>
      <c r="D26" s="21"/>
      <c r="E26" s="21"/>
      <c r="G26" s="21"/>
      <c r="H26" s="21"/>
      <c r="I26" s="21"/>
      <c r="J26" s="21"/>
      <c r="M26" s="21"/>
      <c r="O26" s="21"/>
      <c r="Q26" s="21"/>
      <c r="T26" s="21"/>
      <c r="U26" s="21"/>
      <c r="V26" s="9"/>
      <c r="W26" s="21"/>
      <c r="X26" s="9"/>
      <c r="Z26" s="22"/>
      <c r="AD26" s="22"/>
      <c r="AF26" s="24"/>
      <c r="AI26" s="21"/>
      <c r="AJ26" s="21"/>
      <c r="AK26" s="21"/>
      <c r="AL26" s="21"/>
      <c r="AM26" s="21"/>
      <c r="AN26" s="21"/>
      <c r="AO26" s="21"/>
      <c r="AP26" s="21"/>
      <c r="AQ26" s="22"/>
      <c r="AR26" s="21"/>
    </row>
    <row r="27" spans="1:44" x14ac:dyDescent="0.2">
      <c r="A27" s="21"/>
      <c r="B27" s="21"/>
      <c r="C27" s="21"/>
      <c r="D27" s="21"/>
      <c r="E27" s="21"/>
      <c r="G27" s="21"/>
      <c r="H27" s="21"/>
      <c r="I27" s="21"/>
      <c r="J27" s="21"/>
      <c r="M27" s="21"/>
      <c r="O27" s="21"/>
      <c r="Q27" s="21"/>
      <c r="T27" s="21"/>
      <c r="U27" s="21"/>
      <c r="V27" s="9"/>
      <c r="W27" s="21"/>
      <c r="X27" s="9"/>
      <c r="Z27" s="22"/>
      <c r="AD27" s="22"/>
      <c r="AF27" s="24"/>
      <c r="AI27" s="21"/>
      <c r="AJ27" s="21"/>
      <c r="AK27" s="21"/>
      <c r="AL27" s="21"/>
      <c r="AM27" s="21"/>
      <c r="AN27" s="21"/>
      <c r="AO27" s="21"/>
      <c r="AP27" s="21"/>
      <c r="AQ27" s="22"/>
      <c r="AR27" s="21"/>
    </row>
    <row r="28" spans="1:44" x14ac:dyDescent="0.2">
      <c r="A28" s="21"/>
      <c r="B28" s="21"/>
      <c r="C28" s="21"/>
      <c r="D28" s="21"/>
      <c r="E28" s="21"/>
      <c r="G28" s="21"/>
      <c r="H28" s="21"/>
      <c r="I28" s="21"/>
      <c r="J28" s="21"/>
      <c r="M28" s="21"/>
      <c r="O28" s="21"/>
      <c r="Q28" s="21"/>
      <c r="T28" s="21"/>
      <c r="U28" s="21"/>
      <c r="V28" s="9"/>
      <c r="W28" s="21"/>
      <c r="X28" s="9"/>
      <c r="Z28" s="22"/>
      <c r="AD28" s="22"/>
      <c r="AF28" s="24"/>
      <c r="AI28" s="21"/>
      <c r="AJ28" s="21"/>
      <c r="AK28" s="21"/>
      <c r="AL28" s="21"/>
      <c r="AM28" s="21"/>
      <c r="AN28" s="21"/>
      <c r="AO28" s="21"/>
      <c r="AP28" s="21"/>
      <c r="AQ28" s="22"/>
      <c r="AR28" s="21"/>
    </row>
    <row r="29" spans="1:44" x14ac:dyDescent="0.2">
      <c r="A29" s="21"/>
      <c r="B29" s="21"/>
      <c r="C29" s="21"/>
      <c r="D29" s="21"/>
      <c r="E29" s="21"/>
      <c r="G29" s="21"/>
      <c r="H29" s="21"/>
      <c r="I29" s="21"/>
      <c r="J29" s="21"/>
      <c r="M29" s="21"/>
      <c r="O29" s="21"/>
      <c r="Q29" s="21"/>
      <c r="T29" s="21"/>
      <c r="U29" s="21"/>
      <c r="V29" s="9"/>
      <c r="W29" s="21"/>
      <c r="X29" s="9"/>
      <c r="Z29" s="22"/>
      <c r="AD29" s="22"/>
      <c r="AF29" s="24"/>
      <c r="AI29" s="21"/>
      <c r="AJ29" s="21"/>
      <c r="AK29" s="21"/>
      <c r="AL29" s="21"/>
      <c r="AM29" s="21"/>
      <c r="AN29" s="21"/>
      <c r="AO29" s="21"/>
      <c r="AP29" s="21"/>
      <c r="AQ29" s="22"/>
      <c r="AR29" s="21"/>
    </row>
    <row r="30" spans="1:44" x14ac:dyDescent="0.2">
      <c r="A30" s="21"/>
      <c r="B30" s="21"/>
      <c r="C30" s="21"/>
      <c r="D30" s="21"/>
      <c r="E30" s="21"/>
      <c r="G30" s="21"/>
      <c r="H30" s="21"/>
      <c r="I30" s="21"/>
      <c r="J30" s="21"/>
      <c r="M30" s="21"/>
      <c r="O30" s="21"/>
      <c r="Q30" s="21"/>
      <c r="T30" s="21"/>
      <c r="U30" s="21"/>
      <c r="V30" s="9"/>
      <c r="W30" s="21"/>
      <c r="X30" s="9"/>
      <c r="Z30" s="22"/>
      <c r="AD30" s="22"/>
      <c r="AF30" s="24"/>
      <c r="AI30" s="21"/>
      <c r="AJ30" s="21"/>
      <c r="AK30" s="21"/>
      <c r="AL30" s="21"/>
      <c r="AM30" s="21"/>
      <c r="AN30" s="21"/>
      <c r="AO30" s="21"/>
      <c r="AP30" s="21"/>
      <c r="AQ30" s="22"/>
      <c r="AR30" s="21"/>
    </row>
    <row r="31" spans="1:44" x14ac:dyDescent="0.2">
      <c r="A31" s="21"/>
      <c r="B31" s="21"/>
      <c r="C31" s="21"/>
      <c r="D31" s="21"/>
      <c r="E31" s="21"/>
      <c r="G31" s="21"/>
      <c r="H31" s="21"/>
      <c r="I31" s="21"/>
      <c r="J31" s="21"/>
      <c r="M31" s="21"/>
      <c r="O31" s="21"/>
      <c r="Q31" s="21"/>
      <c r="T31" s="21"/>
      <c r="U31" s="21"/>
      <c r="V31" s="9"/>
      <c r="W31" s="21"/>
      <c r="X31" s="9"/>
      <c r="Z31" s="22"/>
      <c r="AD31" s="22"/>
      <c r="AF31" s="24"/>
      <c r="AI31" s="21"/>
      <c r="AJ31" s="21"/>
      <c r="AK31" s="21"/>
      <c r="AL31" s="21"/>
      <c r="AM31" s="21"/>
      <c r="AN31" s="21"/>
      <c r="AO31" s="21"/>
      <c r="AP31" s="21"/>
      <c r="AQ31" s="22"/>
      <c r="AR31" s="21"/>
    </row>
    <row r="32" spans="1:44" x14ac:dyDescent="0.2">
      <c r="A32" s="21"/>
      <c r="B32" s="21"/>
      <c r="C32" s="21"/>
      <c r="D32" s="21"/>
      <c r="E32" s="21"/>
      <c r="G32" s="21"/>
      <c r="H32" s="21"/>
      <c r="I32" s="21"/>
      <c r="J32" s="21"/>
      <c r="M32" s="21"/>
      <c r="O32" s="21"/>
      <c r="Q32" s="21"/>
      <c r="T32" s="21"/>
      <c r="U32" s="21"/>
      <c r="V32" s="9"/>
      <c r="W32" s="21"/>
      <c r="X32" s="9"/>
      <c r="Z32" s="22"/>
      <c r="AD32" s="22"/>
      <c r="AF32" s="24"/>
      <c r="AI32" s="21"/>
      <c r="AJ32" s="21"/>
      <c r="AK32" s="21"/>
      <c r="AL32" s="21"/>
      <c r="AM32" s="21"/>
      <c r="AN32" s="21"/>
      <c r="AO32" s="21"/>
      <c r="AP32" s="21"/>
      <c r="AQ32" s="22"/>
      <c r="AR32" s="21"/>
    </row>
    <row r="33" spans="1:44" x14ac:dyDescent="0.2">
      <c r="A33" s="21"/>
      <c r="B33" s="21"/>
      <c r="C33" s="21"/>
      <c r="D33" s="21"/>
      <c r="E33" s="21"/>
      <c r="G33" s="21"/>
      <c r="H33" s="21"/>
      <c r="I33" s="21"/>
      <c r="J33" s="21"/>
      <c r="M33" s="21"/>
      <c r="O33" s="21"/>
      <c r="Q33" s="21"/>
      <c r="T33" s="21"/>
      <c r="U33" s="21"/>
      <c r="V33" s="9"/>
      <c r="W33" s="21"/>
      <c r="X33" s="9"/>
      <c r="Z33" s="22"/>
      <c r="AD33" s="22"/>
      <c r="AF33" s="24"/>
      <c r="AI33" s="21"/>
      <c r="AJ33" s="21"/>
      <c r="AK33" s="21"/>
      <c r="AL33" s="21"/>
      <c r="AM33" s="21"/>
      <c r="AN33" s="21"/>
      <c r="AO33" s="21"/>
      <c r="AP33" s="21"/>
      <c r="AQ33" s="22"/>
      <c r="AR33" s="21"/>
    </row>
    <row r="34" spans="1:44" x14ac:dyDescent="0.2">
      <c r="A34" s="21"/>
      <c r="B34" s="21"/>
      <c r="C34" s="21"/>
      <c r="D34" s="21"/>
      <c r="E34" s="21"/>
      <c r="G34" s="21"/>
      <c r="H34" s="21"/>
      <c r="I34" s="21"/>
      <c r="J34" s="21"/>
      <c r="M34" s="21"/>
      <c r="O34" s="21"/>
      <c r="Q34" s="21"/>
      <c r="T34" s="21"/>
      <c r="U34" s="21"/>
      <c r="V34" s="9"/>
      <c r="W34" s="21"/>
      <c r="X34" s="9"/>
      <c r="Z34" s="22"/>
      <c r="AD34" s="22"/>
      <c r="AF34" s="24"/>
      <c r="AI34" s="21"/>
      <c r="AJ34" s="21"/>
      <c r="AK34" s="21"/>
      <c r="AL34" s="21"/>
      <c r="AM34" s="21"/>
      <c r="AN34" s="21"/>
      <c r="AO34" s="21"/>
      <c r="AP34" s="21"/>
      <c r="AQ34" s="22"/>
      <c r="AR34" s="21"/>
    </row>
    <row r="35" spans="1:44" x14ac:dyDescent="0.2">
      <c r="A35" s="21"/>
      <c r="B35" s="21"/>
      <c r="C35" s="21"/>
      <c r="D35" s="21"/>
      <c r="E35" s="21"/>
      <c r="G35" s="21"/>
      <c r="H35" s="21"/>
      <c r="I35" s="21"/>
      <c r="J35" s="21"/>
      <c r="M35" s="21"/>
      <c r="O35" s="21"/>
      <c r="Q35" s="21"/>
      <c r="T35" s="21"/>
      <c r="U35" s="21"/>
      <c r="V35" s="9"/>
      <c r="W35" s="21"/>
      <c r="X35" s="9"/>
      <c r="Z35" s="22"/>
      <c r="AD35" s="22"/>
      <c r="AF35" s="24"/>
      <c r="AI35" s="21"/>
      <c r="AJ35" s="21"/>
      <c r="AK35" s="21"/>
      <c r="AL35" s="21"/>
      <c r="AM35" s="21"/>
      <c r="AN35" s="21"/>
      <c r="AO35" s="21"/>
      <c r="AP35" s="21"/>
      <c r="AQ35" s="22"/>
      <c r="AR35" s="21"/>
    </row>
    <row r="36" spans="1:44" x14ac:dyDescent="0.2">
      <c r="A36" s="21"/>
      <c r="B36" s="21"/>
      <c r="C36" s="21"/>
      <c r="D36" s="21"/>
      <c r="E36" s="21"/>
      <c r="G36" s="21"/>
      <c r="H36" s="21"/>
      <c r="I36" s="21"/>
      <c r="J36" s="21"/>
      <c r="M36" s="21"/>
      <c r="O36" s="21"/>
      <c r="Q36" s="21"/>
      <c r="T36" s="21"/>
      <c r="U36" s="21"/>
      <c r="V36" s="9"/>
      <c r="W36" s="21"/>
      <c r="X36" s="9"/>
      <c r="Z36" s="22"/>
      <c r="AD36" s="22"/>
      <c r="AF36" s="24"/>
      <c r="AI36" s="21"/>
      <c r="AJ36" s="21"/>
      <c r="AK36" s="21"/>
      <c r="AL36" s="21"/>
      <c r="AM36" s="21"/>
      <c r="AN36" s="21"/>
      <c r="AO36" s="21"/>
      <c r="AP36" s="21"/>
      <c r="AQ36" s="22"/>
      <c r="AR36" s="21"/>
    </row>
    <row r="37" spans="1:44" x14ac:dyDescent="0.2">
      <c r="A37" s="21"/>
      <c r="B37" s="21"/>
      <c r="C37" s="21"/>
      <c r="D37" s="21"/>
      <c r="E37" s="21"/>
      <c r="G37" s="21"/>
      <c r="H37" s="21"/>
      <c r="I37" s="21"/>
      <c r="J37" s="21"/>
      <c r="M37" s="21"/>
      <c r="O37" s="21"/>
      <c r="Q37" s="21"/>
      <c r="T37" s="21"/>
      <c r="U37" s="21"/>
      <c r="V37" s="9"/>
      <c r="W37" s="21"/>
      <c r="X37" s="9"/>
      <c r="Z37" s="22"/>
      <c r="AD37" s="22"/>
      <c r="AF37" s="24"/>
      <c r="AI37" s="21"/>
      <c r="AJ37" s="21"/>
      <c r="AK37" s="21"/>
      <c r="AL37" s="21"/>
      <c r="AM37" s="21"/>
      <c r="AN37" s="21"/>
      <c r="AO37" s="21"/>
      <c r="AP37" s="21"/>
      <c r="AQ37" s="22"/>
      <c r="AR37" s="21"/>
    </row>
    <row r="38" spans="1:44" x14ac:dyDescent="0.2">
      <c r="A38" s="21"/>
      <c r="B38" s="21"/>
      <c r="C38" s="21"/>
      <c r="D38" s="21"/>
      <c r="E38" s="21"/>
      <c r="G38" s="21"/>
      <c r="H38" s="21"/>
      <c r="I38" s="21"/>
      <c r="J38" s="21"/>
      <c r="M38" s="21"/>
      <c r="O38" s="21"/>
      <c r="Q38" s="21"/>
      <c r="T38" s="21"/>
      <c r="U38" s="21"/>
      <c r="V38" s="9"/>
      <c r="W38" s="21"/>
      <c r="X38" s="9"/>
      <c r="Z38" s="22"/>
      <c r="AD38" s="22"/>
      <c r="AF38" s="24"/>
      <c r="AI38" s="21"/>
      <c r="AJ38" s="21"/>
      <c r="AK38" s="21"/>
      <c r="AL38" s="21"/>
      <c r="AM38" s="21"/>
      <c r="AN38" s="21"/>
      <c r="AO38" s="21"/>
      <c r="AP38" s="21"/>
      <c r="AQ38" s="22"/>
      <c r="AR38" s="21"/>
    </row>
    <row r="39" spans="1:44" x14ac:dyDescent="0.2">
      <c r="A39" s="21"/>
      <c r="B39" s="21"/>
      <c r="C39" s="21"/>
      <c r="D39" s="21"/>
      <c r="E39" s="21"/>
      <c r="G39" s="21"/>
      <c r="H39" s="21"/>
      <c r="I39" s="21"/>
      <c r="J39" s="21"/>
      <c r="M39" s="21"/>
      <c r="O39" s="21"/>
      <c r="Q39" s="21"/>
      <c r="T39" s="21"/>
      <c r="U39" s="21"/>
      <c r="V39" s="9"/>
      <c r="W39" s="21"/>
      <c r="X39" s="9"/>
      <c r="Z39" s="22"/>
      <c r="AD39" s="22"/>
      <c r="AF39" s="24"/>
      <c r="AI39" s="21"/>
      <c r="AJ39" s="21"/>
      <c r="AK39" s="21"/>
      <c r="AL39" s="21"/>
      <c r="AM39" s="21"/>
      <c r="AN39" s="21"/>
      <c r="AO39" s="21"/>
      <c r="AP39" s="21"/>
      <c r="AQ39" s="22"/>
      <c r="AR39" s="21"/>
    </row>
    <row r="40" spans="1:44" x14ac:dyDescent="0.2">
      <c r="A40" s="21"/>
      <c r="B40" s="21"/>
      <c r="C40" s="21"/>
      <c r="D40" s="21"/>
      <c r="E40" s="21"/>
      <c r="G40" s="21"/>
      <c r="H40" s="21"/>
      <c r="I40" s="21"/>
      <c r="J40" s="21"/>
      <c r="M40" s="21"/>
      <c r="O40" s="21"/>
      <c r="Q40" s="21"/>
      <c r="T40" s="21"/>
      <c r="U40" s="21"/>
      <c r="V40" s="9"/>
      <c r="W40" s="21"/>
      <c r="X40" s="9"/>
      <c r="Z40" s="22"/>
      <c r="AD40" s="22"/>
      <c r="AF40" s="24"/>
      <c r="AI40" s="21"/>
      <c r="AJ40" s="21"/>
      <c r="AK40" s="21"/>
      <c r="AL40" s="21"/>
      <c r="AM40" s="21"/>
      <c r="AN40" s="21"/>
      <c r="AO40" s="21"/>
      <c r="AP40" s="21"/>
      <c r="AQ40" s="22"/>
      <c r="AR40" s="21"/>
    </row>
    <row r="41" spans="1:44" x14ac:dyDescent="0.2">
      <c r="A41" s="21"/>
      <c r="B41" s="21"/>
      <c r="C41" s="21"/>
      <c r="D41" s="21"/>
      <c r="E41" s="21"/>
      <c r="G41" s="21"/>
      <c r="H41" s="21"/>
      <c r="I41" s="21"/>
      <c r="J41" s="21"/>
      <c r="M41" s="21"/>
      <c r="O41" s="21"/>
      <c r="Q41" s="21"/>
      <c r="T41" s="21"/>
      <c r="U41" s="21"/>
      <c r="V41" s="9"/>
      <c r="W41" s="21"/>
      <c r="X41" s="9"/>
      <c r="Z41" s="22"/>
      <c r="AD41" s="22"/>
      <c r="AF41" s="24"/>
      <c r="AI41" s="21"/>
      <c r="AJ41" s="21"/>
      <c r="AK41" s="21"/>
      <c r="AL41" s="21"/>
      <c r="AM41" s="21"/>
      <c r="AN41" s="21"/>
      <c r="AO41" s="21"/>
      <c r="AP41" s="21"/>
      <c r="AQ41" s="22"/>
      <c r="AR41" s="21"/>
    </row>
    <row r="42" spans="1:44" x14ac:dyDescent="0.2">
      <c r="A42" s="21"/>
      <c r="B42" s="21"/>
      <c r="C42" s="21"/>
      <c r="D42" s="21"/>
      <c r="E42" s="21"/>
      <c r="G42" s="21"/>
      <c r="H42" s="21"/>
      <c r="I42" s="21"/>
      <c r="J42" s="21"/>
      <c r="M42" s="21"/>
      <c r="O42" s="21"/>
      <c r="Q42" s="21"/>
      <c r="T42" s="21"/>
      <c r="U42" s="21"/>
      <c r="V42" s="9"/>
      <c r="W42" s="21"/>
      <c r="X42" s="9"/>
      <c r="Z42" s="22"/>
      <c r="AD42" s="22"/>
      <c r="AF42" s="24"/>
      <c r="AI42" s="21"/>
      <c r="AJ42" s="21"/>
      <c r="AK42" s="21"/>
      <c r="AL42" s="21"/>
      <c r="AM42" s="21"/>
      <c r="AN42" s="21"/>
      <c r="AO42" s="21"/>
      <c r="AP42" s="21"/>
      <c r="AQ42" s="22"/>
      <c r="AR42" s="21"/>
    </row>
    <row r="43" spans="1:44" x14ac:dyDescent="0.2">
      <c r="A43" s="21"/>
      <c r="B43" s="21"/>
      <c r="C43" s="21"/>
      <c r="D43" s="21"/>
      <c r="E43" s="21"/>
      <c r="G43" s="21"/>
      <c r="H43" s="21"/>
      <c r="I43" s="21"/>
      <c r="J43" s="21"/>
      <c r="M43" s="21"/>
      <c r="O43" s="21"/>
      <c r="Q43" s="21"/>
      <c r="T43" s="21"/>
      <c r="U43" s="21"/>
      <c r="V43" s="9"/>
      <c r="W43" s="21"/>
      <c r="X43" s="9"/>
      <c r="Z43" s="22"/>
      <c r="AD43" s="22"/>
      <c r="AF43" s="24"/>
      <c r="AI43" s="21"/>
      <c r="AJ43" s="21"/>
      <c r="AK43" s="21"/>
      <c r="AL43" s="21"/>
      <c r="AM43" s="21"/>
      <c r="AN43" s="21"/>
      <c r="AO43" s="21"/>
      <c r="AP43" s="21"/>
      <c r="AQ43" s="22"/>
      <c r="AR43" s="21"/>
    </row>
    <row r="44" spans="1:44" x14ac:dyDescent="0.2">
      <c r="A44" s="21"/>
      <c r="B44" s="21"/>
      <c r="C44" s="21"/>
      <c r="D44" s="21"/>
      <c r="E44" s="21"/>
      <c r="G44" s="21"/>
      <c r="H44" s="21"/>
      <c r="I44" s="21"/>
      <c r="J44" s="21"/>
      <c r="M44" s="21"/>
      <c r="O44" s="21"/>
      <c r="Q44" s="21"/>
      <c r="T44" s="21"/>
      <c r="U44" s="21"/>
      <c r="V44" s="9"/>
      <c r="W44" s="21"/>
      <c r="X44" s="9"/>
      <c r="Z44" s="22"/>
      <c r="AD44" s="22"/>
      <c r="AF44" s="24"/>
      <c r="AI44" s="21"/>
      <c r="AJ44" s="21"/>
      <c r="AK44" s="21"/>
      <c r="AL44" s="21"/>
      <c r="AM44" s="21"/>
      <c r="AN44" s="21"/>
      <c r="AO44" s="21"/>
      <c r="AP44" s="21"/>
      <c r="AQ44" s="22"/>
      <c r="AR44" s="21"/>
    </row>
    <row r="45" spans="1:44" x14ac:dyDescent="0.2">
      <c r="A45" s="21"/>
      <c r="B45" s="21"/>
      <c r="C45" s="21"/>
      <c r="D45" s="21"/>
      <c r="E45" s="21"/>
      <c r="G45" s="21"/>
      <c r="H45" s="21"/>
      <c r="I45" s="21"/>
      <c r="J45" s="21"/>
      <c r="M45" s="21"/>
      <c r="O45" s="21"/>
      <c r="Q45" s="21"/>
      <c r="T45" s="21"/>
      <c r="U45" s="21"/>
      <c r="V45" s="9"/>
      <c r="W45" s="21"/>
      <c r="X45" s="9"/>
      <c r="Z45" s="22"/>
      <c r="AD45" s="22"/>
      <c r="AF45" s="24"/>
      <c r="AI45" s="21"/>
      <c r="AJ45" s="21"/>
      <c r="AK45" s="21"/>
      <c r="AL45" s="21"/>
      <c r="AM45" s="21"/>
      <c r="AN45" s="21"/>
      <c r="AO45" s="21"/>
      <c r="AP45" s="21"/>
      <c r="AQ45" s="22"/>
      <c r="AR45" s="21"/>
    </row>
    <row r="46" spans="1:44" x14ac:dyDescent="0.2">
      <c r="A46" s="21"/>
      <c r="B46" s="21"/>
      <c r="C46" s="21"/>
      <c r="D46" s="21"/>
      <c r="E46" s="21"/>
      <c r="G46" s="21"/>
      <c r="H46" s="21"/>
      <c r="I46" s="21"/>
      <c r="J46" s="21"/>
      <c r="M46" s="21"/>
      <c r="O46" s="21"/>
      <c r="Q46" s="21"/>
      <c r="T46" s="21"/>
      <c r="U46" s="21"/>
      <c r="V46" s="9"/>
      <c r="W46" s="21"/>
      <c r="X46" s="9"/>
      <c r="Z46" s="22"/>
      <c r="AD46" s="22"/>
      <c r="AF46" s="24"/>
      <c r="AI46" s="21"/>
      <c r="AJ46" s="21"/>
      <c r="AK46" s="21"/>
      <c r="AL46" s="21"/>
      <c r="AM46" s="21"/>
      <c r="AN46" s="21"/>
      <c r="AO46" s="21"/>
      <c r="AP46" s="21"/>
      <c r="AQ46" s="22"/>
      <c r="AR46" s="21"/>
    </row>
    <row r="47" spans="1:44" x14ac:dyDescent="0.2">
      <c r="A47" s="21"/>
      <c r="B47" s="21"/>
      <c r="C47" s="21"/>
      <c r="D47" s="21"/>
      <c r="E47" s="21"/>
      <c r="G47" s="21"/>
      <c r="H47" s="21"/>
      <c r="I47" s="21"/>
      <c r="J47" s="21"/>
      <c r="M47" s="21"/>
      <c r="O47" s="21"/>
      <c r="Q47" s="21"/>
      <c r="T47" s="21"/>
      <c r="U47" s="21"/>
      <c r="V47" s="9"/>
      <c r="W47" s="21"/>
      <c r="X47" s="9"/>
      <c r="Z47" s="22"/>
      <c r="AD47" s="22"/>
      <c r="AF47" s="24"/>
      <c r="AI47" s="21"/>
      <c r="AJ47" s="21"/>
      <c r="AK47" s="21"/>
      <c r="AL47" s="21"/>
      <c r="AM47" s="21"/>
      <c r="AN47" s="21"/>
      <c r="AO47" s="21"/>
      <c r="AP47" s="21"/>
      <c r="AQ47" s="22"/>
      <c r="AR47" s="21"/>
    </row>
    <row r="48" spans="1:44" x14ac:dyDescent="0.2">
      <c r="A48" s="21"/>
      <c r="B48" s="21"/>
      <c r="C48" s="21"/>
      <c r="D48" s="21"/>
      <c r="E48" s="21"/>
      <c r="G48" s="21"/>
      <c r="H48" s="21"/>
      <c r="I48" s="21"/>
      <c r="J48" s="21"/>
      <c r="M48" s="21"/>
      <c r="O48" s="21"/>
      <c r="Q48" s="21"/>
      <c r="T48" s="21"/>
      <c r="U48" s="21"/>
      <c r="V48" s="9"/>
      <c r="W48" s="21"/>
      <c r="X48" s="9"/>
      <c r="Z48" s="22"/>
      <c r="AD48" s="22"/>
      <c r="AF48" s="24"/>
      <c r="AI48" s="21"/>
      <c r="AJ48" s="21"/>
      <c r="AK48" s="21"/>
      <c r="AL48" s="21"/>
      <c r="AM48" s="21"/>
      <c r="AN48" s="21"/>
      <c r="AO48" s="21"/>
      <c r="AP48" s="21"/>
      <c r="AQ48" s="22"/>
      <c r="AR48" s="21"/>
    </row>
    <row r="49" spans="1:44" x14ac:dyDescent="0.2">
      <c r="A49" s="21"/>
      <c r="B49" s="21"/>
      <c r="C49" s="21"/>
      <c r="D49" s="21"/>
      <c r="E49" s="21"/>
      <c r="G49" s="21"/>
      <c r="H49" s="21"/>
      <c r="I49" s="21"/>
      <c r="J49" s="21"/>
      <c r="M49" s="21"/>
      <c r="O49" s="21"/>
      <c r="Q49" s="21"/>
      <c r="T49" s="21"/>
      <c r="U49" s="21"/>
      <c r="V49" s="9"/>
      <c r="W49" s="21"/>
      <c r="X49" s="9"/>
      <c r="Z49" s="22"/>
      <c r="AD49" s="22"/>
      <c r="AF49" s="24"/>
      <c r="AI49" s="21"/>
      <c r="AJ49" s="21"/>
      <c r="AK49" s="21"/>
      <c r="AL49" s="21"/>
      <c r="AM49" s="21"/>
      <c r="AN49" s="21"/>
      <c r="AO49" s="21"/>
      <c r="AP49" s="21"/>
      <c r="AQ49" s="22"/>
      <c r="AR49" s="21"/>
    </row>
    <row r="50" spans="1:44" x14ac:dyDescent="0.2">
      <c r="A50" s="21"/>
      <c r="B50" s="21"/>
      <c r="C50" s="21"/>
      <c r="D50" s="21"/>
      <c r="E50" s="21"/>
      <c r="G50" s="21"/>
      <c r="H50" s="21"/>
      <c r="I50" s="21"/>
      <c r="J50" s="21"/>
      <c r="M50" s="21"/>
      <c r="O50" s="21"/>
      <c r="Q50" s="21"/>
      <c r="T50" s="21"/>
      <c r="U50" s="21"/>
      <c r="V50" s="9"/>
      <c r="W50" s="21"/>
      <c r="X50" s="9"/>
      <c r="Z50" s="22"/>
      <c r="AD50" s="22"/>
      <c r="AF50" s="24"/>
      <c r="AI50" s="21"/>
      <c r="AJ50" s="21"/>
      <c r="AK50" s="21"/>
      <c r="AL50" s="21"/>
      <c r="AN50" s="21"/>
      <c r="AO50" s="21"/>
      <c r="AP50" s="21"/>
      <c r="AQ50" s="22"/>
      <c r="AR50" s="21"/>
    </row>
    <row r="51" spans="1:44" x14ac:dyDescent="0.2">
      <c r="A51" s="21"/>
      <c r="B51" s="21"/>
      <c r="C51" s="21"/>
      <c r="D51" s="21"/>
      <c r="E51" s="21"/>
      <c r="G51" s="21"/>
      <c r="H51" s="21"/>
      <c r="I51" s="21"/>
      <c r="J51" s="21"/>
      <c r="M51" s="21"/>
      <c r="O51" s="21"/>
      <c r="Q51" s="21"/>
      <c r="T51" s="21"/>
      <c r="U51" s="21"/>
      <c r="V51" s="9"/>
      <c r="W51" s="21"/>
      <c r="X51" s="9"/>
      <c r="Z51" s="22"/>
      <c r="AD51" s="22"/>
      <c r="AF51" s="24"/>
      <c r="AI51" s="21"/>
      <c r="AJ51" s="21"/>
      <c r="AK51" s="21"/>
      <c r="AL51" s="21"/>
      <c r="AN51" s="21"/>
      <c r="AO51" s="21"/>
      <c r="AP51" s="21"/>
      <c r="AQ51" s="22"/>
      <c r="AR51" s="21"/>
    </row>
    <row r="52" spans="1:44" x14ac:dyDescent="0.2">
      <c r="A52" s="21"/>
      <c r="B52" s="21"/>
      <c r="C52" s="21"/>
      <c r="D52" s="21"/>
      <c r="E52" s="21"/>
      <c r="G52" s="21"/>
      <c r="H52" s="21"/>
      <c r="I52" s="21"/>
      <c r="J52" s="21"/>
      <c r="M52" s="21"/>
      <c r="O52" s="21"/>
      <c r="Q52" s="21"/>
      <c r="T52" s="21"/>
      <c r="U52" s="21"/>
      <c r="V52" s="9"/>
      <c r="W52" s="21"/>
      <c r="X52" s="9"/>
      <c r="Z52" s="22"/>
      <c r="AD52" s="22"/>
      <c r="AF52" s="24"/>
      <c r="AI52" s="21"/>
      <c r="AJ52" s="21"/>
      <c r="AK52" s="21"/>
      <c r="AL52" s="21"/>
      <c r="AN52" s="21"/>
      <c r="AO52" s="21"/>
      <c r="AP52" s="21"/>
      <c r="AQ52" s="22"/>
      <c r="AR52" s="21"/>
    </row>
    <row r="53" spans="1:44" x14ac:dyDescent="0.2">
      <c r="A53" s="21"/>
      <c r="B53" s="21"/>
      <c r="C53" s="21"/>
      <c r="D53" s="21"/>
      <c r="E53" s="21"/>
      <c r="G53" s="21"/>
      <c r="H53" s="21"/>
      <c r="I53" s="21"/>
      <c r="J53" s="21"/>
      <c r="M53" s="21"/>
      <c r="O53" s="21"/>
      <c r="Q53" s="21"/>
      <c r="T53" s="21"/>
      <c r="U53" s="21"/>
      <c r="V53" s="9"/>
      <c r="W53" s="21"/>
      <c r="X53" s="9"/>
      <c r="Z53" s="22"/>
      <c r="AD53" s="22"/>
      <c r="AF53" s="24"/>
      <c r="AI53" s="21"/>
      <c r="AJ53" s="21"/>
      <c r="AK53" s="21"/>
      <c r="AL53" s="21"/>
      <c r="AN53" s="21"/>
      <c r="AO53" s="21"/>
      <c r="AP53" s="21"/>
      <c r="AQ53" s="22"/>
      <c r="AR53" s="21"/>
    </row>
    <row r="54" spans="1:44" x14ac:dyDescent="0.2">
      <c r="A54" s="21"/>
      <c r="B54" s="21"/>
      <c r="C54" s="21"/>
      <c r="D54" s="21"/>
      <c r="E54" s="21"/>
      <c r="G54" s="21"/>
      <c r="H54" s="21"/>
      <c r="I54" s="21"/>
      <c r="J54" s="21"/>
      <c r="M54" s="21"/>
      <c r="O54" s="21"/>
      <c r="Q54" s="21"/>
      <c r="T54" s="21"/>
      <c r="U54" s="21"/>
      <c r="V54" s="9"/>
      <c r="W54" s="21"/>
      <c r="X54" s="9"/>
      <c r="Z54" s="22"/>
      <c r="AD54" s="22"/>
      <c r="AF54" s="24"/>
      <c r="AI54" s="21"/>
      <c r="AJ54" s="21"/>
      <c r="AK54" s="21"/>
      <c r="AL54" s="21"/>
      <c r="AN54" s="21"/>
      <c r="AO54" s="21"/>
      <c r="AP54" s="21"/>
      <c r="AQ54" s="22"/>
      <c r="AR54" s="21"/>
    </row>
    <row r="55" spans="1:44" x14ac:dyDescent="0.2">
      <c r="A55" s="21"/>
      <c r="B55" s="21"/>
      <c r="C55" s="21"/>
      <c r="D55" s="21"/>
      <c r="E55" s="21"/>
      <c r="G55" s="21"/>
      <c r="H55" s="21"/>
      <c r="I55" s="21"/>
      <c r="J55" s="21"/>
      <c r="M55" s="21"/>
      <c r="O55" s="21"/>
      <c r="Q55" s="21"/>
      <c r="T55" s="21"/>
      <c r="U55" s="21"/>
      <c r="V55" s="9"/>
      <c r="W55" s="21"/>
      <c r="X55" s="9"/>
      <c r="Z55" s="22"/>
      <c r="AD55" s="22"/>
      <c r="AF55" s="24"/>
      <c r="AI55" s="21"/>
      <c r="AJ55" s="21"/>
      <c r="AK55" s="21"/>
      <c r="AL55" s="21"/>
      <c r="AN55" s="21"/>
      <c r="AO55" s="21"/>
      <c r="AP55" s="21"/>
      <c r="AQ55" s="22"/>
      <c r="AR55" s="21"/>
    </row>
    <row r="56" spans="1:44" x14ac:dyDescent="0.2">
      <c r="A56" s="21"/>
      <c r="B56" s="21"/>
      <c r="C56" s="21"/>
      <c r="D56" s="21"/>
      <c r="E56" s="21"/>
      <c r="G56" s="21"/>
      <c r="H56" s="21"/>
      <c r="I56" s="21"/>
      <c r="J56" s="21"/>
      <c r="M56" s="21"/>
      <c r="O56" s="21"/>
      <c r="Q56" s="21"/>
      <c r="T56" s="21"/>
      <c r="U56" s="21"/>
      <c r="V56" s="9"/>
      <c r="W56" s="21"/>
      <c r="X56" s="9"/>
      <c r="Z56" s="22"/>
      <c r="AD56" s="22"/>
      <c r="AF56" s="24"/>
      <c r="AI56" s="21"/>
      <c r="AJ56" s="21"/>
      <c r="AK56" s="21"/>
      <c r="AL56" s="21"/>
      <c r="AM56" s="21"/>
      <c r="AN56" s="21"/>
      <c r="AO56" s="21"/>
      <c r="AP56" s="21"/>
      <c r="AQ56" s="22"/>
      <c r="AR56" s="21"/>
    </row>
    <row r="57" spans="1:44" x14ac:dyDescent="0.2">
      <c r="A57" s="21"/>
      <c r="B57" s="21"/>
      <c r="C57" s="21"/>
      <c r="D57" s="21"/>
      <c r="E57" s="21"/>
      <c r="G57" s="21"/>
      <c r="H57" s="21"/>
      <c r="I57" s="21"/>
      <c r="J57" s="21"/>
      <c r="M57" s="21"/>
      <c r="O57" s="21"/>
      <c r="Q57" s="21"/>
      <c r="T57" s="21"/>
      <c r="U57" s="21"/>
      <c r="V57" s="9"/>
      <c r="W57" s="21"/>
      <c r="X57" s="9"/>
      <c r="Z57" s="22"/>
      <c r="AD57" s="22"/>
      <c r="AF57" s="24"/>
      <c r="AI57" s="21"/>
      <c r="AJ57" s="21"/>
      <c r="AK57" s="21"/>
      <c r="AL57" s="21"/>
      <c r="AM57" s="21"/>
      <c r="AN57" s="21"/>
      <c r="AO57" s="21"/>
      <c r="AP57" s="21"/>
      <c r="AQ57" s="22"/>
      <c r="AR57" s="21"/>
    </row>
    <row r="58" spans="1:44" x14ac:dyDescent="0.2">
      <c r="A58" s="21"/>
      <c r="B58" s="21"/>
      <c r="C58" s="21"/>
      <c r="D58" s="21"/>
      <c r="E58" s="21"/>
      <c r="G58" s="21"/>
      <c r="H58" s="21"/>
      <c r="I58" s="21"/>
      <c r="J58" s="21"/>
      <c r="M58" s="21"/>
      <c r="O58" s="21"/>
      <c r="Q58" s="21"/>
      <c r="T58" s="21"/>
      <c r="U58" s="21"/>
      <c r="V58" s="9"/>
      <c r="W58" s="21"/>
      <c r="X58" s="9"/>
      <c r="Z58" s="22"/>
      <c r="AD58" s="22"/>
      <c r="AF58" s="24"/>
      <c r="AI58" s="21"/>
      <c r="AJ58" s="21"/>
      <c r="AK58" s="21"/>
      <c r="AL58" s="21"/>
      <c r="AM58" s="21"/>
      <c r="AN58" s="21"/>
      <c r="AO58" s="21"/>
      <c r="AP58" s="21"/>
      <c r="AQ58" s="22"/>
      <c r="AR58" s="21"/>
    </row>
    <row r="59" spans="1:44" x14ac:dyDescent="0.2">
      <c r="A59" s="21"/>
      <c r="B59" s="21"/>
      <c r="C59" s="21"/>
      <c r="D59" s="21"/>
      <c r="E59" s="21"/>
      <c r="G59" s="21"/>
      <c r="H59" s="21"/>
      <c r="I59" s="21"/>
      <c r="J59" s="21"/>
      <c r="M59" s="21"/>
      <c r="O59" s="21"/>
      <c r="Q59" s="21"/>
      <c r="T59" s="21"/>
      <c r="U59" s="21"/>
      <c r="V59" s="9"/>
      <c r="W59" s="21"/>
      <c r="X59" s="9"/>
      <c r="Z59" s="22"/>
      <c r="AD59" s="22"/>
      <c r="AF59" s="24"/>
      <c r="AI59" s="21"/>
      <c r="AJ59" s="21"/>
      <c r="AK59" s="21"/>
      <c r="AL59" s="21"/>
      <c r="AM59" s="21"/>
      <c r="AN59" s="21"/>
      <c r="AO59" s="21"/>
      <c r="AP59" s="21"/>
      <c r="AQ59" s="22"/>
      <c r="AR59" s="21"/>
    </row>
    <row r="60" spans="1:44" x14ac:dyDescent="0.2">
      <c r="A60" s="21"/>
      <c r="B60" s="21"/>
      <c r="C60" s="21"/>
      <c r="D60" s="21"/>
      <c r="E60" s="21"/>
      <c r="G60" s="21"/>
      <c r="H60" s="21"/>
      <c r="I60" s="21"/>
      <c r="J60" s="21"/>
      <c r="M60" s="21"/>
      <c r="O60" s="21"/>
      <c r="Q60" s="21"/>
      <c r="T60" s="21"/>
      <c r="U60" s="21"/>
      <c r="V60" s="9"/>
      <c r="W60" s="21"/>
      <c r="X60" s="9"/>
      <c r="Z60" s="22"/>
      <c r="AD60" s="22"/>
      <c r="AF60" s="24"/>
      <c r="AI60" s="21"/>
      <c r="AJ60" s="21"/>
      <c r="AK60" s="21"/>
      <c r="AL60" s="21"/>
      <c r="AM60" s="21"/>
      <c r="AN60" s="21"/>
      <c r="AO60" s="21"/>
      <c r="AP60" s="21"/>
      <c r="AQ60" s="22"/>
      <c r="AR60" s="21"/>
    </row>
    <row r="61" spans="1:44" x14ac:dyDescent="0.2">
      <c r="A61" s="21"/>
      <c r="B61" s="21"/>
      <c r="C61" s="21"/>
      <c r="D61" s="21"/>
      <c r="E61" s="21"/>
      <c r="G61" s="21"/>
      <c r="H61" s="21"/>
      <c r="I61" s="21"/>
      <c r="J61" s="21"/>
      <c r="M61" s="21"/>
      <c r="O61" s="21"/>
      <c r="Q61" s="21"/>
      <c r="T61" s="21"/>
      <c r="U61" s="21"/>
      <c r="V61" s="9"/>
      <c r="W61" s="21"/>
      <c r="X61" s="9"/>
      <c r="Z61" s="22"/>
      <c r="AD61" s="22"/>
      <c r="AF61" s="24"/>
      <c r="AI61" s="21"/>
      <c r="AJ61" s="21"/>
      <c r="AK61" s="21"/>
      <c r="AL61" s="21"/>
      <c r="AM61" s="21"/>
      <c r="AN61" s="21"/>
      <c r="AO61" s="21"/>
      <c r="AP61" s="21"/>
      <c r="AQ61" s="22"/>
      <c r="AR61" s="21"/>
    </row>
    <row r="62" spans="1:44" x14ac:dyDescent="0.2">
      <c r="A62" s="21"/>
      <c r="B62" s="21"/>
      <c r="C62" s="21"/>
      <c r="D62" s="21"/>
      <c r="E62" s="21"/>
      <c r="G62" s="21"/>
      <c r="H62" s="21"/>
      <c r="I62" s="21"/>
      <c r="J62" s="21"/>
      <c r="M62" s="21"/>
      <c r="O62" s="21"/>
      <c r="Q62" s="21"/>
      <c r="T62" s="21"/>
      <c r="U62" s="21"/>
      <c r="V62" s="9"/>
      <c r="W62" s="21"/>
      <c r="X62" s="9"/>
      <c r="Z62" s="22"/>
      <c r="AD62" s="22"/>
      <c r="AF62" s="24"/>
      <c r="AI62" s="21"/>
      <c r="AJ62" s="21"/>
      <c r="AK62" s="21"/>
      <c r="AL62" s="21"/>
      <c r="AM62" s="21"/>
      <c r="AN62" s="21"/>
      <c r="AO62" s="21"/>
      <c r="AP62" s="21"/>
      <c r="AQ62" s="22"/>
      <c r="AR62" s="21"/>
    </row>
    <row r="63" spans="1:44" x14ac:dyDescent="0.2">
      <c r="A63" s="21"/>
      <c r="B63" s="21"/>
      <c r="C63" s="21"/>
      <c r="D63" s="21"/>
      <c r="E63" s="21"/>
      <c r="G63" s="21"/>
      <c r="H63" s="21"/>
      <c r="I63" s="21"/>
      <c r="J63" s="21"/>
      <c r="M63" s="21"/>
      <c r="O63" s="21"/>
      <c r="Q63" s="21"/>
      <c r="T63" s="21"/>
      <c r="U63" s="21"/>
      <c r="V63" s="9"/>
      <c r="W63" s="21"/>
      <c r="X63" s="9"/>
      <c r="Z63" s="22"/>
      <c r="AD63" s="22"/>
      <c r="AF63" s="24"/>
      <c r="AI63" s="21"/>
      <c r="AJ63" s="21"/>
      <c r="AK63" s="21"/>
      <c r="AL63" s="21"/>
      <c r="AM63" s="21"/>
      <c r="AN63" s="21"/>
      <c r="AO63" s="21"/>
      <c r="AP63" s="21"/>
      <c r="AQ63" s="22"/>
      <c r="AR63" s="21"/>
    </row>
    <row r="64" spans="1:44" x14ac:dyDescent="0.2">
      <c r="A64" s="21"/>
      <c r="B64" s="21"/>
      <c r="C64" s="21"/>
      <c r="D64" s="21"/>
      <c r="E64" s="21"/>
      <c r="G64" s="21"/>
      <c r="H64" s="21"/>
      <c r="I64" s="21"/>
      <c r="J64" s="21"/>
      <c r="M64" s="21"/>
      <c r="O64" s="21"/>
      <c r="Q64" s="21"/>
      <c r="T64" s="21"/>
      <c r="U64" s="21"/>
      <c r="V64" s="9"/>
      <c r="W64" s="21"/>
      <c r="X64" s="9"/>
      <c r="Z64" s="22"/>
      <c r="AD64" s="22"/>
      <c r="AF64" s="24"/>
      <c r="AI64" s="21"/>
      <c r="AJ64" s="21"/>
      <c r="AK64" s="21"/>
      <c r="AL64" s="21"/>
      <c r="AM64" s="21"/>
      <c r="AN64" s="21"/>
      <c r="AO64" s="21"/>
      <c r="AP64" s="21"/>
      <c r="AQ64" s="22"/>
      <c r="AR64" s="21"/>
    </row>
    <row r="65" spans="1:44" x14ac:dyDescent="0.2">
      <c r="A65" s="21"/>
      <c r="B65" s="21"/>
      <c r="C65" s="21"/>
      <c r="D65" s="21"/>
      <c r="E65" s="21"/>
      <c r="G65" s="21"/>
      <c r="H65" s="21"/>
      <c r="I65" s="21"/>
      <c r="J65" s="21"/>
      <c r="M65" s="21"/>
      <c r="O65" s="21"/>
      <c r="Q65" s="21"/>
      <c r="T65" s="21"/>
      <c r="U65" s="21"/>
      <c r="V65" s="9"/>
      <c r="W65" s="21"/>
      <c r="X65" s="9"/>
      <c r="Z65" s="22"/>
      <c r="AD65" s="22"/>
      <c r="AF65" s="24"/>
      <c r="AI65" s="21"/>
      <c r="AJ65" s="21"/>
      <c r="AK65" s="21"/>
      <c r="AL65" s="21"/>
      <c r="AM65" s="21"/>
      <c r="AN65" s="21"/>
      <c r="AO65" s="21"/>
      <c r="AP65" s="21"/>
      <c r="AQ65" s="22"/>
      <c r="AR65" s="21"/>
    </row>
    <row r="66" spans="1:44" x14ac:dyDescent="0.2">
      <c r="A66" s="21"/>
      <c r="B66" s="21"/>
      <c r="C66" s="21"/>
      <c r="D66" s="21"/>
      <c r="E66" s="21"/>
      <c r="G66" s="21"/>
      <c r="H66" s="21"/>
      <c r="I66" s="21"/>
      <c r="J66" s="21"/>
      <c r="M66" s="21"/>
      <c r="O66" s="21"/>
      <c r="Q66" s="21"/>
      <c r="T66" s="21"/>
      <c r="U66" s="21"/>
      <c r="V66" s="9"/>
      <c r="W66" s="21"/>
      <c r="X66" s="9"/>
      <c r="Z66" s="22"/>
      <c r="AD66" s="22"/>
      <c r="AF66" s="24"/>
      <c r="AI66" s="21"/>
      <c r="AJ66" s="21"/>
      <c r="AK66" s="21"/>
      <c r="AL66" s="21"/>
      <c r="AM66" s="21"/>
      <c r="AN66" s="21"/>
      <c r="AO66" s="21"/>
      <c r="AP66" s="21"/>
      <c r="AQ66" s="22"/>
      <c r="AR66" s="21"/>
    </row>
    <row r="67" spans="1:44" x14ac:dyDescent="0.2">
      <c r="A67" s="21"/>
      <c r="B67" s="21"/>
      <c r="C67" s="21"/>
      <c r="D67" s="21"/>
      <c r="E67" s="21"/>
      <c r="G67" s="21"/>
      <c r="H67" s="21"/>
      <c r="I67" s="21"/>
      <c r="J67" s="21"/>
      <c r="M67" s="21"/>
      <c r="O67" s="21"/>
      <c r="Q67" s="21"/>
      <c r="T67" s="21"/>
      <c r="U67" s="21"/>
      <c r="V67" s="9"/>
      <c r="W67" s="21"/>
      <c r="X67" s="9"/>
      <c r="Z67" s="22"/>
      <c r="AD67" s="22"/>
      <c r="AF67" s="24"/>
      <c r="AI67" s="21"/>
      <c r="AJ67" s="21"/>
      <c r="AK67" s="21"/>
      <c r="AL67" s="21"/>
      <c r="AM67" s="21"/>
      <c r="AN67" s="21"/>
      <c r="AO67" s="21"/>
      <c r="AP67" s="21"/>
      <c r="AQ67" s="22"/>
      <c r="AR67" s="21"/>
    </row>
    <row r="68" spans="1:44" x14ac:dyDescent="0.2">
      <c r="A68" s="21"/>
      <c r="B68" s="21"/>
      <c r="C68" s="21"/>
      <c r="D68" s="21"/>
      <c r="E68" s="21"/>
      <c r="G68" s="21"/>
      <c r="H68" s="21"/>
      <c r="I68" s="21"/>
      <c r="J68" s="21"/>
      <c r="M68" s="21"/>
      <c r="O68" s="21"/>
      <c r="Q68" s="21"/>
      <c r="T68" s="21"/>
      <c r="U68" s="21"/>
      <c r="V68" s="9"/>
      <c r="W68" s="21"/>
      <c r="X68" s="9"/>
      <c r="Z68" s="22"/>
      <c r="AD68" s="22"/>
      <c r="AF68" s="24"/>
      <c r="AI68" s="21"/>
      <c r="AJ68" s="21"/>
      <c r="AK68" s="21"/>
      <c r="AL68" s="21"/>
      <c r="AM68" s="21"/>
      <c r="AN68" s="21"/>
      <c r="AO68" s="21"/>
      <c r="AP68" s="21"/>
      <c r="AQ68" s="22"/>
      <c r="AR68" s="21"/>
    </row>
    <row r="69" spans="1:44" x14ac:dyDescent="0.2">
      <c r="A69" s="21"/>
      <c r="B69" s="21"/>
      <c r="C69" s="21"/>
      <c r="D69" s="21"/>
      <c r="E69" s="21"/>
      <c r="G69" s="21"/>
      <c r="H69" s="21"/>
      <c r="I69" s="21"/>
      <c r="J69" s="21"/>
      <c r="M69" s="21"/>
      <c r="O69" s="21"/>
      <c r="Q69" s="21"/>
      <c r="T69" s="21"/>
      <c r="U69" s="21"/>
      <c r="V69" s="9"/>
      <c r="W69" s="21"/>
      <c r="X69" s="9"/>
      <c r="Z69" s="22"/>
      <c r="AD69" s="22"/>
      <c r="AF69" s="24"/>
      <c r="AI69" s="21"/>
      <c r="AJ69" s="21"/>
      <c r="AK69" s="21"/>
      <c r="AL69" s="21"/>
      <c r="AM69" s="21"/>
      <c r="AN69" s="21"/>
      <c r="AO69" s="21"/>
      <c r="AP69" s="21"/>
      <c r="AQ69" s="22"/>
      <c r="AR69" s="21"/>
    </row>
    <row r="70" spans="1:44" x14ac:dyDescent="0.2">
      <c r="A70" s="21"/>
      <c r="B70" s="21"/>
      <c r="C70" s="21"/>
      <c r="D70" s="21"/>
      <c r="E70" s="21"/>
      <c r="G70" s="21"/>
      <c r="H70" s="21"/>
      <c r="I70" s="21"/>
      <c r="J70" s="21"/>
      <c r="M70" s="21"/>
      <c r="O70" s="21"/>
      <c r="Q70" s="21"/>
      <c r="T70" s="21"/>
      <c r="U70" s="21"/>
      <c r="V70" s="9"/>
      <c r="W70" s="21"/>
      <c r="X70" s="9"/>
      <c r="Z70" s="22"/>
      <c r="AD70" s="22"/>
      <c r="AF70" s="24"/>
      <c r="AI70" s="21"/>
      <c r="AJ70" s="21"/>
      <c r="AK70" s="21"/>
      <c r="AL70" s="21"/>
      <c r="AM70" s="21"/>
      <c r="AN70" s="21"/>
      <c r="AO70" s="21"/>
      <c r="AP70" s="21"/>
      <c r="AQ70" s="22"/>
      <c r="AR70" s="21"/>
    </row>
    <row r="71" spans="1:44" x14ac:dyDescent="0.2">
      <c r="A71" s="21"/>
      <c r="B71" s="21"/>
      <c r="C71" s="21"/>
      <c r="D71" s="21"/>
      <c r="E71" s="21"/>
      <c r="G71" s="21"/>
      <c r="H71" s="21"/>
      <c r="I71" s="21"/>
      <c r="J71" s="21"/>
      <c r="M71" s="21"/>
      <c r="O71" s="21"/>
      <c r="Q71" s="21"/>
      <c r="T71" s="21"/>
      <c r="U71" s="21"/>
      <c r="V71" s="9"/>
      <c r="W71" s="21"/>
      <c r="X71" s="9"/>
      <c r="Z71" s="22"/>
      <c r="AD71" s="22"/>
      <c r="AF71" s="24"/>
      <c r="AI71" s="21"/>
      <c r="AJ71" s="21"/>
      <c r="AK71" s="21"/>
      <c r="AL71" s="21"/>
      <c r="AM71" s="21"/>
      <c r="AN71" s="21"/>
      <c r="AO71" s="21"/>
      <c r="AP71" s="21"/>
      <c r="AQ71" s="22"/>
      <c r="AR71" s="21"/>
    </row>
    <row r="72" spans="1:44" x14ac:dyDescent="0.2">
      <c r="A72" s="21"/>
      <c r="B72" s="21"/>
      <c r="C72" s="21"/>
      <c r="D72" s="21"/>
      <c r="E72" s="21"/>
      <c r="G72" s="21"/>
      <c r="H72" s="21"/>
      <c r="I72" s="21"/>
      <c r="J72" s="21"/>
      <c r="M72" s="21"/>
      <c r="O72" s="21"/>
      <c r="Q72" s="21"/>
      <c r="T72" s="21"/>
      <c r="U72" s="21"/>
      <c r="V72" s="9"/>
      <c r="W72" s="21"/>
      <c r="X72" s="9"/>
      <c r="Z72" s="22"/>
      <c r="AD72" s="22"/>
      <c r="AF72" s="24"/>
      <c r="AI72" s="21"/>
      <c r="AJ72" s="21"/>
      <c r="AK72" s="21"/>
      <c r="AL72" s="21"/>
      <c r="AM72" s="21"/>
      <c r="AN72" s="21"/>
      <c r="AO72" s="21"/>
      <c r="AP72" s="21"/>
      <c r="AQ72" s="22"/>
      <c r="AR72" s="21"/>
    </row>
    <row r="73" spans="1:44" x14ac:dyDescent="0.2">
      <c r="A73" s="21"/>
      <c r="B73" s="21"/>
      <c r="C73" s="21"/>
      <c r="D73" s="21"/>
      <c r="E73" s="21"/>
      <c r="G73" s="21"/>
      <c r="H73" s="21"/>
      <c r="I73" s="21"/>
      <c r="J73" s="21"/>
      <c r="M73" s="21"/>
      <c r="O73" s="21"/>
      <c r="Q73" s="21"/>
      <c r="T73" s="21"/>
      <c r="U73" s="21"/>
      <c r="V73" s="9"/>
      <c r="W73" s="21"/>
      <c r="X73" s="9"/>
      <c r="Z73" s="22"/>
      <c r="AD73" s="22"/>
      <c r="AF73" s="24"/>
      <c r="AI73" s="21"/>
      <c r="AJ73" s="21"/>
      <c r="AK73" s="21"/>
      <c r="AL73" s="21"/>
      <c r="AM73" s="21"/>
      <c r="AN73" s="21"/>
      <c r="AO73" s="21"/>
      <c r="AP73" s="21"/>
      <c r="AQ73" s="22"/>
      <c r="AR73" s="21"/>
    </row>
    <row r="74" spans="1:44" x14ac:dyDescent="0.2">
      <c r="A74" s="21"/>
      <c r="B74" s="21"/>
      <c r="C74" s="21"/>
      <c r="D74" s="21"/>
      <c r="E74" s="21"/>
      <c r="G74" s="21"/>
      <c r="H74" s="21"/>
      <c r="I74" s="21"/>
      <c r="J74" s="21"/>
      <c r="M74" s="21"/>
      <c r="O74" s="21"/>
      <c r="Q74" s="21"/>
      <c r="T74" s="21"/>
      <c r="U74" s="21"/>
      <c r="V74" s="9"/>
      <c r="W74" s="21"/>
      <c r="X74" s="9"/>
      <c r="Z74" s="22"/>
      <c r="AD74" s="22"/>
      <c r="AF74" s="24"/>
      <c r="AI74" s="21"/>
      <c r="AJ74" s="21"/>
      <c r="AK74" s="21"/>
      <c r="AL74" s="21"/>
      <c r="AM74" s="21"/>
      <c r="AN74" s="21"/>
      <c r="AO74" s="21"/>
      <c r="AP74" s="21"/>
      <c r="AQ74" s="22"/>
      <c r="AR74" s="21"/>
    </row>
    <row r="75" spans="1:44" x14ac:dyDescent="0.2">
      <c r="A75" s="21"/>
      <c r="B75" s="21"/>
      <c r="C75" s="21"/>
      <c r="D75" s="21"/>
      <c r="E75" s="21"/>
      <c r="G75" s="21"/>
      <c r="H75" s="21"/>
      <c r="I75" s="21"/>
      <c r="J75" s="21"/>
      <c r="M75" s="21"/>
      <c r="O75" s="21"/>
      <c r="Q75" s="21"/>
      <c r="T75" s="21"/>
      <c r="U75" s="21"/>
      <c r="V75" s="9"/>
      <c r="W75" s="21"/>
      <c r="X75" s="9"/>
      <c r="Z75" s="22"/>
      <c r="AD75" s="22"/>
      <c r="AF75" s="24"/>
      <c r="AI75" s="21"/>
      <c r="AJ75" s="21"/>
      <c r="AK75" s="21"/>
      <c r="AL75" s="21"/>
      <c r="AM75" s="21"/>
      <c r="AN75" s="21"/>
      <c r="AO75" s="21"/>
      <c r="AP75" s="21"/>
      <c r="AQ75" s="22"/>
      <c r="AR75" s="21"/>
    </row>
    <row r="76" spans="1:44" x14ac:dyDescent="0.2">
      <c r="A76" s="21"/>
      <c r="B76" s="21"/>
      <c r="C76" s="21"/>
      <c r="D76" s="21"/>
      <c r="E76" s="21"/>
      <c r="G76" s="21"/>
      <c r="H76" s="21"/>
      <c r="I76" s="21"/>
      <c r="J76" s="21"/>
      <c r="M76" s="21"/>
      <c r="O76" s="21"/>
      <c r="Q76" s="21"/>
      <c r="T76" s="21"/>
      <c r="U76" s="21"/>
      <c r="V76" s="9"/>
      <c r="W76" s="21"/>
      <c r="X76" s="9"/>
      <c r="Z76" s="22"/>
      <c r="AD76" s="22"/>
      <c r="AF76" s="24"/>
      <c r="AI76" s="21"/>
      <c r="AJ76" s="21"/>
      <c r="AK76" s="21"/>
      <c r="AL76" s="21"/>
      <c r="AM76" s="21"/>
      <c r="AN76" s="21"/>
      <c r="AO76" s="21"/>
      <c r="AP76" s="21"/>
      <c r="AQ76" s="22"/>
      <c r="AR76" s="21"/>
    </row>
    <row r="77" spans="1:44" x14ac:dyDescent="0.2">
      <c r="A77" s="21"/>
      <c r="B77" s="21"/>
      <c r="C77" s="21"/>
      <c r="D77" s="21"/>
      <c r="E77" s="21"/>
      <c r="G77" s="21"/>
      <c r="H77" s="21"/>
      <c r="I77" s="21"/>
      <c r="J77" s="21"/>
      <c r="M77" s="21"/>
      <c r="O77" s="21"/>
      <c r="Q77" s="21"/>
      <c r="T77" s="21"/>
      <c r="U77" s="21"/>
      <c r="V77" s="9"/>
      <c r="W77" s="21"/>
      <c r="X77" s="9"/>
      <c r="Z77" s="22"/>
      <c r="AD77" s="22"/>
      <c r="AF77" s="24"/>
      <c r="AI77" s="21"/>
      <c r="AJ77" s="21"/>
      <c r="AK77" s="21"/>
      <c r="AL77" s="21"/>
      <c r="AM77" s="21"/>
      <c r="AN77" s="21"/>
      <c r="AO77" s="21"/>
      <c r="AP77" s="21"/>
      <c r="AQ77" s="22"/>
      <c r="AR77" s="21"/>
    </row>
    <row r="78" spans="1:44" x14ac:dyDescent="0.2">
      <c r="A78" s="21"/>
      <c r="B78" s="21"/>
      <c r="C78" s="21"/>
      <c r="D78" s="21"/>
      <c r="E78" s="21"/>
      <c r="G78" s="21"/>
      <c r="H78" s="21"/>
      <c r="I78" s="21"/>
      <c r="J78" s="21"/>
      <c r="M78" s="21"/>
      <c r="O78" s="21"/>
      <c r="Q78" s="21"/>
      <c r="T78" s="21"/>
      <c r="U78" s="21"/>
      <c r="V78" s="9"/>
      <c r="W78" s="21"/>
      <c r="X78" s="9"/>
      <c r="Z78" s="22"/>
      <c r="AD78" s="22"/>
      <c r="AF78" s="24"/>
      <c r="AI78" s="21"/>
      <c r="AJ78" s="21"/>
      <c r="AK78" s="21"/>
      <c r="AL78" s="21"/>
      <c r="AM78" s="21"/>
      <c r="AN78" s="21"/>
      <c r="AO78" s="21"/>
      <c r="AP78" s="21"/>
      <c r="AQ78" s="22"/>
      <c r="AR78" s="21"/>
    </row>
    <row r="79" spans="1:44" x14ac:dyDescent="0.2">
      <c r="A79" s="21"/>
      <c r="B79" s="21"/>
      <c r="C79" s="21"/>
      <c r="D79" s="21"/>
      <c r="E79" s="21"/>
      <c r="G79" s="21"/>
      <c r="H79" s="21"/>
      <c r="I79" s="21"/>
      <c r="J79" s="21"/>
      <c r="M79" s="21"/>
      <c r="O79" s="21"/>
      <c r="Q79" s="21"/>
      <c r="T79" s="21"/>
      <c r="U79" s="21"/>
      <c r="V79" s="9"/>
      <c r="W79" s="21"/>
      <c r="X79" s="9"/>
      <c r="Z79" s="22"/>
      <c r="AD79" s="22"/>
      <c r="AF79" s="24"/>
      <c r="AI79" s="21"/>
      <c r="AJ79" s="21"/>
      <c r="AK79" s="21"/>
      <c r="AL79" s="21"/>
      <c r="AM79" s="21"/>
      <c r="AN79" s="21"/>
      <c r="AO79" s="21"/>
      <c r="AP79" s="21"/>
      <c r="AQ79" s="22"/>
      <c r="AR79" s="21"/>
    </row>
    <row r="80" spans="1:44" x14ac:dyDescent="0.2">
      <c r="A80" s="21"/>
      <c r="B80" s="21"/>
      <c r="C80" s="21"/>
      <c r="D80" s="21"/>
      <c r="E80" s="21"/>
      <c r="G80" s="21"/>
      <c r="H80" s="21"/>
      <c r="I80" s="21"/>
      <c r="J80" s="21"/>
      <c r="M80" s="21"/>
      <c r="O80" s="21"/>
      <c r="Q80" s="21"/>
      <c r="T80" s="21"/>
      <c r="U80" s="21"/>
      <c r="V80" s="9"/>
      <c r="W80" s="21"/>
      <c r="X80" s="9"/>
      <c r="Z80" s="22"/>
      <c r="AD80" s="22"/>
      <c r="AF80" s="24"/>
      <c r="AI80" s="21"/>
      <c r="AJ80" s="21"/>
      <c r="AK80" s="21"/>
      <c r="AL80" s="21"/>
      <c r="AM80" s="21"/>
      <c r="AN80" s="21"/>
      <c r="AO80" s="21"/>
      <c r="AP80" s="21"/>
      <c r="AQ80" s="22"/>
      <c r="AR80" s="21"/>
    </row>
    <row r="81" spans="1:44" x14ac:dyDescent="0.2">
      <c r="A81" s="21"/>
      <c r="B81" s="21"/>
      <c r="C81" s="21"/>
      <c r="D81" s="21"/>
      <c r="E81" s="21"/>
      <c r="G81" s="21"/>
      <c r="H81" s="21"/>
      <c r="I81" s="21"/>
      <c r="J81" s="21"/>
      <c r="M81" s="21"/>
      <c r="O81" s="21"/>
      <c r="Q81" s="21"/>
      <c r="T81" s="21"/>
      <c r="U81" s="21"/>
      <c r="V81" s="9"/>
      <c r="W81" s="21"/>
      <c r="X81" s="9"/>
      <c r="Z81" s="22"/>
      <c r="AD81" s="22"/>
      <c r="AF81" s="24"/>
      <c r="AI81" s="21"/>
      <c r="AJ81" s="21"/>
      <c r="AK81" s="21"/>
      <c r="AL81" s="21"/>
      <c r="AM81" s="21"/>
      <c r="AN81" s="21"/>
      <c r="AO81" s="21"/>
      <c r="AP81" s="21"/>
      <c r="AQ81" s="22"/>
      <c r="AR81" s="21"/>
    </row>
    <row r="82" spans="1:44" x14ac:dyDescent="0.2">
      <c r="A82" s="21"/>
      <c r="B82" s="21"/>
      <c r="C82" s="21"/>
      <c r="D82" s="21"/>
      <c r="E82" s="21"/>
      <c r="G82" s="21"/>
      <c r="H82" s="21"/>
      <c r="I82" s="21"/>
      <c r="J82" s="21"/>
      <c r="M82" s="21"/>
      <c r="O82" s="21"/>
      <c r="Q82" s="21"/>
      <c r="T82" s="21"/>
      <c r="U82" s="21"/>
      <c r="V82" s="9"/>
      <c r="W82" s="21"/>
      <c r="X82" s="9"/>
      <c r="Z82" s="22"/>
      <c r="AD82" s="22"/>
      <c r="AF82" s="24"/>
      <c r="AI82" s="21"/>
      <c r="AJ82" s="21"/>
      <c r="AK82" s="21"/>
      <c r="AL82" s="21"/>
      <c r="AM82" s="21"/>
      <c r="AN82" s="21"/>
      <c r="AO82" s="21"/>
      <c r="AP82" s="21"/>
      <c r="AQ82" s="22"/>
      <c r="AR82" s="21"/>
    </row>
    <row r="83" spans="1:44" x14ac:dyDescent="0.2">
      <c r="A83" s="21"/>
      <c r="B83" s="21"/>
      <c r="C83" s="21"/>
      <c r="D83" s="21"/>
      <c r="E83" s="21"/>
      <c r="G83" s="21"/>
      <c r="H83" s="21"/>
      <c r="I83" s="21"/>
      <c r="J83" s="21"/>
      <c r="M83" s="21"/>
      <c r="O83" s="21"/>
      <c r="Q83" s="21"/>
      <c r="T83" s="21"/>
      <c r="U83" s="21"/>
      <c r="V83" s="9"/>
      <c r="W83" s="21"/>
      <c r="X83" s="9"/>
      <c r="Z83" s="22"/>
      <c r="AD83" s="22"/>
      <c r="AF83" s="24"/>
      <c r="AI83" s="21"/>
      <c r="AJ83" s="21"/>
      <c r="AK83" s="21"/>
      <c r="AL83" s="21"/>
      <c r="AM83" s="21"/>
      <c r="AN83" s="21"/>
      <c r="AO83" s="21"/>
      <c r="AP83" s="21"/>
      <c r="AQ83" s="22"/>
      <c r="AR83" s="21"/>
    </row>
    <row r="84" spans="1:44" x14ac:dyDescent="0.2">
      <c r="A84" s="21"/>
      <c r="B84" s="21"/>
      <c r="C84" s="21"/>
      <c r="D84" s="21"/>
      <c r="E84" s="21"/>
      <c r="G84" s="21"/>
      <c r="H84" s="21"/>
      <c r="I84" s="21"/>
      <c r="J84" s="21"/>
      <c r="M84" s="21"/>
      <c r="O84" s="21"/>
      <c r="Q84" s="21"/>
      <c r="T84" s="21"/>
      <c r="U84" s="21"/>
      <c r="V84" s="9"/>
      <c r="W84" s="21"/>
      <c r="X84" s="9"/>
      <c r="Z84" s="22"/>
      <c r="AD84" s="22"/>
      <c r="AF84" s="24"/>
      <c r="AI84" s="21"/>
      <c r="AJ84" s="21"/>
      <c r="AK84" s="21"/>
      <c r="AL84" s="21"/>
      <c r="AM84" s="21"/>
      <c r="AN84" s="21"/>
      <c r="AO84" s="21"/>
      <c r="AP84" s="21"/>
      <c r="AQ84" s="22"/>
      <c r="AR84" s="21"/>
    </row>
    <row r="85" spans="1:44" x14ac:dyDescent="0.2">
      <c r="A85" s="21"/>
      <c r="B85" s="21"/>
      <c r="C85" s="21"/>
      <c r="D85" s="21"/>
      <c r="E85" s="21"/>
      <c r="G85" s="21"/>
      <c r="H85" s="21"/>
      <c r="I85" s="21"/>
      <c r="J85" s="21"/>
      <c r="M85" s="21"/>
      <c r="O85" s="21"/>
      <c r="Q85" s="21"/>
      <c r="T85" s="21"/>
      <c r="U85" s="21"/>
      <c r="V85" s="9"/>
      <c r="W85" s="21"/>
      <c r="X85" s="9"/>
      <c r="Z85" s="22"/>
      <c r="AD85" s="22"/>
      <c r="AF85" s="24"/>
      <c r="AI85" s="21"/>
      <c r="AJ85" s="21"/>
      <c r="AK85" s="21"/>
      <c r="AL85" s="21"/>
      <c r="AM85" s="21"/>
      <c r="AN85" s="21"/>
      <c r="AO85" s="21"/>
      <c r="AP85" s="21"/>
      <c r="AQ85" s="22"/>
      <c r="AR85" s="21"/>
    </row>
    <row r="86" spans="1:44" x14ac:dyDescent="0.2">
      <c r="A86" s="21"/>
      <c r="B86" s="21"/>
      <c r="C86" s="21"/>
      <c r="D86" s="21"/>
      <c r="E86" s="21"/>
      <c r="G86" s="21"/>
      <c r="H86" s="21"/>
      <c r="I86" s="21"/>
      <c r="J86" s="21"/>
      <c r="M86" s="21"/>
      <c r="O86" s="21"/>
      <c r="Q86" s="21"/>
      <c r="T86" s="21"/>
      <c r="U86" s="21"/>
      <c r="V86" s="9"/>
      <c r="W86" s="21"/>
      <c r="X86" s="9"/>
      <c r="Z86" s="22"/>
      <c r="AD86" s="22"/>
      <c r="AF86" s="24"/>
      <c r="AI86" s="21"/>
      <c r="AJ86" s="21"/>
      <c r="AK86" s="21"/>
      <c r="AL86" s="21"/>
      <c r="AM86" s="21"/>
      <c r="AN86" s="21"/>
      <c r="AO86" s="21"/>
      <c r="AP86" s="21"/>
      <c r="AQ86" s="22"/>
      <c r="AR86" s="21"/>
    </row>
    <row r="87" spans="1:44" x14ac:dyDescent="0.2">
      <c r="A87" s="21"/>
      <c r="B87" s="21"/>
      <c r="C87" s="21"/>
      <c r="D87" s="21"/>
      <c r="E87" s="21"/>
      <c r="G87" s="21"/>
      <c r="H87" s="21"/>
      <c r="I87" s="21"/>
      <c r="J87" s="21"/>
      <c r="M87" s="21"/>
      <c r="O87" s="21"/>
      <c r="Q87" s="21"/>
      <c r="T87" s="21"/>
      <c r="U87" s="21"/>
      <c r="V87" s="9"/>
      <c r="W87" s="21"/>
      <c r="X87" s="9"/>
      <c r="Z87" s="22"/>
      <c r="AD87" s="22"/>
      <c r="AF87" s="24"/>
      <c r="AI87" s="21"/>
      <c r="AJ87" s="21"/>
      <c r="AK87" s="21"/>
      <c r="AL87" s="21"/>
      <c r="AM87" s="21"/>
      <c r="AN87" s="21"/>
      <c r="AO87" s="21"/>
      <c r="AP87" s="21"/>
      <c r="AQ87" s="22"/>
      <c r="AR87" s="21"/>
    </row>
    <row r="88" spans="1:44" x14ac:dyDescent="0.2">
      <c r="A88" s="21"/>
      <c r="B88" s="21"/>
      <c r="C88" s="21"/>
      <c r="D88" s="21"/>
      <c r="E88" s="21"/>
      <c r="G88" s="21"/>
      <c r="H88" s="21"/>
      <c r="I88" s="21"/>
      <c r="J88" s="21"/>
      <c r="M88" s="21"/>
      <c r="O88" s="21"/>
      <c r="Q88" s="21"/>
      <c r="T88" s="21"/>
      <c r="U88" s="21"/>
      <c r="V88" s="9"/>
      <c r="W88" s="21"/>
      <c r="X88" s="9"/>
      <c r="Z88" s="22"/>
      <c r="AD88" s="22"/>
      <c r="AF88" s="24"/>
      <c r="AI88" s="21"/>
      <c r="AJ88" s="21"/>
      <c r="AK88" s="21"/>
      <c r="AL88" s="21"/>
      <c r="AM88" s="21"/>
      <c r="AN88" s="21"/>
      <c r="AO88" s="21"/>
      <c r="AP88" s="21"/>
      <c r="AQ88" s="22"/>
      <c r="AR88" s="21"/>
    </row>
    <row r="89" spans="1:44" x14ac:dyDescent="0.2">
      <c r="A89" s="21"/>
      <c r="B89" s="21"/>
      <c r="C89" s="21"/>
      <c r="D89" s="21"/>
      <c r="E89" s="21"/>
      <c r="G89" s="21"/>
      <c r="H89" s="21"/>
      <c r="I89" s="21"/>
      <c r="J89" s="21"/>
      <c r="M89" s="21"/>
      <c r="O89" s="21"/>
      <c r="Q89" s="21"/>
      <c r="T89" s="21"/>
      <c r="U89" s="21"/>
      <c r="V89" s="9"/>
      <c r="W89" s="21"/>
      <c r="X89" s="9"/>
      <c r="Z89" s="22"/>
      <c r="AD89" s="22"/>
      <c r="AF89" s="24"/>
      <c r="AI89" s="21"/>
      <c r="AJ89" s="21"/>
      <c r="AK89" s="21"/>
      <c r="AL89" s="21"/>
      <c r="AM89" s="21"/>
      <c r="AN89" s="21"/>
      <c r="AO89" s="21"/>
      <c r="AP89" s="21"/>
      <c r="AQ89" s="22"/>
      <c r="AR89" s="21"/>
    </row>
    <row r="90" spans="1:44" x14ac:dyDescent="0.2">
      <c r="A90" s="21"/>
      <c r="B90" s="21"/>
      <c r="C90" s="21"/>
      <c r="D90" s="21"/>
      <c r="E90" s="21"/>
      <c r="G90" s="21"/>
      <c r="H90" s="21"/>
      <c r="I90" s="21"/>
      <c r="J90" s="21"/>
      <c r="M90" s="21"/>
      <c r="O90" s="21"/>
      <c r="Q90" s="21"/>
      <c r="T90" s="21"/>
      <c r="U90" s="21"/>
      <c r="V90" s="9"/>
      <c r="W90" s="21"/>
      <c r="X90" s="9"/>
      <c r="Z90" s="22"/>
      <c r="AD90" s="22"/>
      <c r="AF90" s="24"/>
      <c r="AI90" s="21"/>
      <c r="AJ90" s="21"/>
      <c r="AK90" s="21"/>
      <c r="AL90" s="21"/>
      <c r="AM90" s="21"/>
      <c r="AN90" s="21"/>
      <c r="AO90" s="21"/>
      <c r="AP90" s="21"/>
      <c r="AQ90" s="22"/>
      <c r="AR90" s="21"/>
    </row>
    <row r="91" spans="1:44" x14ac:dyDescent="0.2">
      <c r="A91" s="21"/>
      <c r="B91" s="21"/>
      <c r="C91" s="21"/>
      <c r="D91" s="21"/>
      <c r="E91" s="21"/>
      <c r="G91" s="21"/>
      <c r="H91" s="21"/>
      <c r="I91" s="21"/>
      <c r="J91" s="21"/>
      <c r="M91" s="21"/>
      <c r="O91" s="21"/>
      <c r="Q91" s="21"/>
      <c r="T91" s="21"/>
      <c r="U91" s="21"/>
      <c r="V91" s="9"/>
      <c r="W91" s="21"/>
      <c r="X91" s="9"/>
      <c r="Z91" s="22"/>
      <c r="AD91" s="22"/>
      <c r="AF91" s="24"/>
      <c r="AI91" s="21"/>
      <c r="AJ91" s="21"/>
      <c r="AK91" s="21"/>
      <c r="AL91" s="21"/>
      <c r="AM91" s="21"/>
      <c r="AN91" s="21"/>
      <c r="AO91" s="21"/>
      <c r="AP91" s="21"/>
      <c r="AQ91" s="22"/>
      <c r="AR91" s="21"/>
    </row>
    <row r="92" spans="1:44" x14ac:dyDescent="0.2">
      <c r="A92" s="21"/>
      <c r="B92" s="21"/>
      <c r="C92" s="21"/>
      <c r="D92" s="21"/>
      <c r="E92" s="21"/>
      <c r="G92" s="21"/>
      <c r="H92" s="21"/>
      <c r="I92" s="21"/>
      <c r="J92" s="21"/>
      <c r="M92" s="21"/>
      <c r="O92" s="21"/>
      <c r="Q92" s="21"/>
      <c r="T92" s="21"/>
      <c r="U92" s="21"/>
      <c r="V92" s="9"/>
      <c r="W92" s="21"/>
      <c r="X92" s="9"/>
      <c r="Z92" s="22"/>
      <c r="AD92" s="22"/>
      <c r="AF92" s="24"/>
      <c r="AI92" s="21"/>
      <c r="AJ92" s="21"/>
      <c r="AK92" s="21"/>
      <c r="AL92" s="21"/>
      <c r="AM92" s="21"/>
      <c r="AN92" s="21"/>
      <c r="AO92" s="21"/>
      <c r="AP92" s="21"/>
      <c r="AQ92" s="22"/>
      <c r="AR92" s="21"/>
    </row>
    <row r="93" spans="1:44" x14ac:dyDescent="0.2">
      <c r="A93" s="21"/>
      <c r="B93" s="21"/>
      <c r="C93" s="21"/>
      <c r="D93" s="21"/>
      <c r="E93" s="21"/>
      <c r="G93" s="21"/>
      <c r="H93" s="21"/>
      <c r="I93" s="21"/>
      <c r="J93" s="21"/>
      <c r="M93" s="21"/>
      <c r="O93" s="21"/>
      <c r="Q93" s="21"/>
      <c r="T93" s="21"/>
      <c r="U93" s="21"/>
      <c r="V93" s="9"/>
      <c r="W93" s="21"/>
      <c r="X93" s="9"/>
      <c r="Z93" s="22"/>
      <c r="AD93" s="22"/>
      <c r="AF93" s="24"/>
      <c r="AI93" s="21"/>
      <c r="AJ93" s="21"/>
      <c r="AK93" s="21"/>
      <c r="AL93" s="21"/>
      <c r="AM93" s="21"/>
      <c r="AN93" s="21"/>
      <c r="AO93" s="21"/>
      <c r="AP93" s="21"/>
      <c r="AQ93" s="22"/>
      <c r="AR93" s="21"/>
    </row>
    <row r="94" spans="1:44" x14ac:dyDescent="0.2">
      <c r="A94" s="21"/>
      <c r="B94" s="21"/>
      <c r="C94" s="21"/>
      <c r="D94" s="21"/>
      <c r="E94" s="21"/>
      <c r="G94" s="21"/>
      <c r="H94" s="21"/>
      <c r="I94" s="21"/>
      <c r="J94" s="21"/>
      <c r="M94" s="21"/>
      <c r="O94" s="21"/>
      <c r="Q94" s="21"/>
      <c r="T94" s="21"/>
      <c r="U94" s="21"/>
      <c r="V94" s="9"/>
      <c r="W94" s="21"/>
      <c r="X94" s="9"/>
      <c r="Z94" s="22"/>
      <c r="AD94" s="22"/>
      <c r="AF94" s="24"/>
      <c r="AI94" s="21"/>
      <c r="AJ94" s="21"/>
      <c r="AK94" s="21"/>
      <c r="AL94" s="21"/>
      <c r="AM94" s="21"/>
      <c r="AN94" s="21"/>
      <c r="AO94" s="21"/>
      <c r="AP94" s="21"/>
      <c r="AQ94" s="22"/>
      <c r="AR94" s="21"/>
    </row>
    <row r="95" spans="1:44" x14ac:dyDescent="0.2">
      <c r="A95" s="21"/>
      <c r="B95" s="21"/>
      <c r="C95" s="21"/>
      <c r="D95" s="21"/>
      <c r="E95" s="21"/>
      <c r="G95" s="21"/>
      <c r="H95" s="21"/>
      <c r="I95" s="21"/>
      <c r="J95" s="21"/>
      <c r="M95" s="21"/>
      <c r="O95" s="21"/>
      <c r="Q95" s="21"/>
      <c r="T95" s="21"/>
      <c r="U95" s="21"/>
      <c r="V95" s="9"/>
      <c r="W95" s="21"/>
      <c r="X95" s="9"/>
      <c r="Z95" s="22"/>
      <c r="AD95" s="22"/>
      <c r="AF95" s="24"/>
      <c r="AI95" s="21"/>
      <c r="AJ95" s="21"/>
      <c r="AK95" s="21"/>
      <c r="AL95" s="21"/>
      <c r="AM95" s="21"/>
      <c r="AN95" s="21"/>
      <c r="AO95" s="21"/>
      <c r="AP95" s="21"/>
      <c r="AQ95" s="22"/>
      <c r="AR95" s="21"/>
    </row>
    <row r="96" spans="1:44" x14ac:dyDescent="0.2">
      <c r="A96" s="21"/>
      <c r="B96" s="21"/>
      <c r="C96" s="21"/>
      <c r="D96" s="21"/>
      <c r="E96" s="21"/>
      <c r="G96" s="21"/>
      <c r="H96" s="21"/>
      <c r="I96" s="21"/>
      <c r="J96" s="21"/>
      <c r="M96" s="21"/>
      <c r="O96" s="21"/>
      <c r="Q96" s="21"/>
      <c r="T96" s="21"/>
      <c r="U96" s="21"/>
      <c r="V96" s="9"/>
      <c r="W96" s="21"/>
      <c r="X96" s="9"/>
      <c r="Z96" s="22"/>
      <c r="AD96" s="22"/>
      <c r="AF96" s="24"/>
      <c r="AI96" s="21"/>
      <c r="AJ96" s="21"/>
      <c r="AK96" s="21"/>
      <c r="AL96" s="21"/>
      <c r="AM96" s="21"/>
      <c r="AN96" s="21"/>
      <c r="AO96" s="21"/>
      <c r="AP96" s="21"/>
      <c r="AQ96" s="22"/>
      <c r="AR96" s="21"/>
    </row>
    <row r="97" spans="1:44" x14ac:dyDescent="0.2">
      <c r="A97" s="21"/>
      <c r="B97" s="21"/>
      <c r="C97" s="21"/>
      <c r="D97" s="21"/>
      <c r="E97" s="21"/>
      <c r="G97" s="21"/>
      <c r="H97" s="21"/>
      <c r="I97" s="21"/>
      <c r="J97" s="21"/>
      <c r="M97" s="21"/>
      <c r="O97" s="21"/>
      <c r="Q97" s="21"/>
      <c r="T97" s="21"/>
      <c r="U97" s="21"/>
      <c r="V97" s="9"/>
      <c r="W97" s="21"/>
      <c r="X97" s="9"/>
      <c r="Z97" s="22"/>
      <c r="AD97" s="22"/>
      <c r="AF97" s="24"/>
      <c r="AI97" s="21"/>
      <c r="AJ97" s="21"/>
      <c r="AK97" s="21"/>
      <c r="AL97" s="21"/>
      <c r="AM97" s="21"/>
      <c r="AN97" s="21"/>
      <c r="AO97" s="21"/>
      <c r="AP97" s="21"/>
      <c r="AQ97" s="22"/>
      <c r="AR97" s="21"/>
    </row>
    <row r="98" spans="1:44" x14ac:dyDescent="0.2">
      <c r="A98" s="21"/>
      <c r="B98" s="21"/>
      <c r="C98" s="21"/>
      <c r="D98" s="21"/>
      <c r="E98" s="21"/>
      <c r="G98" s="21"/>
      <c r="H98" s="21"/>
      <c r="I98" s="21"/>
      <c r="J98" s="21"/>
      <c r="M98" s="21"/>
      <c r="O98" s="21"/>
      <c r="Q98" s="21"/>
      <c r="T98" s="21"/>
      <c r="U98" s="21"/>
      <c r="V98" s="9"/>
      <c r="W98" s="21"/>
      <c r="X98" s="9"/>
      <c r="Z98" s="22"/>
      <c r="AD98" s="22"/>
      <c r="AF98" s="24"/>
      <c r="AI98" s="21"/>
      <c r="AJ98" s="21"/>
      <c r="AK98" s="21"/>
      <c r="AL98" s="21"/>
      <c r="AN98" s="21"/>
      <c r="AO98" s="21"/>
      <c r="AP98" s="21"/>
      <c r="AQ98" s="22"/>
      <c r="AR98" s="21"/>
    </row>
    <row r="99" spans="1:44" x14ac:dyDescent="0.2">
      <c r="A99" s="21"/>
      <c r="B99" s="21"/>
      <c r="C99" s="21"/>
      <c r="D99" s="21"/>
      <c r="E99" s="21"/>
      <c r="G99" s="21"/>
      <c r="H99" s="21"/>
      <c r="I99" s="21"/>
      <c r="J99" s="21"/>
      <c r="M99" s="21"/>
      <c r="O99" s="21"/>
      <c r="Q99" s="21"/>
      <c r="T99" s="21"/>
      <c r="U99" s="21"/>
      <c r="V99" s="9"/>
      <c r="W99" s="21"/>
      <c r="X99" s="9"/>
      <c r="Z99" s="22"/>
      <c r="AD99" s="22"/>
      <c r="AF99" s="24"/>
      <c r="AI99" s="21"/>
      <c r="AJ99" s="21"/>
      <c r="AK99" s="21"/>
      <c r="AL99" s="21"/>
      <c r="AN99" s="21"/>
      <c r="AO99" s="21"/>
      <c r="AP99" s="21"/>
      <c r="AQ99" s="22"/>
      <c r="AR99" s="21"/>
    </row>
    <row r="100" spans="1:44" x14ac:dyDescent="0.2">
      <c r="A100" s="21"/>
      <c r="B100" s="21"/>
      <c r="C100" s="21"/>
      <c r="D100" s="21"/>
      <c r="E100" s="21"/>
      <c r="G100" s="21"/>
      <c r="H100" s="21"/>
      <c r="I100" s="21"/>
      <c r="J100" s="21"/>
      <c r="M100" s="21"/>
      <c r="O100" s="21"/>
      <c r="Q100" s="21"/>
      <c r="T100" s="21"/>
      <c r="U100" s="21"/>
      <c r="V100" s="9"/>
      <c r="W100" s="21"/>
      <c r="X100" s="9"/>
      <c r="Z100" s="22"/>
      <c r="AD100" s="22"/>
      <c r="AF100" s="24"/>
      <c r="AI100" s="21"/>
      <c r="AJ100" s="21"/>
      <c r="AK100" s="21"/>
      <c r="AL100" s="21"/>
      <c r="AN100" s="21"/>
      <c r="AO100" s="21"/>
      <c r="AP100" s="21"/>
      <c r="AQ100" s="22"/>
      <c r="AR100" s="21"/>
    </row>
    <row r="101" spans="1:44" x14ac:dyDescent="0.2">
      <c r="A101" s="21"/>
      <c r="B101" s="21"/>
      <c r="C101" s="21"/>
      <c r="D101" s="21"/>
      <c r="E101" s="21"/>
      <c r="G101" s="21"/>
      <c r="H101" s="21"/>
      <c r="I101" s="21"/>
      <c r="J101" s="21"/>
      <c r="M101" s="21"/>
      <c r="O101" s="21"/>
      <c r="Q101" s="21"/>
      <c r="T101" s="21"/>
      <c r="U101" s="21"/>
      <c r="V101" s="9"/>
      <c r="W101" s="21"/>
      <c r="X101" s="9"/>
      <c r="Z101" s="22"/>
      <c r="AD101" s="22"/>
      <c r="AF101" s="24"/>
      <c r="AI101" s="21"/>
      <c r="AJ101" s="21"/>
      <c r="AK101" s="21"/>
      <c r="AL101" s="21"/>
      <c r="AN101" s="21"/>
      <c r="AO101" s="21"/>
      <c r="AP101" s="21"/>
      <c r="AQ101" s="22"/>
      <c r="AR101" s="21"/>
    </row>
    <row r="102" spans="1:44" x14ac:dyDescent="0.2">
      <c r="A102" s="21"/>
      <c r="B102" s="21"/>
      <c r="C102" s="21"/>
      <c r="D102" s="21"/>
      <c r="E102" s="21"/>
      <c r="G102" s="21"/>
      <c r="H102" s="21"/>
      <c r="I102" s="21"/>
      <c r="J102" s="21"/>
      <c r="M102" s="21"/>
      <c r="O102" s="21"/>
      <c r="Q102" s="21"/>
      <c r="T102" s="21"/>
      <c r="U102" s="21"/>
      <c r="V102" s="9"/>
      <c r="W102" s="21"/>
      <c r="X102" s="9"/>
      <c r="Z102" s="22"/>
      <c r="AD102" s="22"/>
      <c r="AF102" s="24"/>
      <c r="AI102" s="21"/>
      <c r="AJ102" s="21"/>
      <c r="AK102" s="21"/>
      <c r="AL102" s="21"/>
      <c r="AN102" s="21"/>
      <c r="AO102" s="21"/>
      <c r="AP102" s="21"/>
      <c r="AQ102" s="22"/>
      <c r="AR102" s="21"/>
    </row>
    <row r="103" spans="1:44" x14ac:dyDescent="0.2">
      <c r="A103" s="21"/>
      <c r="B103" s="21"/>
      <c r="C103" s="21"/>
      <c r="D103" s="21"/>
      <c r="E103" s="21"/>
      <c r="G103" s="21"/>
      <c r="H103" s="21"/>
      <c r="I103" s="21"/>
      <c r="J103" s="21"/>
      <c r="M103" s="21"/>
      <c r="O103" s="21"/>
      <c r="Q103" s="21"/>
      <c r="T103" s="21"/>
      <c r="U103" s="21"/>
      <c r="V103" s="9"/>
      <c r="W103" s="21"/>
      <c r="X103" s="9"/>
      <c r="Z103" s="22"/>
      <c r="AD103" s="22"/>
      <c r="AF103" s="24"/>
      <c r="AI103" s="21"/>
      <c r="AJ103" s="21"/>
      <c r="AK103" s="21"/>
      <c r="AL103" s="21"/>
      <c r="AN103" s="21"/>
      <c r="AO103" s="21"/>
      <c r="AP103" s="21"/>
      <c r="AQ103" s="22"/>
      <c r="AR103" s="21"/>
    </row>
    <row r="104" spans="1:44" x14ac:dyDescent="0.2">
      <c r="A104" s="21"/>
      <c r="B104" s="21"/>
      <c r="C104" s="21"/>
      <c r="D104" s="21"/>
      <c r="E104" s="21"/>
      <c r="G104" s="21"/>
      <c r="H104" s="21"/>
      <c r="I104" s="21"/>
      <c r="J104" s="21"/>
      <c r="M104" s="21"/>
      <c r="O104" s="21"/>
      <c r="Q104" s="21"/>
      <c r="T104" s="21"/>
      <c r="U104" s="21"/>
      <c r="V104" s="9"/>
      <c r="W104" s="21"/>
      <c r="X104" s="9"/>
      <c r="Z104" s="22"/>
      <c r="AD104" s="22"/>
      <c r="AF104" s="24"/>
      <c r="AI104" s="21"/>
      <c r="AJ104" s="21"/>
      <c r="AK104" s="21"/>
      <c r="AL104" s="21"/>
      <c r="AM104" s="21"/>
      <c r="AN104" s="21"/>
      <c r="AO104" s="21"/>
      <c r="AP104" s="21"/>
      <c r="AQ104" s="22"/>
      <c r="AR104" s="21"/>
    </row>
    <row r="105" spans="1:44" x14ac:dyDescent="0.2">
      <c r="A105" s="21"/>
      <c r="B105" s="21"/>
      <c r="C105" s="21"/>
      <c r="D105" s="21"/>
      <c r="E105" s="21"/>
      <c r="G105" s="21"/>
      <c r="H105" s="21"/>
      <c r="I105" s="21"/>
      <c r="J105" s="21"/>
      <c r="M105" s="21"/>
      <c r="O105" s="21"/>
      <c r="Q105" s="21"/>
      <c r="T105" s="21"/>
      <c r="U105" s="21"/>
      <c r="V105" s="9"/>
      <c r="W105" s="21"/>
      <c r="X105" s="9"/>
      <c r="Z105" s="22"/>
      <c r="AD105" s="22"/>
      <c r="AF105" s="24"/>
      <c r="AI105" s="21"/>
      <c r="AJ105" s="21"/>
      <c r="AK105" s="21"/>
      <c r="AL105" s="21"/>
      <c r="AM105" s="21"/>
      <c r="AN105" s="21"/>
      <c r="AO105" s="21"/>
      <c r="AP105" s="21"/>
      <c r="AQ105" s="22"/>
      <c r="AR105" s="21"/>
    </row>
    <row r="106" spans="1:44" x14ac:dyDescent="0.2">
      <c r="A106" s="21"/>
      <c r="B106" s="21"/>
      <c r="C106" s="21"/>
      <c r="D106" s="21"/>
      <c r="E106" s="21"/>
      <c r="G106" s="21"/>
      <c r="H106" s="21"/>
      <c r="I106" s="21"/>
      <c r="J106" s="21"/>
      <c r="M106" s="21"/>
      <c r="O106" s="21"/>
      <c r="Q106" s="21"/>
      <c r="T106" s="21"/>
      <c r="U106" s="21"/>
      <c r="V106" s="9"/>
      <c r="W106" s="21"/>
      <c r="X106" s="9"/>
      <c r="Z106" s="22"/>
      <c r="AD106" s="22"/>
      <c r="AF106" s="24"/>
      <c r="AI106" s="21"/>
      <c r="AJ106" s="21"/>
      <c r="AK106" s="21"/>
      <c r="AL106" s="21"/>
      <c r="AM106" s="21"/>
      <c r="AN106" s="21"/>
      <c r="AO106" s="21"/>
      <c r="AP106" s="21"/>
      <c r="AQ106" s="22"/>
      <c r="AR106" s="21"/>
    </row>
    <row r="107" spans="1:44" x14ac:dyDescent="0.2">
      <c r="A107" s="21"/>
      <c r="B107" s="21"/>
      <c r="C107" s="21"/>
      <c r="D107" s="21"/>
      <c r="E107" s="21"/>
      <c r="G107" s="21"/>
      <c r="H107" s="21"/>
      <c r="I107" s="21"/>
      <c r="J107" s="21"/>
      <c r="M107" s="21"/>
      <c r="O107" s="21"/>
      <c r="Q107" s="21"/>
      <c r="T107" s="21"/>
      <c r="U107" s="21"/>
      <c r="V107" s="9"/>
      <c r="W107" s="21"/>
      <c r="X107" s="9"/>
      <c r="Z107" s="22"/>
      <c r="AD107" s="22"/>
      <c r="AF107" s="24"/>
      <c r="AI107" s="21"/>
      <c r="AJ107" s="21"/>
      <c r="AK107" s="21"/>
      <c r="AL107" s="21"/>
      <c r="AM107" s="21"/>
      <c r="AN107" s="21"/>
      <c r="AO107" s="21"/>
      <c r="AP107" s="21"/>
      <c r="AQ107" s="22"/>
      <c r="AR107" s="21"/>
    </row>
    <row r="108" spans="1:44" x14ac:dyDescent="0.2">
      <c r="A108" s="21"/>
      <c r="B108" s="21"/>
      <c r="C108" s="21"/>
      <c r="D108" s="21"/>
      <c r="E108" s="21"/>
      <c r="G108" s="21"/>
      <c r="H108" s="21"/>
      <c r="I108" s="21"/>
      <c r="J108" s="21"/>
      <c r="M108" s="21"/>
      <c r="O108" s="21"/>
      <c r="Q108" s="21"/>
      <c r="T108" s="21"/>
      <c r="U108" s="21"/>
      <c r="V108" s="9"/>
      <c r="W108" s="21"/>
      <c r="X108" s="9"/>
      <c r="Z108" s="22"/>
      <c r="AD108" s="22"/>
      <c r="AF108" s="24"/>
      <c r="AI108" s="21"/>
      <c r="AJ108" s="21"/>
      <c r="AK108" s="21"/>
      <c r="AL108" s="21"/>
      <c r="AM108" s="21"/>
      <c r="AN108" s="21"/>
      <c r="AO108" s="21"/>
      <c r="AP108" s="21"/>
      <c r="AQ108" s="22"/>
      <c r="AR108" s="21"/>
    </row>
    <row r="109" spans="1:44" x14ac:dyDescent="0.2">
      <c r="A109" s="21"/>
      <c r="B109" s="21"/>
      <c r="C109" s="21"/>
      <c r="D109" s="21"/>
      <c r="E109" s="21"/>
      <c r="G109" s="21"/>
      <c r="H109" s="21"/>
      <c r="I109" s="21"/>
      <c r="J109" s="21"/>
      <c r="M109" s="21"/>
      <c r="O109" s="21"/>
      <c r="Q109" s="21"/>
      <c r="T109" s="21"/>
      <c r="U109" s="21"/>
      <c r="V109" s="9"/>
      <c r="W109" s="21"/>
      <c r="X109" s="9"/>
      <c r="Z109" s="22"/>
      <c r="AD109" s="22"/>
      <c r="AF109" s="24"/>
      <c r="AI109" s="21"/>
      <c r="AJ109" s="21"/>
      <c r="AK109" s="21"/>
      <c r="AL109" s="21"/>
      <c r="AM109" s="21"/>
      <c r="AN109" s="21"/>
      <c r="AO109" s="21"/>
      <c r="AP109" s="21"/>
      <c r="AQ109" s="22"/>
      <c r="AR109" s="21"/>
    </row>
    <row r="110" spans="1:44" x14ac:dyDescent="0.2">
      <c r="A110" s="21"/>
      <c r="B110" s="21"/>
      <c r="C110" s="21"/>
      <c r="D110" s="21"/>
      <c r="E110" s="21"/>
      <c r="G110" s="21"/>
      <c r="H110" s="21"/>
      <c r="I110" s="21"/>
      <c r="J110" s="21"/>
      <c r="M110" s="21"/>
      <c r="O110" s="21"/>
      <c r="Q110" s="21"/>
      <c r="T110" s="21"/>
      <c r="U110" s="21"/>
      <c r="V110" s="9"/>
      <c r="W110" s="21"/>
      <c r="X110" s="9"/>
      <c r="Z110" s="22"/>
      <c r="AD110" s="22"/>
      <c r="AF110" s="24"/>
      <c r="AI110" s="21"/>
      <c r="AJ110" s="21"/>
      <c r="AK110" s="21"/>
      <c r="AL110" s="21"/>
      <c r="AM110" s="21"/>
      <c r="AN110" s="21"/>
      <c r="AO110" s="21"/>
      <c r="AP110" s="21"/>
      <c r="AQ110" s="22"/>
      <c r="AR110" s="21"/>
    </row>
    <row r="111" spans="1:44" x14ac:dyDescent="0.2">
      <c r="A111" s="21"/>
      <c r="B111" s="21"/>
      <c r="C111" s="21"/>
      <c r="D111" s="21"/>
      <c r="E111" s="21"/>
      <c r="G111" s="21"/>
      <c r="H111" s="21"/>
      <c r="I111" s="21"/>
      <c r="J111" s="21"/>
      <c r="M111" s="21"/>
      <c r="O111" s="21"/>
      <c r="Q111" s="21"/>
      <c r="T111" s="21"/>
      <c r="U111" s="21"/>
      <c r="V111" s="9"/>
      <c r="W111" s="21"/>
      <c r="X111" s="9"/>
      <c r="Z111" s="22"/>
      <c r="AD111" s="22"/>
      <c r="AF111" s="24"/>
      <c r="AI111" s="21"/>
      <c r="AJ111" s="21"/>
      <c r="AK111" s="21"/>
      <c r="AL111" s="21"/>
      <c r="AM111" s="21"/>
      <c r="AN111" s="21"/>
      <c r="AO111" s="21"/>
      <c r="AP111" s="21"/>
      <c r="AQ111" s="22"/>
      <c r="AR111" s="21"/>
    </row>
    <row r="112" spans="1:44" x14ac:dyDescent="0.2">
      <c r="A112" s="21"/>
      <c r="B112" s="21"/>
      <c r="C112" s="21"/>
      <c r="D112" s="21"/>
      <c r="E112" s="21"/>
      <c r="G112" s="21"/>
      <c r="H112" s="21"/>
      <c r="I112" s="21"/>
      <c r="J112" s="21"/>
      <c r="M112" s="21"/>
      <c r="O112" s="21"/>
      <c r="Q112" s="21"/>
      <c r="T112" s="21"/>
      <c r="U112" s="21"/>
      <c r="V112" s="9"/>
      <c r="W112" s="21"/>
      <c r="X112" s="9"/>
      <c r="Z112" s="22"/>
      <c r="AD112" s="22"/>
      <c r="AF112" s="24"/>
      <c r="AI112" s="21"/>
      <c r="AJ112" s="21"/>
      <c r="AK112" s="21"/>
      <c r="AL112" s="21"/>
      <c r="AM112" s="21"/>
      <c r="AN112" s="21"/>
      <c r="AO112" s="21"/>
      <c r="AP112" s="21"/>
      <c r="AQ112" s="22"/>
      <c r="AR112" s="21"/>
    </row>
    <row r="113" spans="1:44" x14ac:dyDescent="0.2">
      <c r="A113" s="21"/>
      <c r="B113" s="21"/>
      <c r="C113" s="21"/>
      <c r="D113" s="21"/>
      <c r="E113" s="21"/>
      <c r="G113" s="21"/>
      <c r="H113" s="21"/>
      <c r="I113" s="21"/>
      <c r="J113" s="21"/>
      <c r="M113" s="21"/>
      <c r="O113" s="21"/>
      <c r="Q113" s="21"/>
      <c r="T113" s="21"/>
      <c r="U113" s="21"/>
      <c r="V113" s="9"/>
      <c r="W113" s="21"/>
      <c r="X113" s="9"/>
      <c r="Z113" s="22"/>
      <c r="AD113" s="22"/>
      <c r="AF113" s="24"/>
      <c r="AI113" s="21"/>
      <c r="AJ113" s="21"/>
      <c r="AK113" s="21"/>
      <c r="AL113" s="21"/>
      <c r="AM113" s="21"/>
      <c r="AN113" s="21"/>
      <c r="AO113" s="21"/>
      <c r="AP113" s="21"/>
      <c r="AQ113" s="22"/>
      <c r="AR113" s="21"/>
    </row>
    <row r="114" spans="1:44" x14ac:dyDescent="0.2">
      <c r="A114" s="21"/>
      <c r="B114" s="21"/>
      <c r="C114" s="21"/>
      <c r="D114" s="21"/>
      <c r="E114" s="21"/>
      <c r="G114" s="21"/>
      <c r="H114" s="21"/>
      <c r="I114" s="21"/>
      <c r="J114" s="21"/>
      <c r="M114" s="21"/>
      <c r="O114" s="21"/>
      <c r="Q114" s="21"/>
      <c r="T114" s="21"/>
      <c r="U114" s="21"/>
      <c r="V114" s="9"/>
      <c r="W114" s="21"/>
      <c r="X114" s="9"/>
      <c r="Z114" s="22"/>
      <c r="AD114" s="22"/>
      <c r="AF114" s="24"/>
      <c r="AI114" s="21"/>
      <c r="AJ114" s="21"/>
      <c r="AK114" s="21"/>
      <c r="AL114" s="21"/>
      <c r="AM114" s="21"/>
      <c r="AN114" s="21"/>
      <c r="AO114" s="21"/>
      <c r="AP114" s="21"/>
      <c r="AQ114" s="22"/>
      <c r="AR114" s="21"/>
    </row>
    <row r="115" spans="1:44" x14ac:dyDescent="0.2">
      <c r="A115" s="21"/>
      <c r="B115" s="21"/>
      <c r="C115" s="21"/>
      <c r="D115" s="21"/>
      <c r="E115" s="21"/>
      <c r="G115" s="21"/>
      <c r="H115" s="21"/>
      <c r="I115" s="21"/>
      <c r="J115" s="21"/>
      <c r="M115" s="21"/>
      <c r="O115" s="21"/>
      <c r="Q115" s="21"/>
      <c r="T115" s="21"/>
      <c r="U115" s="21"/>
      <c r="V115" s="9"/>
      <c r="W115" s="21"/>
      <c r="X115" s="9"/>
      <c r="Z115" s="22"/>
      <c r="AD115" s="22"/>
      <c r="AF115" s="24"/>
      <c r="AI115" s="21"/>
      <c r="AJ115" s="21"/>
      <c r="AK115" s="21"/>
      <c r="AL115" s="21"/>
      <c r="AM115" s="21"/>
      <c r="AN115" s="21"/>
      <c r="AO115" s="21"/>
      <c r="AP115" s="21"/>
      <c r="AQ115" s="22"/>
      <c r="AR115" s="21"/>
    </row>
    <row r="116" spans="1:44" x14ac:dyDescent="0.2">
      <c r="A116" s="21"/>
      <c r="B116" s="21"/>
      <c r="C116" s="21"/>
      <c r="D116" s="21"/>
      <c r="E116" s="21"/>
      <c r="G116" s="21"/>
      <c r="H116" s="21"/>
      <c r="I116" s="21"/>
      <c r="J116" s="21"/>
      <c r="M116" s="21"/>
      <c r="O116" s="21"/>
      <c r="Q116" s="21"/>
      <c r="T116" s="21"/>
      <c r="U116" s="21"/>
      <c r="V116" s="9"/>
      <c r="W116" s="21"/>
      <c r="X116" s="9"/>
      <c r="Z116" s="22"/>
      <c r="AD116" s="22"/>
      <c r="AF116" s="24"/>
      <c r="AI116" s="21"/>
      <c r="AJ116" s="21"/>
      <c r="AK116" s="21"/>
      <c r="AL116" s="21"/>
      <c r="AM116" s="21"/>
      <c r="AN116" s="21"/>
      <c r="AO116" s="21"/>
      <c r="AP116" s="21"/>
      <c r="AQ116" s="22"/>
      <c r="AR116" s="21"/>
    </row>
    <row r="117" spans="1:44" x14ac:dyDescent="0.2">
      <c r="A117" s="21"/>
      <c r="B117" s="21"/>
      <c r="C117" s="21"/>
      <c r="D117" s="21"/>
      <c r="E117" s="21"/>
      <c r="G117" s="21"/>
      <c r="H117" s="21"/>
      <c r="I117" s="21"/>
      <c r="J117" s="21"/>
      <c r="M117" s="21"/>
      <c r="O117" s="21"/>
      <c r="Q117" s="21"/>
      <c r="T117" s="21"/>
      <c r="U117" s="21"/>
      <c r="V117" s="9"/>
      <c r="W117" s="21"/>
      <c r="X117" s="9"/>
      <c r="Z117" s="22"/>
      <c r="AD117" s="22"/>
      <c r="AF117" s="24"/>
      <c r="AI117" s="21"/>
      <c r="AJ117" s="21"/>
      <c r="AK117" s="21"/>
      <c r="AL117" s="21"/>
      <c r="AM117" s="21"/>
      <c r="AN117" s="21"/>
      <c r="AO117" s="21"/>
      <c r="AP117" s="21"/>
      <c r="AQ117" s="22"/>
      <c r="AR117" s="21"/>
    </row>
    <row r="118" spans="1:44" x14ac:dyDescent="0.2">
      <c r="A118" s="21"/>
      <c r="B118" s="21"/>
      <c r="C118" s="21"/>
      <c r="D118" s="21"/>
      <c r="E118" s="21"/>
      <c r="G118" s="21"/>
      <c r="H118" s="21"/>
      <c r="I118" s="21"/>
      <c r="J118" s="21"/>
      <c r="M118" s="21"/>
      <c r="O118" s="21"/>
      <c r="Q118" s="21"/>
      <c r="T118" s="21"/>
      <c r="U118" s="21"/>
      <c r="V118" s="9"/>
      <c r="W118" s="21"/>
      <c r="X118" s="9"/>
      <c r="Z118" s="22"/>
      <c r="AD118" s="22"/>
      <c r="AF118" s="24"/>
      <c r="AI118" s="21"/>
      <c r="AJ118" s="21"/>
      <c r="AK118" s="21"/>
      <c r="AL118" s="21"/>
      <c r="AM118" s="21"/>
      <c r="AN118" s="21"/>
      <c r="AO118" s="21"/>
      <c r="AP118" s="21"/>
      <c r="AQ118" s="22"/>
      <c r="AR118" s="21"/>
    </row>
    <row r="119" spans="1:44" x14ac:dyDescent="0.2">
      <c r="A119" s="21"/>
      <c r="B119" s="21"/>
      <c r="C119" s="21"/>
      <c r="D119" s="21"/>
      <c r="E119" s="21"/>
      <c r="G119" s="21"/>
      <c r="H119" s="21"/>
      <c r="I119" s="21"/>
      <c r="J119" s="21"/>
      <c r="M119" s="21"/>
      <c r="O119" s="21"/>
      <c r="Q119" s="21"/>
      <c r="T119" s="21"/>
      <c r="U119" s="21"/>
      <c r="V119" s="9"/>
      <c r="W119" s="21"/>
      <c r="X119" s="9"/>
      <c r="Z119" s="22"/>
      <c r="AD119" s="22"/>
      <c r="AF119" s="24"/>
      <c r="AI119" s="21"/>
      <c r="AJ119" s="21"/>
      <c r="AK119" s="21"/>
      <c r="AL119" s="21"/>
      <c r="AM119" s="21"/>
      <c r="AN119" s="21"/>
      <c r="AO119" s="21"/>
      <c r="AP119" s="21"/>
      <c r="AQ119" s="22"/>
      <c r="AR119" s="21"/>
    </row>
    <row r="120" spans="1:44" x14ac:dyDescent="0.2">
      <c r="A120" s="21"/>
      <c r="B120" s="21"/>
      <c r="C120" s="21"/>
      <c r="D120" s="21"/>
      <c r="E120" s="21"/>
      <c r="G120" s="21"/>
      <c r="H120" s="21"/>
      <c r="I120" s="21"/>
      <c r="J120" s="21"/>
      <c r="M120" s="21"/>
      <c r="O120" s="21"/>
      <c r="Q120" s="21"/>
      <c r="T120" s="21"/>
      <c r="U120" s="21"/>
      <c r="V120" s="9"/>
      <c r="W120" s="21"/>
      <c r="X120" s="9"/>
      <c r="Z120" s="22"/>
      <c r="AD120" s="22"/>
      <c r="AF120" s="24"/>
      <c r="AI120" s="21"/>
      <c r="AJ120" s="21"/>
      <c r="AK120" s="21"/>
      <c r="AL120" s="21"/>
      <c r="AM120" s="21"/>
      <c r="AN120" s="21"/>
      <c r="AO120" s="21"/>
      <c r="AP120" s="21"/>
      <c r="AQ120" s="22"/>
      <c r="AR120" s="21"/>
    </row>
    <row r="121" spans="1:44" x14ac:dyDescent="0.2">
      <c r="A121" s="21"/>
      <c r="B121" s="21"/>
      <c r="C121" s="21"/>
      <c r="D121" s="21"/>
      <c r="E121" s="21"/>
      <c r="G121" s="21"/>
      <c r="H121" s="21"/>
      <c r="I121" s="21"/>
      <c r="J121" s="21"/>
      <c r="M121" s="21"/>
      <c r="O121" s="21"/>
      <c r="Q121" s="21"/>
      <c r="T121" s="21"/>
      <c r="U121" s="21"/>
      <c r="V121" s="9"/>
      <c r="W121" s="21"/>
      <c r="X121" s="9"/>
      <c r="Z121" s="22"/>
      <c r="AD121" s="22"/>
      <c r="AF121" s="24"/>
      <c r="AI121" s="21"/>
      <c r="AJ121" s="21"/>
      <c r="AK121" s="21"/>
      <c r="AL121" s="21"/>
      <c r="AM121" s="21"/>
      <c r="AN121" s="21"/>
      <c r="AO121" s="21"/>
      <c r="AP121" s="21"/>
      <c r="AQ121" s="22"/>
      <c r="AR121" s="21"/>
    </row>
    <row r="122" spans="1:44" x14ac:dyDescent="0.2">
      <c r="A122" s="21"/>
      <c r="B122" s="21"/>
      <c r="C122" s="21"/>
      <c r="D122" s="21"/>
      <c r="E122" s="21"/>
      <c r="G122" s="21"/>
      <c r="H122" s="21"/>
      <c r="I122" s="21"/>
      <c r="J122" s="21"/>
      <c r="M122" s="21"/>
      <c r="O122" s="21"/>
      <c r="Q122" s="21"/>
      <c r="T122" s="21"/>
      <c r="U122" s="21"/>
      <c r="V122" s="9"/>
      <c r="W122" s="21"/>
      <c r="X122" s="9"/>
      <c r="Z122" s="22"/>
      <c r="AD122" s="22"/>
      <c r="AF122" s="24"/>
      <c r="AI122" s="21"/>
      <c r="AJ122" s="21"/>
      <c r="AK122" s="21"/>
      <c r="AL122" s="21"/>
      <c r="AM122" s="21"/>
      <c r="AN122" s="21"/>
      <c r="AO122" s="21"/>
      <c r="AP122" s="21"/>
      <c r="AQ122" s="22"/>
      <c r="AR122" s="21"/>
    </row>
    <row r="123" spans="1:44" x14ac:dyDescent="0.2">
      <c r="A123" s="21"/>
      <c r="B123" s="21"/>
      <c r="C123" s="21"/>
      <c r="D123" s="21"/>
      <c r="E123" s="21"/>
      <c r="G123" s="21"/>
      <c r="H123" s="21"/>
      <c r="I123" s="21"/>
      <c r="J123" s="21"/>
      <c r="M123" s="21"/>
      <c r="O123" s="21"/>
      <c r="Q123" s="21"/>
      <c r="T123" s="21"/>
      <c r="U123" s="21"/>
      <c r="V123" s="9"/>
      <c r="W123" s="21"/>
      <c r="X123" s="9"/>
      <c r="Z123" s="22"/>
      <c r="AD123" s="22"/>
      <c r="AF123" s="24"/>
      <c r="AI123" s="21"/>
      <c r="AJ123" s="21"/>
      <c r="AK123" s="21"/>
      <c r="AL123" s="21"/>
      <c r="AM123" s="21"/>
      <c r="AN123" s="21"/>
      <c r="AO123" s="21"/>
      <c r="AP123" s="21"/>
      <c r="AQ123" s="22"/>
      <c r="AR123" s="21"/>
    </row>
    <row r="124" spans="1:44" x14ac:dyDescent="0.2">
      <c r="A124" s="21"/>
      <c r="B124" s="21"/>
      <c r="C124" s="21"/>
      <c r="D124" s="21"/>
      <c r="E124" s="21"/>
      <c r="G124" s="21"/>
      <c r="H124" s="21"/>
      <c r="I124" s="21"/>
      <c r="J124" s="21"/>
      <c r="M124" s="21"/>
      <c r="O124" s="21"/>
      <c r="Q124" s="21"/>
      <c r="T124" s="21"/>
      <c r="U124" s="21"/>
      <c r="V124" s="9"/>
      <c r="W124" s="21"/>
      <c r="X124" s="9"/>
      <c r="Z124" s="22"/>
      <c r="AD124" s="22"/>
      <c r="AF124" s="24"/>
      <c r="AI124" s="21"/>
      <c r="AJ124" s="21"/>
      <c r="AK124" s="21"/>
      <c r="AL124" s="21"/>
      <c r="AM124" s="21"/>
      <c r="AN124" s="21"/>
      <c r="AO124" s="21"/>
      <c r="AP124" s="21"/>
      <c r="AQ124" s="22"/>
      <c r="AR124" s="21"/>
    </row>
    <row r="125" spans="1:44" x14ac:dyDescent="0.2">
      <c r="A125" s="21"/>
      <c r="B125" s="21"/>
      <c r="C125" s="21"/>
      <c r="D125" s="21"/>
      <c r="E125" s="21"/>
      <c r="G125" s="21"/>
      <c r="H125" s="21"/>
      <c r="I125" s="21"/>
      <c r="J125" s="21"/>
      <c r="M125" s="21"/>
      <c r="O125" s="21"/>
      <c r="Q125" s="21"/>
      <c r="T125" s="21"/>
      <c r="U125" s="21"/>
      <c r="V125" s="9"/>
      <c r="W125" s="21"/>
      <c r="X125" s="9"/>
      <c r="Z125" s="22"/>
      <c r="AD125" s="22"/>
      <c r="AF125" s="24"/>
      <c r="AI125" s="21"/>
      <c r="AJ125" s="21"/>
      <c r="AK125" s="21"/>
      <c r="AL125" s="21"/>
      <c r="AM125" s="21"/>
      <c r="AN125" s="21"/>
      <c r="AO125" s="21"/>
      <c r="AP125" s="21"/>
      <c r="AQ125" s="22"/>
      <c r="AR125" s="21"/>
    </row>
    <row r="126" spans="1:44" x14ac:dyDescent="0.2">
      <c r="A126" s="21"/>
      <c r="B126" s="21"/>
      <c r="C126" s="21"/>
      <c r="D126" s="21"/>
      <c r="E126" s="21"/>
      <c r="G126" s="21"/>
      <c r="H126" s="21"/>
      <c r="I126" s="21"/>
      <c r="J126" s="21"/>
      <c r="M126" s="21"/>
      <c r="O126" s="21"/>
      <c r="Q126" s="21"/>
      <c r="T126" s="21"/>
      <c r="U126" s="21"/>
      <c r="V126" s="9"/>
      <c r="W126" s="21"/>
      <c r="X126" s="9"/>
      <c r="Z126" s="22"/>
      <c r="AD126" s="22"/>
      <c r="AF126" s="24"/>
      <c r="AI126" s="21"/>
      <c r="AJ126" s="21"/>
      <c r="AK126" s="21"/>
      <c r="AL126" s="21"/>
      <c r="AM126" s="21"/>
      <c r="AN126" s="21"/>
      <c r="AO126" s="21"/>
      <c r="AP126" s="21"/>
      <c r="AQ126" s="22"/>
      <c r="AR126" s="21"/>
    </row>
    <row r="127" spans="1:44" x14ac:dyDescent="0.2">
      <c r="A127" s="21"/>
      <c r="B127" s="21"/>
      <c r="C127" s="21"/>
      <c r="D127" s="21"/>
      <c r="E127" s="21"/>
      <c r="G127" s="21"/>
      <c r="H127" s="21"/>
      <c r="I127" s="21"/>
      <c r="J127" s="21"/>
      <c r="M127" s="21"/>
      <c r="O127" s="21"/>
      <c r="Q127" s="21"/>
      <c r="T127" s="21"/>
      <c r="U127" s="21"/>
      <c r="V127" s="9"/>
      <c r="W127" s="21"/>
      <c r="X127" s="9"/>
      <c r="Z127" s="22"/>
      <c r="AD127" s="22"/>
      <c r="AF127" s="24"/>
      <c r="AI127" s="21"/>
      <c r="AJ127" s="21"/>
      <c r="AK127" s="21"/>
      <c r="AL127" s="21"/>
      <c r="AM127" s="21"/>
      <c r="AN127" s="21"/>
      <c r="AO127" s="21"/>
      <c r="AP127" s="21"/>
      <c r="AQ127" s="22"/>
      <c r="AR127" s="21"/>
    </row>
    <row r="128" spans="1:44" x14ac:dyDescent="0.2">
      <c r="A128" s="21"/>
      <c r="B128" s="21"/>
      <c r="C128" s="21"/>
      <c r="D128" s="21"/>
      <c r="E128" s="21"/>
      <c r="G128" s="21"/>
      <c r="H128" s="21"/>
      <c r="I128" s="21"/>
      <c r="J128" s="21"/>
      <c r="M128" s="21"/>
      <c r="O128" s="21"/>
      <c r="Q128" s="21"/>
      <c r="T128" s="21"/>
      <c r="U128" s="21"/>
      <c r="V128" s="9"/>
      <c r="W128" s="21"/>
      <c r="X128" s="9"/>
      <c r="Z128" s="22"/>
      <c r="AD128" s="22"/>
      <c r="AF128" s="24"/>
      <c r="AI128" s="21"/>
      <c r="AJ128" s="21"/>
      <c r="AK128" s="21"/>
      <c r="AL128" s="21"/>
      <c r="AM128" s="21"/>
      <c r="AN128" s="21"/>
      <c r="AO128" s="21"/>
      <c r="AP128" s="21"/>
      <c r="AQ128" s="22"/>
      <c r="AR128" s="21"/>
    </row>
    <row r="129" spans="1:44" x14ac:dyDescent="0.2">
      <c r="A129" s="21"/>
      <c r="B129" s="21"/>
      <c r="C129" s="21"/>
      <c r="D129" s="21"/>
      <c r="E129" s="21"/>
      <c r="G129" s="21"/>
      <c r="H129" s="21"/>
      <c r="I129" s="21"/>
      <c r="J129" s="21"/>
      <c r="M129" s="21"/>
      <c r="O129" s="21"/>
      <c r="Q129" s="21"/>
      <c r="T129" s="21"/>
      <c r="U129" s="21"/>
      <c r="V129" s="9"/>
      <c r="W129" s="21"/>
      <c r="X129" s="9"/>
      <c r="Z129" s="22"/>
      <c r="AD129" s="22"/>
      <c r="AF129" s="24"/>
      <c r="AI129" s="21"/>
      <c r="AJ129" s="21"/>
      <c r="AK129" s="21"/>
      <c r="AL129" s="21"/>
      <c r="AM129" s="21"/>
      <c r="AN129" s="21"/>
      <c r="AO129" s="21"/>
      <c r="AP129" s="21"/>
      <c r="AQ129" s="22"/>
      <c r="AR129" s="21"/>
    </row>
    <row r="130" spans="1:44" x14ac:dyDescent="0.2">
      <c r="A130" s="21"/>
      <c r="B130" s="21"/>
      <c r="C130" s="21"/>
      <c r="D130" s="21"/>
      <c r="E130" s="21"/>
      <c r="G130" s="21"/>
      <c r="H130" s="21"/>
      <c r="I130" s="21"/>
      <c r="J130" s="21"/>
      <c r="M130" s="21"/>
      <c r="O130" s="21"/>
      <c r="Q130" s="21"/>
      <c r="T130" s="21"/>
      <c r="U130" s="21"/>
      <c r="V130" s="9"/>
      <c r="W130" s="21"/>
      <c r="X130" s="9"/>
      <c r="Z130" s="22"/>
      <c r="AD130" s="22"/>
      <c r="AF130" s="24"/>
      <c r="AI130" s="21"/>
      <c r="AJ130" s="21"/>
      <c r="AK130" s="21"/>
      <c r="AL130" s="21"/>
      <c r="AM130" s="21"/>
      <c r="AN130" s="21"/>
      <c r="AO130" s="21"/>
      <c r="AP130" s="21"/>
      <c r="AQ130" s="22"/>
      <c r="AR130" s="21"/>
    </row>
    <row r="131" spans="1:44" x14ac:dyDescent="0.2">
      <c r="A131" s="21"/>
      <c r="B131" s="21"/>
      <c r="C131" s="21"/>
      <c r="D131" s="21"/>
      <c r="E131" s="21"/>
      <c r="G131" s="21"/>
      <c r="H131" s="21"/>
      <c r="I131" s="21"/>
      <c r="J131" s="21"/>
      <c r="M131" s="21"/>
      <c r="O131" s="21"/>
      <c r="Q131" s="21"/>
      <c r="T131" s="21"/>
      <c r="U131" s="21"/>
      <c r="V131" s="9"/>
      <c r="W131" s="21"/>
      <c r="X131" s="9"/>
      <c r="Z131" s="22"/>
      <c r="AD131" s="22"/>
      <c r="AF131" s="24"/>
      <c r="AI131" s="21"/>
      <c r="AJ131" s="21"/>
      <c r="AK131" s="21"/>
      <c r="AL131" s="21"/>
      <c r="AM131" s="21"/>
      <c r="AN131" s="21"/>
      <c r="AO131" s="21"/>
      <c r="AP131" s="21"/>
      <c r="AQ131" s="22"/>
      <c r="AR131" s="21"/>
    </row>
    <row r="132" spans="1:44" x14ac:dyDescent="0.2">
      <c r="A132" s="21"/>
      <c r="B132" s="21"/>
      <c r="C132" s="21"/>
      <c r="D132" s="21"/>
      <c r="E132" s="21"/>
      <c r="G132" s="21"/>
      <c r="H132" s="21"/>
      <c r="I132" s="21"/>
      <c r="J132" s="21"/>
      <c r="M132" s="21"/>
      <c r="O132" s="21"/>
      <c r="Q132" s="21"/>
      <c r="T132" s="21"/>
      <c r="U132" s="21"/>
      <c r="V132" s="9"/>
      <c r="W132" s="21"/>
      <c r="X132" s="9"/>
      <c r="Z132" s="22"/>
      <c r="AD132" s="22"/>
      <c r="AF132" s="24"/>
      <c r="AI132" s="21"/>
      <c r="AJ132" s="21"/>
      <c r="AK132" s="21"/>
      <c r="AL132" s="21"/>
      <c r="AM132" s="21"/>
      <c r="AN132" s="21"/>
      <c r="AO132" s="21"/>
      <c r="AP132" s="21"/>
      <c r="AQ132" s="22"/>
      <c r="AR132" s="21"/>
    </row>
    <row r="133" spans="1:44" x14ac:dyDescent="0.2">
      <c r="A133" s="21"/>
      <c r="B133" s="21"/>
      <c r="C133" s="21"/>
      <c r="D133" s="21"/>
      <c r="E133" s="21"/>
      <c r="G133" s="21"/>
      <c r="H133" s="21"/>
      <c r="I133" s="21"/>
      <c r="J133" s="21"/>
      <c r="M133" s="21"/>
      <c r="O133" s="21"/>
      <c r="Q133" s="21"/>
      <c r="T133" s="21"/>
      <c r="U133" s="21"/>
      <c r="V133" s="9"/>
      <c r="W133" s="21"/>
      <c r="X133" s="9"/>
      <c r="Z133" s="22"/>
      <c r="AD133" s="22"/>
      <c r="AF133" s="24"/>
      <c r="AI133" s="21"/>
      <c r="AJ133" s="21"/>
      <c r="AK133" s="21"/>
      <c r="AL133" s="21"/>
      <c r="AM133" s="21"/>
      <c r="AN133" s="21"/>
      <c r="AO133" s="21"/>
      <c r="AP133" s="21"/>
      <c r="AQ133" s="22"/>
      <c r="AR133" s="21"/>
    </row>
    <row r="134" spans="1:44" x14ac:dyDescent="0.2">
      <c r="A134" s="21"/>
      <c r="B134" s="21"/>
      <c r="C134" s="21"/>
      <c r="D134" s="21"/>
      <c r="E134" s="21"/>
      <c r="G134" s="21"/>
      <c r="H134" s="21"/>
      <c r="I134" s="21"/>
      <c r="J134" s="21"/>
      <c r="M134" s="21"/>
      <c r="O134" s="21"/>
      <c r="Q134" s="21"/>
      <c r="T134" s="21"/>
      <c r="U134" s="21"/>
      <c r="V134" s="9"/>
      <c r="W134" s="21"/>
      <c r="X134" s="9"/>
      <c r="Z134" s="22"/>
      <c r="AD134" s="22"/>
      <c r="AF134" s="24"/>
      <c r="AI134" s="21"/>
      <c r="AJ134" s="21"/>
      <c r="AK134" s="21"/>
      <c r="AL134" s="21"/>
      <c r="AM134" s="21"/>
      <c r="AN134" s="21"/>
      <c r="AO134" s="21"/>
      <c r="AP134" s="21"/>
      <c r="AQ134" s="22"/>
      <c r="AR134" s="21"/>
    </row>
    <row r="135" spans="1:44" x14ac:dyDescent="0.2">
      <c r="A135" s="21"/>
      <c r="B135" s="21"/>
      <c r="C135" s="21"/>
      <c r="D135" s="21"/>
      <c r="E135" s="21"/>
      <c r="G135" s="21"/>
      <c r="H135" s="21"/>
      <c r="I135" s="21"/>
      <c r="J135" s="21"/>
      <c r="M135" s="21"/>
      <c r="O135" s="21"/>
      <c r="Q135" s="21"/>
      <c r="T135" s="21"/>
      <c r="U135" s="21"/>
      <c r="V135" s="9"/>
      <c r="W135" s="21"/>
      <c r="X135" s="9"/>
      <c r="Z135" s="22"/>
      <c r="AD135" s="22"/>
      <c r="AF135" s="24"/>
      <c r="AI135" s="21"/>
      <c r="AJ135" s="21"/>
      <c r="AK135" s="21"/>
      <c r="AL135" s="21"/>
      <c r="AM135" s="21"/>
      <c r="AN135" s="21"/>
      <c r="AO135" s="21"/>
      <c r="AP135" s="21"/>
      <c r="AQ135" s="22"/>
      <c r="AR135" s="21"/>
    </row>
    <row r="136" spans="1:44" x14ac:dyDescent="0.2">
      <c r="A136" s="21"/>
      <c r="B136" s="21"/>
      <c r="C136" s="21"/>
      <c r="D136" s="21"/>
      <c r="E136" s="21"/>
      <c r="G136" s="21"/>
      <c r="H136" s="21"/>
      <c r="I136" s="21"/>
      <c r="J136" s="21"/>
      <c r="M136" s="21"/>
      <c r="O136" s="21"/>
      <c r="Q136" s="21"/>
      <c r="T136" s="21"/>
      <c r="U136" s="21"/>
      <c r="V136" s="9"/>
      <c r="W136" s="21"/>
      <c r="X136" s="9"/>
      <c r="Z136" s="22"/>
      <c r="AD136" s="22"/>
      <c r="AF136" s="24"/>
      <c r="AI136" s="21"/>
      <c r="AJ136" s="21"/>
      <c r="AK136" s="21"/>
      <c r="AL136" s="21"/>
      <c r="AM136" s="21"/>
      <c r="AN136" s="21"/>
      <c r="AO136" s="21"/>
      <c r="AP136" s="21"/>
      <c r="AQ136" s="22"/>
      <c r="AR136" s="21"/>
    </row>
    <row r="137" spans="1:44" x14ac:dyDescent="0.2">
      <c r="A137" s="21"/>
      <c r="B137" s="21"/>
      <c r="C137" s="21"/>
      <c r="D137" s="21"/>
      <c r="E137" s="21"/>
      <c r="G137" s="21"/>
      <c r="H137" s="21"/>
      <c r="I137" s="21"/>
      <c r="J137" s="21"/>
      <c r="M137" s="21"/>
      <c r="O137" s="21"/>
      <c r="Q137" s="21"/>
      <c r="T137" s="21"/>
      <c r="U137" s="21"/>
      <c r="V137" s="9"/>
      <c r="W137" s="21"/>
      <c r="X137" s="9"/>
      <c r="Z137" s="22"/>
      <c r="AD137" s="22"/>
      <c r="AF137" s="24"/>
      <c r="AI137" s="21"/>
      <c r="AJ137" s="21"/>
      <c r="AK137" s="21"/>
      <c r="AL137" s="21"/>
      <c r="AM137" s="21"/>
      <c r="AN137" s="21"/>
      <c r="AO137" s="21"/>
      <c r="AP137" s="21"/>
      <c r="AQ137" s="22"/>
      <c r="AR137" s="21"/>
    </row>
    <row r="138" spans="1:44" x14ac:dyDescent="0.2">
      <c r="A138" s="21"/>
      <c r="B138" s="21"/>
      <c r="C138" s="21"/>
      <c r="D138" s="21"/>
      <c r="E138" s="21"/>
      <c r="G138" s="21"/>
      <c r="H138" s="21"/>
      <c r="I138" s="21"/>
      <c r="J138" s="21"/>
      <c r="M138" s="21"/>
      <c r="O138" s="21"/>
      <c r="Q138" s="21"/>
      <c r="T138" s="21"/>
      <c r="U138" s="21"/>
      <c r="V138" s="9"/>
      <c r="W138" s="21"/>
      <c r="X138" s="9"/>
      <c r="Z138" s="22"/>
      <c r="AD138" s="22"/>
      <c r="AF138" s="24"/>
      <c r="AI138" s="21"/>
      <c r="AJ138" s="21"/>
      <c r="AK138" s="21"/>
      <c r="AL138" s="21"/>
      <c r="AM138" s="21"/>
      <c r="AN138" s="21"/>
      <c r="AO138" s="21"/>
      <c r="AP138" s="21"/>
      <c r="AQ138" s="22"/>
      <c r="AR138" s="21"/>
    </row>
    <row r="139" spans="1:44" x14ac:dyDescent="0.2">
      <c r="A139" s="21"/>
      <c r="B139" s="21"/>
      <c r="C139" s="21"/>
      <c r="D139" s="21"/>
      <c r="E139" s="21"/>
      <c r="G139" s="21"/>
      <c r="H139" s="21"/>
      <c r="I139" s="21"/>
      <c r="J139" s="21"/>
      <c r="M139" s="21"/>
      <c r="O139" s="21"/>
      <c r="Q139" s="21"/>
      <c r="T139" s="21"/>
      <c r="U139" s="21"/>
      <c r="V139" s="9"/>
      <c r="W139" s="21"/>
      <c r="X139" s="9"/>
      <c r="Z139" s="22"/>
      <c r="AD139" s="22"/>
      <c r="AF139" s="24"/>
      <c r="AI139" s="21"/>
      <c r="AJ139" s="21"/>
      <c r="AK139" s="21"/>
      <c r="AL139" s="21"/>
      <c r="AM139" s="21"/>
      <c r="AN139" s="21"/>
      <c r="AO139" s="21"/>
      <c r="AP139" s="21"/>
      <c r="AQ139" s="22"/>
      <c r="AR139" s="21"/>
    </row>
    <row r="140" spans="1:44" x14ac:dyDescent="0.2">
      <c r="A140" s="21"/>
      <c r="B140" s="21"/>
      <c r="C140" s="21"/>
      <c r="D140" s="21"/>
      <c r="E140" s="21"/>
      <c r="G140" s="21"/>
      <c r="H140" s="21"/>
      <c r="I140" s="21"/>
      <c r="J140" s="21"/>
      <c r="M140" s="21"/>
      <c r="O140" s="21"/>
      <c r="Q140" s="21"/>
      <c r="T140" s="21"/>
      <c r="U140" s="21"/>
      <c r="V140" s="9"/>
      <c r="W140" s="21"/>
      <c r="X140" s="9"/>
      <c r="Z140" s="22"/>
      <c r="AD140" s="22"/>
      <c r="AF140" s="24"/>
      <c r="AI140" s="21"/>
      <c r="AJ140" s="21"/>
      <c r="AK140" s="21"/>
      <c r="AL140" s="21"/>
      <c r="AM140" s="21"/>
      <c r="AN140" s="21"/>
      <c r="AO140" s="21"/>
      <c r="AP140" s="21"/>
      <c r="AQ140" s="22"/>
      <c r="AR140" s="21"/>
    </row>
    <row r="141" spans="1:44" x14ac:dyDescent="0.2">
      <c r="A141" s="21"/>
      <c r="B141" s="21"/>
      <c r="C141" s="21"/>
      <c r="D141" s="21"/>
      <c r="E141" s="21"/>
      <c r="G141" s="21"/>
      <c r="H141" s="21"/>
      <c r="I141" s="21"/>
      <c r="J141" s="21"/>
      <c r="M141" s="21"/>
      <c r="O141" s="21"/>
      <c r="Q141" s="21"/>
      <c r="T141" s="21"/>
      <c r="U141" s="21"/>
      <c r="V141" s="9"/>
      <c r="W141" s="21"/>
      <c r="X141" s="9"/>
      <c r="Z141" s="22"/>
      <c r="AD141" s="22"/>
      <c r="AF141" s="24"/>
      <c r="AI141" s="21"/>
      <c r="AJ141" s="21"/>
      <c r="AK141" s="21"/>
      <c r="AL141" s="21"/>
      <c r="AM141" s="21"/>
      <c r="AN141" s="21"/>
      <c r="AO141" s="21"/>
      <c r="AP141" s="21"/>
      <c r="AQ141" s="22"/>
      <c r="AR141" s="21"/>
    </row>
    <row r="142" spans="1:44" x14ac:dyDescent="0.2">
      <c r="A142" s="21"/>
      <c r="B142" s="21"/>
      <c r="C142" s="21"/>
      <c r="D142" s="21"/>
      <c r="E142" s="21"/>
      <c r="G142" s="21"/>
      <c r="H142" s="21"/>
      <c r="I142" s="21"/>
      <c r="J142" s="21"/>
      <c r="M142" s="21"/>
      <c r="O142" s="21"/>
      <c r="Q142" s="21"/>
      <c r="T142" s="21"/>
      <c r="U142" s="21"/>
      <c r="V142" s="9"/>
      <c r="W142" s="21"/>
      <c r="X142" s="9"/>
      <c r="Z142" s="22"/>
      <c r="AD142" s="22"/>
      <c r="AF142" s="24"/>
      <c r="AI142" s="21"/>
      <c r="AJ142" s="21"/>
      <c r="AK142" s="21"/>
      <c r="AL142" s="21"/>
      <c r="AM142" s="21"/>
      <c r="AN142" s="21"/>
      <c r="AO142" s="21"/>
      <c r="AP142" s="21"/>
      <c r="AQ142" s="22"/>
      <c r="AR142" s="21"/>
    </row>
    <row r="143" spans="1:44" x14ac:dyDescent="0.2">
      <c r="A143" s="21"/>
      <c r="B143" s="21"/>
      <c r="C143" s="21"/>
      <c r="D143" s="21"/>
      <c r="E143" s="21"/>
      <c r="G143" s="21"/>
      <c r="H143" s="21"/>
      <c r="I143" s="21"/>
      <c r="J143" s="21"/>
      <c r="M143" s="21"/>
      <c r="O143" s="21"/>
      <c r="Q143" s="21"/>
      <c r="T143" s="21"/>
      <c r="U143" s="21"/>
      <c r="V143" s="9"/>
      <c r="W143" s="21"/>
      <c r="X143" s="9"/>
      <c r="Z143" s="22"/>
      <c r="AD143" s="22"/>
      <c r="AF143" s="24"/>
      <c r="AI143" s="21"/>
      <c r="AJ143" s="21"/>
      <c r="AK143" s="21"/>
      <c r="AL143" s="21"/>
      <c r="AM143" s="21"/>
      <c r="AN143" s="21"/>
      <c r="AO143" s="21"/>
      <c r="AP143" s="21"/>
      <c r="AQ143" s="22"/>
      <c r="AR143" s="21"/>
    </row>
    <row r="144" spans="1:44" x14ac:dyDescent="0.2">
      <c r="A144" s="21"/>
      <c r="B144" s="21"/>
      <c r="C144" s="21"/>
      <c r="D144" s="21"/>
      <c r="E144" s="21"/>
      <c r="G144" s="21"/>
      <c r="H144" s="21"/>
      <c r="I144" s="21"/>
      <c r="J144" s="21"/>
      <c r="M144" s="21"/>
      <c r="O144" s="21"/>
      <c r="Q144" s="21"/>
      <c r="T144" s="21"/>
      <c r="U144" s="21"/>
      <c r="V144" s="9"/>
      <c r="W144" s="21"/>
      <c r="X144" s="9"/>
      <c r="Z144" s="22"/>
      <c r="AD144" s="22"/>
      <c r="AF144" s="24"/>
      <c r="AI144" s="21"/>
      <c r="AJ144" s="21"/>
      <c r="AK144" s="21"/>
      <c r="AL144" s="21"/>
      <c r="AM144" s="21"/>
      <c r="AN144" s="21"/>
      <c r="AO144" s="21"/>
      <c r="AP144" s="21"/>
      <c r="AQ144" s="22"/>
      <c r="AR144" s="21"/>
    </row>
    <row r="145" spans="1:44" x14ac:dyDescent="0.2">
      <c r="A145" s="21"/>
      <c r="B145" s="21"/>
      <c r="C145" s="21"/>
      <c r="D145" s="21"/>
      <c r="E145" s="21"/>
      <c r="G145" s="21"/>
      <c r="H145" s="21"/>
      <c r="I145" s="21"/>
      <c r="J145" s="21"/>
      <c r="M145" s="21"/>
      <c r="O145" s="21"/>
      <c r="Q145" s="21"/>
      <c r="T145" s="21"/>
      <c r="U145" s="21"/>
      <c r="V145" s="9"/>
      <c r="W145" s="21"/>
      <c r="X145" s="9"/>
      <c r="Z145" s="22"/>
      <c r="AD145" s="22"/>
      <c r="AF145" s="24"/>
      <c r="AI145" s="21"/>
      <c r="AJ145" s="21"/>
      <c r="AK145" s="21"/>
      <c r="AL145" s="21"/>
      <c r="AM145" s="21"/>
      <c r="AN145" s="21"/>
      <c r="AO145" s="21"/>
      <c r="AP145" s="21"/>
      <c r="AQ145" s="22"/>
      <c r="AR145" s="21"/>
    </row>
    <row r="146" spans="1:44" x14ac:dyDescent="0.2">
      <c r="A146" s="21"/>
      <c r="B146" s="21"/>
      <c r="C146" s="21"/>
      <c r="D146" s="21"/>
      <c r="E146" s="21"/>
      <c r="G146" s="21"/>
      <c r="H146" s="21"/>
      <c r="I146" s="21"/>
      <c r="J146" s="21"/>
      <c r="M146" s="21"/>
      <c r="O146" s="21"/>
      <c r="Q146" s="21"/>
      <c r="T146" s="21"/>
      <c r="U146" s="21"/>
      <c r="V146" s="9"/>
      <c r="W146" s="21"/>
      <c r="X146" s="9"/>
      <c r="Z146" s="22"/>
      <c r="AD146" s="22"/>
      <c r="AF146" s="24"/>
      <c r="AI146" s="21"/>
      <c r="AJ146" s="21"/>
      <c r="AK146" s="21"/>
      <c r="AL146" s="21"/>
      <c r="AN146" s="21"/>
      <c r="AO146" s="21"/>
      <c r="AP146" s="21"/>
      <c r="AQ146" s="22"/>
      <c r="AR146" s="21"/>
    </row>
    <row r="147" spans="1:44" x14ac:dyDescent="0.2">
      <c r="A147" s="21"/>
      <c r="B147" s="21"/>
      <c r="C147" s="21"/>
      <c r="D147" s="21"/>
      <c r="E147" s="21"/>
      <c r="G147" s="21"/>
      <c r="H147" s="21"/>
      <c r="I147" s="21"/>
      <c r="J147" s="21"/>
      <c r="M147" s="21"/>
      <c r="O147" s="21"/>
      <c r="Q147" s="21"/>
      <c r="T147" s="21"/>
      <c r="U147" s="21"/>
      <c r="V147" s="9"/>
      <c r="W147" s="21"/>
      <c r="X147" s="9"/>
      <c r="Z147" s="22"/>
      <c r="AD147" s="22"/>
      <c r="AF147" s="24"/>
      <c r="AI147" s="21"/>
      <c r="AJ147" s="21"/>
      <c r="AK147" s="21"/>
      <c r="AL147" s="21"/>
      <c r="AN147" s="21"/>
      <c r="AO147" s="21"/>
      <c r="AP147" s="21"/>
      <c r="AQ147" s="22"/>
      <c r="AR147" s="21"/>
    </row>
    <row r="148" spans="1:44" x14ac:dyDescent="0.2">
      <c r="A148" s="21"/>
      <c r="B148" s="21"/>
      <c r="C148" s="21"/>
      <c r="D148" s="21"/>
      <c r="E148" s="21"/>
      <c r="G148" s="21"/>
      <c r="H148" s="21"/>
      <c r="I148" s="21"/>
      <c r="J148" s="21"/>
      <c r="M148" s="21"/>
      <c r="O148" s="21"/>
      <c r="Q148" s="21"/>
      <c r="T148" s="21"/>
      <c r="U148" s="21"/>
      <c r="V148" s="9"/>
      <c r="W148" s="21"/>
      <c r="X148" s="9"/>
      <c r="Z148" s="22"/>
      <c r="AD148" s="22"/>
      <c r="AF148" s="24"/>
      <c r="AI148" s="21"/>
      <c r="AJ148" s="21"/>
      <c r="AK148" s="21"/>
      <c r="AL148" s="21"/>
      <c r="AN148" s="21"/>
      <c r="AO148" s="21"/>
      <c r="AP148" s="21"/>
      <c r="AQ148" s="22"/>
      <c r="AR148" s="21"/>
    </row>
    <row r="149" spans="1:44" x14ac:dyDescent="0.2">
      <c r="A149" s="21"/>
      <c r="B149" s="21"/>
      <c r="C149" s="21"/>
      <c r="D149" s="21"/>
      <c r="E149" s="21"/>
      <c r="G149" s="21"/>
      <c r="H149" s="21"/>
      <c r="I149" s="21"/>
      <c r="J149" s="21"/>
      <c r="M149" s="21"/>
      <c r="O149" s="21"/>
      <c r="Q149" s="21"/>
      <c r="T149" s="21"/>
      <c r="U149" s="21"/>
      <c r="V149" s="9"/>
      <c r="W149" s="21"/>
      <c r="X149" s="9"/>
      <c r="Z149" s="22"/>
      <c r="AD149" s="22"/>
      <c r="AF149" s="24"/>
      <c r="AI149" s="21"/>
      <c r="AJ149" s="21"/>
      <c r="AK149" s="21"/>
      <c r="AL149" s="21"/>
      <c r="AN149" s="21"/>
      <c r="AO149" s="21"/>
      <c r="AP149" s="21"/>
      <c r="AQ149" s="22"/>
      <c r="AR149" s="21"/>
    </row>
    <row r="150" spans="1:44" x14ac:dyDescent="0.2">
      <c r="A150" s="21"/>
      <c r="B150" s="21"/>
      <c r="C150" s="21"/>
      <c r="D150" s="21"/>
      <c r="E150" s="21"/>
      <c r="G150" s="21"/>
      <c r="H150" s="21"/>
      <c r="I150" s="21"/>
      <c r="J150" s="21"/>
      <c r="M150" s="21"/>
      <c r="O150" s="21"/>
      <c r="Q150" s="21"/>
      <c r="T150" s="21"/>
      <c r="U150" s="21"/>
      <c r="V150" s="9"/>
      <c r="W150" s="21"/>
      <c r="X150" s="9"/>
      <c r="Z150" s="22"/>
      <c r="AD150" s="22"/>
      <c r="AF150" s="24"/>
      <c r="AI150" s="21"/>
      <c r="AJ150" s="21"/>
      <c r="AK150" s="21"/>
      <c r="AL150" s="21"/>
      <c r="AN150" s="21"/>
      <c r="AO150" s="21"/>
      <c r="AP150" s="21"/>
      <c r="AQ150" s="22"/>
      <c r="AR150" s="21"/>
    </row>
    <row r="151" spans="1:44" x14ac:dyDescent="0.2">
      <c r="A151" s="21"/>
      <c r="B151" s="21"/>
      <c r="C151" s="21"/>
      <c r="D151" s="21"/>
      <c r="E151" s="21"/>
      <c r="G151" s="21"/>
      <c r="H151" s="21"/>
      <c r="I151" s="21"/>
      <c r="J151" s="21"/>
      <c r="M151" s="21"/>
      <c r="O151" s="21"/>
      <c r="Q151" s="21"/>
      <c r="T151" s="21"/>
      <c r="U151" s="21"/>
      <c r="V151" s="9"/>
      <c r="W151" s="21"/>
      <c r="X151" s="9"/>
      <c r="Z151" s="22"/>
      <c r="AD151" s="22"/>
      <c r="AF151" s="24"/>
      <c r="AI151" s="21"/>
      <c r="AJ151" s="21"/>
      <c r="AK151" s="21"/>
      <c r="AL151" s="21"/>
      <c r="AN151" s="21"/>
      <c r="AO151" s="21"/>
      <c r="AP151" s="21"/>
      <c r="AQ151" s="22"/>
      <c r="AR151" s="21"/>
    </row>
    <row r="152" spans="1:44" x14ac:dyDescent="0.2">
      <c r="A152" s="21"/>
      <c r="B152" s="21"/>
      <c r="C152" s="21"/>
      <c r="D152" s="21"/>
      <c r="E152" s="21"/>
      <c r="G152" s="21"/>
      <c r="H152" s="21"/>
      <c r="I152" s="21"/>
      <c r="J152" s="21"/>
      <c r="M152" s="21"/>
      <c r="O152" s="21"/>
      <c r="Q152" s="21"/>
      <c r="T152" s="21"/>
      <c r="U152" s="21"/>
      <c r="V152" s="9"/>
      <c r="W152" s="21"/>
      <c r="X152" s="9"/>
      <c r="Z152" s="22"/>
      <c r="AD152" s="22"/>
      <c r="AF152" s="24"/>
      <c r="AI152" s="21"/>
      <c r="AJ152" s="21"/>
      <c r="AK152" s="21"/>
      <c r="AL152" s="21"/>
      <c r="AM152" s="21"/>
      <c r="AN152" s="21"/>
      <c r="AO152" s="21"/>
      <c r="AP152" s="21"/>
      <c r="AQ152" s="22"/>
      <c r="AR152" s="21"/>
    </row>
    <row r="153" spans="1:44" x14ac:dyDescent="0.2">
      <c r="A153" s="21"/>
      <c r="B153" s="21"/>
      <c r="C153" s="21"/>
      <c r="D153" s="21"/>
      <c r="E153" s="21"/>
      <c r="G153" s="21"/>
      <c r="H153" s="21"/>
      <c r="I153" s="21"/>
      <c r="J153" s="21"/>
      <c r="M153" s="21"/>
      <c r="O153" s="21"/>
      <c r="Q153" s="21"/>
      <c r="T153" s="21"/>
      <c r="U153" s="21"/>
      <c r="V153" s="9"/>
      <c r="W153" s="21"/>
      <c r="X153" s="9"/>
      <c r="Z153" s="22"/>
      <c r="AD153" s="22"/>
      <c r="AF153" s="24"/>
      <c r="AI153" s="21"/>
      <c r="AJ153" s="21"/>
      <c r="AK153" s="21"/>
      <c r="AL153" s="21"/>
      <c r="AM153" s="21"/>
      <c r="AN153" s="21"/>
      <c r="AO153" s="21"/>
      <c r="AP153" s="21"/>
      <c r="AQ153" s="22"/>
      <c r="AR153" s="21"/>
    </row>
    <row r="154" spans="1:44" x14ac:dyDescent="0.2">
      <c r="A154" s="21"/>
      <c r="B154" s="21"/>
      <c r="C154" s="21"/>
      <c r="D154" s="21"/>
      <c r="E154" s="21"/>
      <c r="G154" s="21"/>
      <c r="H154" s="21"/>
      <c r="I154" s="21"/>
      <c r="J154" s="21"/>
      <c r="M154" s="21"/>
      <c r="O154" s="21"/>
      <c r="Q154" s="21"/>
      <c r="T154" s="21"/>
      <c r="U154" s="21"/>
      <c r="V154" s="9"/>
      <c r="W154" s="21"/>
      <c r="X154" s="9"/>
      <c r="Z154" s="22"/>
      <c r="AD154" s="22"/>
      <c r="AF154" s="24"/>
      <c r="AI154" s="21"/>
      <c r="AJ154" s="21"/>
      <c r="AK154" s="21"/>
      <c r="AL154" s="21"/>
      <c r="AM154" s="21"/>
      <c r="AN154" s="21"/>
      <c r="AO154" s="21"/>
      <c r="AP154" s="21"/>
      <c r="AQ154" s="22"/>
      <c r="AR154" s="21"/>
    </row>
    <row r="155" spans="1:44" x14ac:dyDescent="0.2">
      <c r="A155" s="21"/>
      <c r="B155" s="21"/>
      <c r="C155" s="21"/>
      <c r="D155" s="21"/>
      <c r="E155" s="21"/>
      <c r="G155" s="21"/>
      <c r="H155" s="21"/>
      <c r="I155" s="21"/>
      <c r="J155" s="21"/>
      <c r="M155" s="21"/>
      <c r="O155" s="21"/>
      <c r="Q155" s="21"/>
      <c r="T155" s="21"/>
      <c r="U155" s="21"/>
      <c r="V155" s="9"/>
      <c r="W155" s="21"/>
      <c r="X155" s="9"/>
      <c r="Z155" s="22"/>
      <c r="AD155" s="22"/>
      <c r="AF155" s="24"/>
      <c r="AI155" s="21"/>
      <c r="AJ155" s="21"/>
      <c r="AK155" s="21"/>
      <c r="AL155" s="21"/>
      <c r="AM155" s="21"/>
      <c r="AN155" s="21"/>
      <c r="AO155" s="21"/>
      <c r="AP155" s="21"/>
      <c r="AQ155" s="22"/>
      <c r="AR155" s="21"/>
    </row>
    <row r="156" spans="1:44" x14ac:dyDescent="0.2">
      <c r="A156" s="21"/>
      <c r="B156" s="21"/>
      <c r="C156" s="21"/>
      <c r="D156" s="21"/>
      <c r="E156" s="21"/>
      <c r="G156" s="21"/>
      <c r="H156" s="21"/>
      <c r="I156" s="21"/>
      <c r="J156" s="21"/>
      <c r="M156" s="21"/>
      <c r="O156" s="21"/>
      <c r="Q156" s="21"/>
      <c r="T156" s="21"/>
      <c r="U156" s="21"/>
      <c r="V156" s="9"/>
      <c r="W156" s="21"/>
      <c r="X156" s="9"/>
      <c r="Z156" s="22"/>
      <c r="AD156" s="22"/>
      <c r="AF156" s="24"/>
      <c r="AI156" s="21"/>
      <c r="AJ156" s="21"/>
      <c r="AK156" s="21"/>
      <c r="AL156" s="21"/>
      <c r="AM156" s="21"/>
      <c r="AN156" s="21"/>
      <c r="AO156" s="21"/>
      <c r="AP156" s="21"/>
      <c r="AQ156" s="22"/>
      <c r="AR156" s="21"/>
    </row>
    <row r="157" spans="1:44" x14ac:dyDescent="0.2">
      <c r="A157" s="21"/>
      <c r="B157" s="21"/>
      <c r="C157" s="21"/>
      <c r="D157" s="21"/>
      <c r="E157" s="21"/>
      <c r="G157" s="21"/>
      <c r="H157" s="21"/>
      <c r="I157" s="21"/>
      <c r="J157" s="21"/>
      <c r="M157" s="21"/>
      <c r="O157" s="21"/>
      <c r="Q157" s="21"/>
      <c r="T157" s="21"/>
      <c r="U157" s="21"/>
      <c r="V157" s="9"/>
      <c r="W157" s="21"/>
      <c r="X157" s="9"/>
      <c r="Z157" s="22"/>
      <c r="AD157" s="22"/>
      <c r="AF157" s="24"/>
      <c r="AI157" s="21"/>
      <c r="AJ157" s="21"/>
      <c r="AK157" s="21"/>
      <c r="AL157" s="21"/>
      <c r="AM157" s="21"/>
      <c r="AN157" s="21"/>
      <c r="AO157" s="21"/>
      <c r="AP157" s="21"/>
      <c r="AQ157" s="22"/>
      <c r="AR157" s="21"/>
    </row>
    <row r="158" spans="1:44" x14ac:dyDescent="0.2">
      <c r="A158" s="21"/>
      <c r="B158" s="21"/>
      <c r="C158" s="21"/>
      <c r="D158" s="21"/>
      <c r="E158" s="21"/>
      <c r="G158" s="21"/>
      <c r="H158" s="21"/>
      <c r="I158" s="21"/>
      <c r="J158" s="21"/>
      <c r="M158" s="21"/>
      <c r="O158" s="21"/>
      <c r="Q158" s="21"/>
      <c r="T158" s="21"/>
      <c r="U158" s="21"/>
      <c r="V158" s="9"/>
      <c r="W158" s="21"/>
      <c r="X158" s="9"/>
      <c r="Z158" s="22"/>
      <c r="AD158" s="22"/>
      <c r="AF158" s="24"/>
      <c r="AI158" s="21"/>
      <c r="AJ158" s="21"/>
      <c r="AK158" s="21"/>
      <c r="AL158" s="21"/>
      <c r="AM158" s="21"/>
      <c r="AN158" s="21"/>
      <c r="AO158" s="21"/>
      <c r="AP158" s="21"/>
      <c r="AQ158" s="22"/>
      <c r="AR158" s="21"/>
    </row>
    <row r="159" spans="1:44" x14ac:dyDescent="0.2">
      <c r="A159" s="21"/>
      <c r="B159" s="21"/>
      <c r="C159" s="21"/>
      <c r="D159" s="21"/>
      <c r="E159" s="21"/>
      <c r="G159" s="21"/>
      <c r="H159" s="21"/>
      <c r="I159" s="21"/>
      <c r="J159" s="21"/>
      <c r="M159" s="21"/>
      <c r="O159" s="21"/>
      <c r="Q159" s="21"/>
      <c r="T159" s="21"/>
      <c r="U159" s="21"/>
      <c r="V159" s="9"/>
      <c r="W159" s="21"/>
      <c r="X159" s="9"/>
      <c r="Z159" s="22"/>
      <c r="AD159" s="22"/>
      <c r="AF159" s="24"/>
      <c r="AI159" s="21"/>
      <c r="AJ159" s="21"/>
      <c r="AK159" s="21"/>
      <c r="AL159" s="21"/>
      <c r="AM159" s="21"/>
      <c r="AN159" s="21"/>
      <c r="AO159" s="21"/>
      <c r="AP159" s="21"/>
      <c r="AQ159" s="22"/>
      <c r="AR159" s="21"/>
    </row>
    <row r="160" spans="1:44" x14ac:dyDescent="0.2">
      <c r="A160" s="21"/>
      <c r="B160" s="21"/>
      <c r="C160" s="21"/>
      <c r="D160" s="21"/>
      <c r="E160" s="21"/>
      <c r="G160" s="21"/>
      <c r="H160" s="21"/>
      <c r="I160" s="21"/>
      <c r="J160" s="21"/>
      <c r="M160" s="21"/>
      <c r="O160" s="21"/>
      <c r="Q160" s="21"/>
      <c r="T160" s="21"/>
      <c r="U160" s="21"/>
      <c r="V160" s="9"/>
      <c r="W160" s="21"/>
      <c r="X160" s="9"/>
      <c r="Z160" s="22"/>
      <c r="AD160" s="22"/>
      <c r="AF160" s="24"/>
      <c r="AI160" s="21"/>
      <c r="AJ160" s="21"/>
      <c r="AK160" s="21"/>
      <c r="AL160" s="21"/>
      <c r="AM160" s="21"/>
      <c r="AN160" s="21"/>
      <c r="AO160" s="21"/>
      <c r="AP160" s="21"/>
      <c r="AQ160" s="22"/>
      <c r="AR160" s="21"/>
    </row>
    <row r="161" spans="1:44" x14ac:dyDescent="0.2">
      <c r="A161" s="21"/>
      <c r="B161" s="21"/>
      <c r="C161" s="21"/>
      <c r="D161" s="21"/>
      <c r="E161" s="21"/>
      <c r="G161" s="21"/>
      <c r="H161" s="21"/>
      <c r="I161" s="21"/>
      <c r="J161" s="21"/>
      <c r="M161" s="21"/>
      <c r="O161" s="21"/>
      <c r="Q161" s="21"/>
      <c r="T161" s="21"/>
      <c r="U161" s="21"/>
      <c r="V161" s="9"/>
      <c r="W161" s="21"/>
      <c r="X161" s="9"/>
      <c r="Z161" s="22"/>
      <c r="AD161" s="22"/>
      <c r="AF161" s="24"/>
      <c r="AI161" s="21"/>
      <c r="AJ161" s="21"/>
      <c r="AK161" s="21"/>
      <c r="AL161" s="21"/>
      <c r="AM161" s="21"/>
      <c r="AN161" s="21"/>
      <c r="AO161" s="21"/>
      <c r="AP161" s="21"/>
      <c r="AQ161" s="22"/>
      <c r="AR161" s="21"/>
    </row>
    <row r="162" spans="1:44" x14ac:dyDescent="0.2">
      <c r="A162" s="21"/>
      <c r="B162" s="21"/>
      <c r="C162" s="21"/>
      <c r="D162" s="21"/>
      <c r="E162" s="21"/>
      <c r="G162" s="21"/>
      <c r="H162" s="21"/>
      <c r="I162" s="21"/>
      <c r="J162" s="21"/>
      <c r="M162" s="21"/>
      <c r="O162" s="21"/>
      <c r="Q162" s="21"/>
      <c r="T162" s="21"/>
      <c r="U162" s="21"/>
      <c r="V162" s="9"/>
      <c r="W162" s="21"/>
      <c r="X162" s="9"/>
      <c r="Z162" s="22"/>
      <c r="AD162" s="22"/>
      <c r="AF162" s="24"/>
      <c r="AI162" s="21"/>
      <c r="AJ162" s="21"/>
      <c r="AK162" s="21"/>
      <c r="AL162" s="21"/>
      <c r="AM162" s="21"/>
      <c r="AN162" s="21"/>
      <c r="AO162" s="21"/>
      <c r="AP162" s="21"/>
      <c r="AQ162" s="22"/>
      <c r="AR162" s="21"/>
    </row>
    <row r="163" spans="1:44" x14ac:dyDescent="0.2">
      <c r="A163" s="21"/>
      <c r="B163" s="21"/>
      <c r="C163" s="21"/>
      <c r="D163" s="21"/>
      <c r="E163" s="21"/>
      <c r="G163" s="21"/>
      <c r="H163" s="21"/>
      <c r="I163" s="21"/>
      <c r="J163" s="21"/>
      <c r="M163" s="21"/>
      <c r="O163" s="21"/>
      <c r="Q163" s="21"/>
      <c r="T163" s="21"/>
      <c r="U163" s="21"/>
      <c r="V163" s="9"/>
      <c r="W163" s="21"/>
      <c r="X163" s="9"/>
      <c r="Z163" s="22"/>
      <c r="AD163" s="22"/>
      <c r="AF163" s="24"/>
      <c r="AI163" s="21"/>
      <c r="AJ163" s="21"/>
      <c r="AK163" s="21"/>
      <c r="AL163" s="21"/>
      <c r="AM163" s="21"/>
      <c r="AN163" s="21"/>
      <c r="AO163" s="21"/>
      <c r="AP163" s="21"/>
      <c r="AQ163" s="22"/>
      <c r="AR163" s="21"/>
    </row>
    <row r="164" spans="1:44" x14ac:dyDescent="0.2">
      <c r="A164" s="21"/>
      <c r="B164" s="21"/>
      <c r="C164" s="21"/>
      <c r="D164" s="21"/>
      <c r="E164" s="21"/>
      <c r="G164" s="21"/>
      <c r="H164" s="21"/>
      <c r="I164" s="21"/>
      <c r="J164" s="21"/>
      <c r="M164" s="21"/>
      <c r="O164" s="21"/>
      <c r="Q164" s="21"/>
      <c r="T164" s="21"/>
      <c r="U164" s="21"/>
      <c r="V164" s="9"/>
      <c r="W164" s="21"/>
      <c r="X164" s="9"/>
      <c r="Z164" s="22"/>
      <c r="AD164" s="22"/>
      <c r="AF164" s="24"/>
      <c r="AI164" s="21"/>
      <c r="AJ164" s="21"/>
      <c r="AK164" s="21"/>
      <c r="AL164" s="21"/>
      <c r="AM164" s="21"/>
      <c r="AN164" s="21"/>
      <c r="AO164" s="21"/>
      <c r="AP164" s="21"/>
      <c r="AQ164" s="22"/>
      <c r="AR164" s="21"/>
    </row>
    <row r="165" spans="1:44" x14ac:dyDescent="0.2">
      <c r="A165" s="21"/>
      <c r="B165" s="21"/>
      <c r="C165" s="21"/>
      <c r="D165" s="21"/>
      <c r="E165" s="21"/>
      <c r="G165" s="21"/>
      <c r="H165" s="21"/>
      <c r="I165" s="21"/>
      <c r="J165" s="21"/>
      <c r="M165" s="21"/>
      <c r="O165" s="21"/>
      <c r="Q165" s="21"/>
      <c r="T165" s="21"/>
      <c r="U165" s="21"/>
      <c r="V165" s="9"/>
      <c r="W165" s="21"/>
      <c r="X165" s="9"/>
      <c r="Z165" s="22"/>
      <c r="AD165" s="22"/>
      <c r="AF165" s="24"/>
      <c r="AI165" s="21"/>
      <c r="AJ165" s="21"/>
      <c r="AK165" s="21"/>
      <c r="AL165" s="21"/>
      <c r="AM165" s="21"/>
      <c r="AN165" s="21"/>
      <c r="AO165" s="21"/>
      <c r="AP165" s="21"/>
      <c r="AQ165" s="22"/>
      <c r="AR165" s="21"/>
    </row>
    <row r="166" spans="1:44" x14ac:dyDescent="0.2">
      <c r="A166" s="21"/>
      <c r="B166" s="21"/>
      <c r="C166" s="21"/>
      <c r="D166" s="21"/>
      <c r="E166" s="21"/>
      <c r="G166" s="21"/>
      <c r="H166" s="21"/>
      <c r="I166" s="21"/>
      <c r="J166" s="21"/>
      <c r="M166" s="21"/>
      <c r="O166" s="21"/>
      <c r="Q166" s="21"/>
      <c r="T166" s="21"/>
      <c r="U166" s="21"/>
      <c r="V166" s="9"/>
      <c r="W166" s="21"/>
      <c r="X166" s="9"/>
      <c r="Z166" s="22"/>
      <c r="AD166" s="22"/>
      <c r="AF166" s="24"/>
      <c r="AI166" s="21"/>
      <c r="AJ166" s="21"/>
      <c r="AK166" s="21"/>
      <c r="AL166" s="21"/>
      <c r="AM166" s="21"/>
      <c r="AN166" s="21"/>
      <c r="AO166" s="21"/>
      <c r="AP166" s="21"/>
      <c r="AQ166" s="22"/>
      <c r="AR166" s="21"/>
    </row>
    <row r="167" spans="1:44" x14ac:dyDescent="0.2">
      <c r="A167" s="21"/>
      <c r="B167" s="21"/>
      <c r="C167" s="21"/>
      <c r="D167" s="21"/>
      <c r="E167" s="21"/>
      <c r="G167" s="21"/>
      <c r="H167" s="21"/>
      <c r="I167" s="21"/>
      <c r="J167" s="21"/>
      <c r="M167" s="21"/>
      <c r="O167" s="21"/>
      <c r="Q167" s="21"/>
      <c r="T167" s="21"/>
      <c r="U167" s="21"/>
      <c r="V167" s="9"/>
      <c r="W167" s="21"/>
      <c r="X167" s="9"/>
      <c r="Z167" s="22"/>
      <c r="AD167" s="22"/>
      <c r="AF167" s="24"/>
      <c r="AI167" s="21"/>
      <c r="AJ167" s="21"/>
      <c r="AK167" s="21"/>
      <c r="AL167" s="21"/>
      <c r="AM167" s="21"/>
      <c r="AN167" s="21"/>
      <c r="AO167" s="21"/>
      <c r="AP167" s="21"/>
      <c r="AQ167" s="22"/>
      <c r="AR167" s="21"/>
    </row>
    <row r="168" spans="1:44" x14ac:dyDescent="0.2">
      <c r="A168" s="21"/>
      <c r="B168" s="21"/>
      <c r="C168" s="21"/>
      <c r="D168" s="21"/>
      <c r="E168" s="21"/>
      <c r="G168" s="21"/>
      <c r="H168" s="21"/>
      <c r="I168" s="21"/>
      <c r="J168" s="21"/>
      <c r="M168" s="21"/>
      <c r="O168" s="21"/>
      <c r="Q168" s="21"/>
      <c r="T168" s="21"/>
      <c r="U168" s="21"/>
      <c r="V168" s="9"/>
      <c r="W168" s="21"/>
      <c r="X168" s="9"/>
      <c r="Z168" s="22"/>
      <c r="AD168" s="22"/>
      <c r="AF168" s="24"/>
      <c r="AI168" s="21"/>
      <c r="AJ168" s="21"/>
      <c r="AK168" s="21"/>
      <c r="AL168" s="21"/>
      <c r="AM168" s="21"/>
      <c r="AN168" s="21"/>
      <c r="AO168" s="21"/>
      <c r="AP168" s="21"/>
      <c r="AQ168" s="22"/>
      <c r="AR168" s="21"/>
    </row>
    <row r="169" spans="1:44" x14ac:dyDescent="0.2">
      <c r="A169" s="21"/>
      <c r="B169" s="21"/>
      <c r="C169" s="21"/>
      <c r="D169" s="21"/>
      <c r="E169" s="21"/>
      <c r="G169" s="21"/>
      <c r="H169" s="21"/>
      <c r="I169" s="21"/>
      <c r="J169" s="21"/>
      <c r="M169" s="21"/>
      <c r="O169" s="21"/>
      <c r="Q169" s="21"/>
      <c r="T169" s="21"/>
      <c r="U169" s="21"/>
      <c r="V169" s="9"/>
      <c r="W169" s="21"/>
      <c r="X169" s="9"/>
      <c r="Z169" s="22"/>
      <c r="AD169" s="22"/>
      <c r="AF169" s="24"/>
      <c r="AI169" s="21"/>
      <c r="AJ169" s="21"/>
      <c r="AK169" s="21"/>
      <c r="AL169" s="21"/>
      <c r="AM169" s="21"/>
      <c r="AN169" s="21"/>
      <c r="AO169" s="21"/>
      <c r="AP169" s="21"/>
      <c r="AQ169" s="22"/>
      <c r="AR169" s="21"/>
    </row>
    <row r="170" spans="1:44" x14ac:dyDescent="0.2">
      <c r="A170" s="21"/>
      <c r="B170" s="21"/>
      <c r="C170" s="21"/>
      <c r="D170" s="21"/>
      <c r="E170" s="21"/>
      <c r="G170" s="21"/>
      <c r="H170" s="21"/>
      <c r="I170" s="21"/>
      <c r="J170" s="21"/>
      <c r="M170" s="21"/>
      <c r="O170" s="21"/>
      <c r="Q170" s="21"/>
      <c r="T170" s="21"/>
      <c r="U170" s="21"/>
      <c r="V170" s="9"/>
      <c r="W170" s="21"/>
      <c r="X170" s="9"/>
      <c r="Z170" s="22"/>
      <c r="AD170" s="22"/>
      <c r="AF170" s="24"/>
      <c r="AI170" s="21"/>
      <c r="AJ170" s="21"/>
      <c r="AK170" s="21"/>
      <c r="AL170" s="21"/>
      <c r="AM170" s="21"/>
      <c r="AN170" s="21"/>
      <c r="AO170" s="21"/>
      <c r="AP170" s="21"/>
      <c r="AQ170" s="22"/>
      <c r="AR170" s="21"/>
    </row>
    <row r="171" spans="1:44" x14ac:dyDescent="0.2">
      <c r="A171" s="21"/>
      <c r="B171" s="21"/>
      <c r="C171" s="21"/>
      <c r="D171" s="21"/>
      <c r="E171" s="21"/>
      <c r="G171" s="21"/>
      <c r="H171" s="21"/>
      <c r="I171" s="21"/>
      <c r="J171" s="21"/>
      <c r="M171" s="21"/>
      <c r="O171" s="21"/>
      <c r="Q171" s="21"/>
      <c r="T171" s="21"/>
      <c r="U171" s="21"/>
      <c r="V171" s="9"/>
      <c r="W171" s="21"/>
      <c r="X171" s="9"/>
      <c r="Z171" s="22"/>
      <c r="AD171" s="22"/>
      <c r="AF171" s="24"/>
      <c r="AI171" s="21"/>
      <c r="AJ171" s="21"/>
      <c r="AK171" s="21"/>
      <c r="AL171" s="21"/>
      <c r="AM171" s="21"/>
      <c r="AN171" s="21"/>
      <c r="AO171" s="21"/>
      <c r="AP171" s="21"/>
      <c r="AQ171" s="22"/>
      <c r="AR171" s="21"/>
    </row>
    <row r="172" spans="1:44" x14ac:dyDescent="0.2">
      <c r="A172" s="21"/>
      <c r="B172" s="21"/>
      <c r="C172" s="21"/>
      <c r="D172" s="21"/>
      <c r="E172" s="21"/>
      <c r="G172" s="21"/>
      <c r="H172" s="21"/>
      <c r="I172" s="21"/>
      <c r="J172" s="21"/>
      <c r="M172" s="21"/>
      <c r="O172" s="21"/>
      <c r="Q172" s="21"/>
      <c r="T172" s="21"/>
      <c r="U172" s="21"/>
      <c r="V172" s="9"/>
      <c r="W172" s="21"/>
      <c r="X172" s="9"/>
      <c r="Z172" s="22"/>
      <c r="AD172" s="22"/>
      <c r="AF172" s="24"/>
      <c r="AI172" s="21"/>
      <c r="AJ172" s="21"/>
      <c r="AK172" s="21"/>
      <c r="AL172" s="21"/>
      <c r="AM172" s="21"/>
      <c r="AN172" s="21"/>
      <c r="AO172" s="21"/>
      <c r="AP172" s="21"/>
      <c r="AQ172" s="22"/>
      <c r="AR172" s="21"/>
    </row>
    <row r="173" spans="1:44" x14ac:dyDescent="0.2">
      <c r="A173" s="21"/>
      <c r="B173" s="21"/>
      <c r="C173" s="21"/>
      <c r="D173" s="21"/>
      <c r="E173" s="21"/>
      <c r="G173" s="21"/>
      <c r="H173" s="21"/>
      <c r="I173" s="21"/>
      <c r="J173" s="21"/>
      <c r="M173" s="21"/>
      <c r="O173" s="21"/>
      <c r="Q173" s="21"/>
      <c r="T173" s="21"/>
      <c r="U173" s="21"/>
      <c r="V173" s="9"/>
      <c r="W173" s="21"/>
      <c r="X173" s="9"/>
      <c r="Z173" s="22"/>
      <c r="AD173" s="22"/>
      <c r="AF173" s="24"/>
      <c r="AI173" s="21"/>
      <c r="AJ173" s="21"/>
      <c r="AK173" s="21"/>
      <c r="AL173" s="21"/>
      <c r="AM173" s="21"/>
      <c r="AN173" s="21"/>
      <c r="AO173" s="21"/>
      <c r="AP173" s="21"/>
      <c r="AQ173" s="22"/>
      <c r="AR173" s="21"/>
    </row>
    <row r="174" spans="1:44" x14ac:dyDescent="0.2">
      <c r="A174" s="21"/>
      <c r="B174" s="21"/>
      <c r="C174" s="21"/>
      <c r="D174" s="21"/>
      <c r="E174" s="21"/>
      <c r="G174" s="21"/>
      <c r="H174" s="21"/>
      <c r="I174" s="21"/>
      <c r="J174" s="21"/>
      <c r="M174" s="21"/>
      <c r="O174" s="21"/>
      <c r="Q174" s="21"/>
      <c r="T174" s="21"/>
      <c r="U174" s="21"/>
      <c r="V174" s="9"/>
      <c r="W174" s="21"/>
      <c r="X174" s="9"/>
      <c r="Z174" s="22"/>
      <c r="AD174" s="22"/>
      <c r="AF174" s="24"/>
      <c r="AI174" s="21"/>
      <c r="AJ174" s="21"/>
      <c r="AK174" s="21"/>
      <c r="AL174" s="21"/>
      <c r="AM174" s="21"/>
      <c r="AN174" s="21"/>
      <c r="AO174" s="21"/>
      <c r="AP174" s="21"/>
      <c r="AQ174" s="22"/>
      <c r="AR174" s="21"/>
    </row>
    <row r="175" spans="1:44" x14ac:dyDescent="0.2">
      <c r="A175" s="21"/>
      <c r="B175" s="21"/>
      <c r="C175" s="21"/>
      <c r="D175" s="21"/>
      <c r="E175" s="21"/>
      <c r="G175" s="21"/>
      <c r="H175" s="21"/>
      <c r="I175" s="21"/>
      <c r="J175" s="21"/>
      <c r="M175" s="21"/>
      <c r="O175" s="21"/>
      <c r="Q175" s="21"/>
      <c r="T175" s="21"/>
      <c r="U175" s="21"/>
      <c r="V175" s="9"/>
      <c r="W175" s="21"/>
      <c r="X175" s="9"/>
      <c r="Z175" s="22"/>
      <c r="AD175" s="22"/>
      <c r="AF175" s="24"/>
      <c r="AI175" s="21"/>
      <c r="AJ175" s="21"/>
      <c r="AK175" s="21"/>
      <c r="AL175" s="21"/>
      <c r="AM175" s="21"/>
      <c r="AN175" s="21"/>
      <c r="AO175" s="21"/>
      <c r="AP175" s="21"/>
      <c r="AQ175" s="22"/>
      <c r="AR175" s="21"/>
    </row>
    <row r="176" spans="1:44" x14ac:dyDescent="0.2">
      <c r="A176" s="21"/>
      <c r="B176" s="21"/>
      <c r="C176" s="21"/>
      <c r="D176" s="21"/>
      <c r="E176" s="21"/>
      <c r="G176" s="21"/>
      <c r="H176" s="21"/>
      <c r="I176" s="21"/>
      <c r="J176" s="21"/>
      <c r="M176" s="21"/>
      <c r="O176" s="21"/>
      <c r="Q176" s="21"/>
      <c r="T176" s="21"/>
      <c r="U176" s="21"/>
      <c r="V176" s="9"/>
      <c r="W176" s="21"/>
      <c r="X176" s="9"/>
      <c r="Z176" s="22"/>
      <c r="AD176" s="22"/>
      <c r="AF176" s="24"/>
      <c r="AI176" s="21"/>
      <c r="AJ176" s="21"/>
      <c r="AK176" s="21"/>
      <c r="AL176" s="21"/>
      <c r="AM176" s="21"/>
      <c r="AN176" s="21"/>
      <c r="AO176" s="21"/>
      <c r="AP176" s="21"/>
      <c r="AQ176" s="22"/>
      <c r="AR176" s="21"/>
    </row>
    <row r="177" spans="1:44" x14ac:dyDescent="0.2">
      <c r="A177" s="21"/>
      <c r="B177" s="21"/>
      <c r="C177" s="21"/>
      <c r="D177" s="21"/>
      <c r="E177" s="21"/>
      <c r="G177" s="21"/>
      <c r="H177" s="21"/>
      <c r="I177" s="21"/>
      <c r="J177" s="21"/>
      <c r="M177" s="21"/>
      <c r="O177" s="21"/>
      <c r="Q177" s="21"/>
      <c r="T177" s="21"/>
      <c r="U177" s="21"/>
      <c r="V177" s="9"/>
      <c r="W177" s="21"/>
      <c r="X177" s="9"/>
      <c r="Z177" s="22"/>
      <c r="AD177" s="22"/>
      <c r="AF177" s="24"/>
      <c r="AI177" s="21"/>
      <c r="AJ177" s="21"/>
      <c r="AK177" s="21"/>
      <c r="AL177" s="21"/>
      <c r="AM177" s="21"/>
      <c r="AN177" s="21"/>
      <c r="AO177" s="21"/>
      <c r="AP177" s="21"/>
      <c r="AQ177" s="22"/>
      <c r="AR177" s="21"/>
    </row>
    <row r="178" spans="1:44" x14ac:dyDescent="0.2">
      <c r="A178" s="21"/>
      <c r="B178" s="21"/>
      <c r="C178" s="21"/>
      <c r="D178" s="21"/>
      <c r="E178" s="21"/>
      <c r="G178" s="21"/>
      <c r="H178" s="21"/>
      <c r="I178" s="21"/>
      <c r="J178" s="21"/>
      <c r="M178" s="21"/>
      <c r="O178" s="21"/>
      <c r="Q178" s="21"/>
      <c r="T178" s="21"/>
      <c r="U178" s="21"/>
      <c r="V178" s="9"/>
      <c r="W178" s="21"/>
      <c r="X178" s="9"/>
      <c r="Z178" s="22"/>
      <c r="AD178" s="22"/>
      <c r="AF178" s="24"/>
      <c r="AI178" s="21"/>
      <c r="AJ178" s="21"/>
      <c r="AK178" s="21"/>
      <c r="AL178" s="21"/>
      <c r="AM178" s="21"/>
      <c r="AN178" s="21"/>
      <c r="AO178" s="21"/>
      <c r="AP178" s="21"/>
      <c r="AQ178" s="22"/>
      <c r="AR178" s="21"/>
    </row>
    <row r="179" spans="1:44" x14ac:dyDescent="0.2">
      <c r="A179" s="21"/>
      <c r="B179" s="21"/>
      <c r="C179" s="21"/>
      <c r="D179" s="21"/>
      <c r="E179" s="21"/>
      <c r="G179" s="21"/>
      <c r="H179" s="21"/>
      <c r="I179" s="21"/>
      <c r="J179" s="21"/>
      <c r="M179" s="21"/>
      <c r="O179" s="21"/>
      <c r="Q179" s="21"/>
      <c r="T179" s="21"/>
      <c r="U179" s="21"/>
      <c r="V179" s="9"/>
      <c r="W179" s="21"/>
      <c r="X179" s="9"/>
      <c r="Z179" s="22"/>
      <c r="AD179" s="22"/>
      <c r="AF179" s="24"/>
      <c r="AI179" s="21"/>
      <c r="AJ179" s="21"/>
      <c r="AK179" s="21"/>
      <c r="AL179" s="21"/>
      <c r="AM179" s="21"/>
      <c r="AN179" s="21"/>
      <c r="AO179" s="21"/>
      <c r="AP179" s="21"/>
      <c r="AQ179" s="22"/>
      <c r="AR179" s="21"/>
    </row>
    <row r="180" spans="1:44" x14ac:dyDescent="0.2">
      <c r="A180" s="21"/>
      <c r="B180" s="21"/>
      <c r="C180" s="21"/>
      <c r="D180" s="21"/>
      <c r="E180" s="21"/>
      <c r="G180" s="21"/>
      <c r="H180" s="21"/>
      <c r="I180" s="21"/>
      <c r="J180" s="21"/>
      <c r="M180" s="21"/>
      <c r="O180" s="21"/>
      <c r="Q180" s="21"/>
      <c r="T180" s="21"/>
      <c r="U180" s="21"/>
      <c r="V180" s="9"/>
      <c r="W180" s="21"/>
      <c r="X180" s="9"/>
      <c r="Z180" s="22"/>
      <c r="AD180" s="22"/>
      <c r="AF180" s="24"/>
      <c r="AI180" s="21"/>
      <c r="AJ180" s="21"/>
      <c r="AK180" s="21"/>
      <c r="AL180" s="21"/>
      <c r="AM180" s="21"/>
      <c r="AN180" s="21"/>
      <c r="AO180" s="21"/>
      <c r="AP180" s="21"/>
      <c r="AQ180" s="22"/>
      <c r="AR180" s="21"/>
    </row>
    <row r="181" spans="1:44" x14ac:dyDescent="0.2">
      <c r="A181" s="21"/>
      <c r="B181" s="21"/>
      <c r="C181" s="21"/>
      <c r="D181" s="21"/>
      <c r="E181" s="21"/>
      <c r="G181" s="21"/>
      <c r="H181" s="21"/>
      <c r="I181" s="21"/>
      <c r="J181" s="21"/>
      <c r="M181" s="21"/>
      <c r="O181" s="21"/>
      <c r="Q181" s="21"/>
      <c r="T181" s="21"/>
      <c r="U181" s="21"/>
      <c r="V181" s="9"/>
      <c r="W181" s="21"/>
      <c r="X181" s="9"/>
      <c r="Z181" s="22"/>
      <c r="AD181" s="22"/>
      <c r="AF181" s="24"/>
      <c r="AI181" s="21"/>
      <c r="AJ181" s="21"/>
      <c r="AK181" s="21"/>
      <c r="AL181" s="21"/>
      <c r="AM181" s="21"/>
      <c r="AN181" s="21"/>
      <c r="AO181" s="21"/>
      <c r="AP181" s="21"/>
      <c r="AQ181" s="22"/>
      <c r="AR181" s="21"/>
    </row>
    <row r="182" spans="1:44" x14ac:dyDescent="0.2">
      <c r="A182" s="21"/>
      <c r="B182" s="21"/>
      <c r="C182" s="21"/>
      <c r="D182" s="21"/>
      <c r="E182" s="21"/>
      <c r="G182" s="21"/>
      <c r="H182" s="21"/>
      <c r="I182" s="21"/>
      <c r="J182" s="21"/>
      <c r="M182" s="21"/>
      <c r="O182" s="21"/>
      <c r="Q182" s="21"/>
      <c r="T182" s="21"/>
      <c r="U182" s="21"/>
      <c r="V182" s="9"/>
      <c r="W182" s="21"/>
      <c r="X182" s="9"/>
      <c r="Z182" s="22"/>
      <c r="AD182" s="22"/>
      <c r="AF182" s="24"/>
      <c r="AI182" s="21"/>
      <c r="AJ182" s="21"/>
      <c r="AK182" s="21"/>
      <c r="AL182" s="21"/>
      <c r="AM182" s="21"/>
      <c r="AN182" s="21"/>
      <c r="AO182" s="21"/>
      <c r="AP182" s="21"/>
      <c r="AQ182" s="22"/>
      <c r="AR182" s="21"/>
    </row>
    <row r="183" spans="1:44" x14ac:dyDescent="0.2">
      <c r="A183" s="21"/>
      <c r="B183" s="21"/>
      <c r="C183" s="21"/>
      <c r="D183" s="21"/>
      <c r="E183" s="21"/>
      <c r="G183" s="21"/>
      <c r="H183" s="21"/>
      <c r="I183" s="21"/>
      <c r="J183" s="21"/>
      <c r="M183" s="21"/>
      <c r="O183" s="21"/>
      <c r="Q183" s="21"/>
      <c r="T183" s="21"/>
      <c r="U183" s="21"/>
      <c r="V183" s="9"/>
      <c r="W183" s="21"/>
      <c r="X183" s="9"/>
      <c r="Z183" s="22"/>
      <c r="AD183" s="22"/>
      <c r="AF183" s="24"/>
      <c r="AI183" s="21"/>
      <c r="AJ183" s="21"/>
      <c r="AK183" s="21"/>
      <c r="AL183" s="21"/>
      <c r="AM183" s="21"/>
      <c r="AN183" s="21"/>
      <c r="AO183" s="21"/>
      <c r="AP183" s="21"/>
      <c r="AQ183" s="22"/>
      <c r="AR183" s="21"/>
    </row>
    <row r="184" spans="1:44" x14ac:dyDescent="0.2">
      <c r="A184" s="21"/>
      <c r="B184" s="21"/>
      <c r="C184" s="21"/>
      <c r="D184" s="21"/>
      <c r="E184" s="21"/>
      <c r="G184" s="21"/>
      <c r="H184" s="21"/>
      <c r="I184" s="21"/>
      <c r="J184" s="21"/>
      <c r="M184" s="21"/>
      <c r="O184" s="21"/>
      <c r="Q184" s="21"/>
      <c r="T184" s="21"/>
      <c r="U184" s="21"/>
      <c r="V184" s="9"/>
      <c r="W184" s="21"/>
      <c r="X184" s="9"/>
      <c r="Z184" s="22"/>
      <c r="AD184" s="22"/>
      <c r="AF184" s="24"/>
      <c r="AI184" s="21"/>
      <c r="AJ184" s="21"/>
      <c r="AK184" s="21"/>
      <c r="AL184" s="21"/>
      <c r="AM184" s="21"/>
      <c r="AN184" s="21"/>
      <c r="AO184" s="21"/>
      <c r="AP184" s="21"/>
      <c r="AQ184" s="22"/>
      <c r="AR184" s="21"/>
    </row>
    <row r="185" spans="1:44" x14ac:dyDescent="0.2">
      <c r="A185" s="21"/>
      <c r="B185" s="21"/>
      <c r="C185" s="21"/>
      <c r="D185" s="21"/>
      <c r="E185" s="21"/>
      <c r="G185" s="21"/>
      <c r="H185" s="21"/>
      <c r="I185" s="21"/>
      <c r="J185" s="21"/>
      <c r="M185" s="21"/>
      <c r="O185" s="21"/>
      <c r="Q185" s="21"/>
      <c r="T185" s="21"/>
      <c r="U185" s="21"/>
      <c r="V185" s="9"/>
      <c r="W185" s="21"/>
      <c r="X185" s="9"/>
      <c r="Z185" s="22"/>
      <c r="AD185" s="22"/>
      <c r="AF185" s="24"/>
      <c r="AI185" s="21"/>
      <c r="AJ185" s="21"/>
      <c r="AK185" s="21"/>
      <c r="AL185" s="21"/>
      <c r="AM185" s="21"/>
      <c r="AN185" s="21"/>
      <c r="AO185" s="21"/>
      <c r="AP185" s="21"/>
      <c r="AQ185" s="22"/>
      <c r="AR185" s="21"/>
    </row>
    <row r="186" spans="1:44" x14ac:dyDescent="0.2">
      <c r="A186" s="21"/>
      <c r="B186" s="21"/>
      <c r="C186" s="21"/>
      <c r="D186" s="21"/>
      <c r="E186" s="21"/>
      <c r="G186" s="21"/>
      <c r="H186" s="21"/>
      <c r="I186" s="21"/>
      <c r="J186" s="21"/>
      <c r="M186" s="21"/>
      <c r="O186" s="21"/>
      <c r="Q186" s="21"/>
      <c r="T186" s="21"/>
      <c r="U186" s="21"/>
      <c r="V186" s="9"/>
      <c r="W186" s="21"/>
      <c r="X186" s="9"/>
      <c r="Z186" s="22"/>
      <c r="AD186" s="22"/>
      <c r="AF186" s="24"/>
      <c r="AI186" s="21"/>
      <c r="AJ186" s="21"/>
      <c r="AK186" s="21"/>
      <c r="AL186" s="21"/>
      <c r="AM186" s="21"/>
      <c r="AN186" s="21"/>
      <c r="AO186" s="21"/>
      <c r="AP186" s="21"/>
      <c r="AQ186" s="22"/>
      <c r="AR186" s="21"/>
    </row>
    <row r="187" spans="1:44" x14ac:dyDescent="0.2">
      <c r="A187" s="21"/>
      <c r="B187" s="21"/>
      <c r="C187" s="21"/>
      <c r="D187" s="21"/>
      <c r="E187" s="21"/>
      <c r="G187" s="21"/>
      <c r="H187" s="21"/>
      <c r="I187" s="21"/>
      <c r="J187" s="21"/>
      <c r="M187" s="21"/>
      <c r="O187" s="21"/>
      <c r="Q187" s="21"/>
      <c r="T187" s="21"/>
      <c r="U187" s="21"/>
      <c r="V187" s="9"/>
      <c r="W187" s="21"/>
      <c r="X187" s="9"/>
      <c r="Z187" s="22"/>
      <c r="AD187" s="22"/>
      <c r="AF187" s="24"/>
      <c r="AI187" s="21"/>
      <c r="AJ187" s="21"/>
      <c r="AK187" s="21"/>
      <c r="AL187" s="21"/>
      <c r="AM187" s="21"/>
      <c r="AN187" s="21"/>
      <c r="AO187" s="21"/>
      <c r="AP187" s="21"/>
      <c r="AQ187" s="22"/>
      <c r="AR187" s="21"/>
    </row>
    <row r="188" spans="1:44" x14ac:dyDescent="0.2">
      <c r="A188" s="21"/>
      <c r="B188" s="21"/>
      <c r="C188" s="21"/>
      <c r="D188" s="21"/>
      <c r="E188" s="21"/>
      <c r="G188" s="21"/>
      <c r="H188" s="21"/>
      <c r="I188" s="21"/>
      <c r="J188" s="21"/>
      <c r="M188" s="21"/>
      <c r="O188" s="21"/>
      <c r="Q188" s="21"/>
      <c r="T188" s="21"/>
      <c r="U188" s="21"/>
      <c r="V188" s="9"/>
      <c r="W188" s="21"/>
      <c r="X188" s="9"/>
      <c r="Z188" s="22"/>
      <c r="AD188" s="22"/>
      <c r="AF188" s="24"/>
      <c r="AI188" s="21"/>
      <c r="AJ188" s="21"/>
      <c r="AK188" s="21"/>
      <c r="AL188" s="21"/>
      <c r="AM188" s="21"/>
      <c r="AN188" s="21"/>
      <c r="AO188" s="21"/>
      <c r="AP188" s="21"/>
      <c r="AQ188" s="22"/>
      <c r="AR188" s="21"/>
    </row>
    <row r="189" spans="1:44" x14ac:dyDescent="0.2">
      <c r="A189" s="21"/>
      <c r="B189" s="21"/>
      <c r="C189" s="21"/>
      <c r="D189" s="21"/>
      <c r="E189" s="21"/>
      <c r="G189" s="21"/>
      <c r="H189" s="21"/>
      <c r="I189" s="21"/>
      <c r="J189" s="21"/>
      <c r="M189" s="21"/>
      <c r="O189" s="21"/>
      <c r="Q189" s="21"/>
      <c r="T189" s="21"/>
      <c r="U189" s="21"/>
      <c r="V189" s="9"/>
      <c r="W189" s="21"/>
      <c r="X189" s="9"/>
      <c r="Z189" s="22"/>
      <c r="AD189" s="22"/>
      <c r="AF189" s="24"/>
      <c r="AI189" s="21"/>
      <c r="AJ189" s="21"/>
      <c r="AK189" s="21"/>
      <c r="AL189" s="21"/>
      <c r="AM189" s="21"/>
      <c r="AN189" s="21"/>
      <c r="AO189" s="21"/>
      <c r="AP189" s="21"/>
      <c r="AQ189" s="22"/>
      <c r="AR189" s="21"/>
    </row>
    <row r="190" spans="1:44" x14ac:dyDescent="0.2">
      <c r="A190" s="21"/>
      <c r="B190" s="21"/>
      <c r="C190" s="21"/>
      <c r="D190" s="21"/>
      <c r="E190" s="21"/>
      <c r="G190" s="21"/>
      <c r="H190" s="21"/>
      <c r="I190" s="21"/>
      <c r="J190" s="21"/>
      <c r="M190" s="21"/>
      <c r="O190" s="21"/>
      <c r="Q190" s="21"/>
      <c r="T190" s="21"/>
      <c r="U190" s="21"/>
      <c r="V190" s="9"/>
      <c r="W190" s="21"/>
      <c r="X190" s="9"/>
      <c r="Z190" s="22"/>
      <c r="AD190" s="22"/>
      <c r="AF190" s="24"/>
      <c r="AI190" s="21"/>
      <c r="AJ190" s="21"/>
      <c r="AK190" s="21"/>
      <c r="AL190" s="21"/>
      <c r="AM190" s="21"/>
      <c r="AN190" s="21"/>
      <c r="AO190" s="21"/>
      <c r="AP190" s="21"/>
      <c r="AQ190" s="22"/>
      <c r="AR190" s="21"/>
    </row>
    <row r="191" spans="1:44" x14ac:dyDescent="0.2">
      <c r="A191" s="21"/>
      <c r="B191" s="21"/>
      <c r="C191" s="21"/>
      <c r="D191" s="21"/>
      <c r="E191" s="21"/>
      <c r="G191" s="21"/>
      <c r="H191" s="21"/>
      <c r="I191" s="21"/>
      <c r="J191" s="21"/>
      <c r="M191" s="21"/>
      <c r="O191" s="21"/>
      <c r="Q191" s="21"/>
      <c r="T191" s="21"/>
      <c r="U191" s="21"/>
      <c r="V191" s="9"/>
      <c r="W191" s="21"/>
      <c r="X191" s="9"/>
      <c r="Z191" s="22"/>
      <c r="AD191" s="22"/>
      <c r="AF191" s="24"/>
      <c r="AI191" s="21"/>
      <c r="AJ191" s="21"/>
      <c r="AK191" s="21"/>
      <c r="AL191" s="21"/>
      <c r="AM191" s="21"/>
      <c r="AN191" s="21"/>
      <c r="AO191" s="21"/>
      <c r="AP191" s="21"/>
      <c r="AQ191" s="22"/>
      <c r="AR191" s="21"/>
    </row>
    <row r="192" spans="1:44" x14ac:dyDescent="0.2">
      <c r="A192" s="21"/>
      <c r="B192" s="21"/>
      <c r="C192" s="21"/>
      <c r="D192" s="21"/>
      <c r="E192" s="21"/>
      <c r="G192" s="21"/>
      <c r="H192" s="21"/>
      <c r="I192" s="21"/>
      <c r="J192" s="21"/>
      <c r="M192" s="21"/>
      <c r="O192" s="21"/>
      <c r="Q192" s="21"/>
      <c r="T192" s="21"/>
      <c r="U192" s="21"/>
      <c r="V192" s="9"/>
      <c r="W192" s="21"/>
      <c r="X192" s="9"/>
      <c r="Z192" s="22"/>
      <c r="AD192" s="22"/>
      <c r="AF192" s="24"/>
      <c r="AI192" s="21"/>
      <c r="AJ192" s="21"/>
      <c r="AK192" s="21"/>
      <c r="AL192" s="21"/>
      <c r="AM192" s="21"/>
      <c r="AN192" s="21"/>
      <c r="AO192" s="21"/>
      <c r="AP192" s="21"/>
      <c r="AQ192" s="22"/>
      <c r="AR192" s="21"/>
    </row>
    <row r="193" spans="1:44" x14ac:dyDescent="0.2">
      <c r="A193" s="21"/>
      <c r="B193" s="21"/>
      <c r="C193" s="21"/>
      <c r="D193" s="21"/>
      <c r="E193" s="21"/>
      <c r="G193" s="21"/>
      <c r="H193" s="21"/>
      <c r="I193" s="21"/>
      <c r="J193" s="21"/>
      <c r="M193" s="21"/>
      <c r="O193" s="21"/>
      <c r="Q193" s="21"/>
      <c r="T193" s="21"/>
      <c r="U193" s="21"/>
      <c r="V193" s="9"/>
      <c r="W193" s="21"/>
      <c r="X193" s="9"/>
      <c r="Z193" s="22"/>
      <c r="AD193" s="22"/>
      <c r="AF193" s="24"/>
      <c r="AI193" s="21"/>
      <c r="AJ193" s="21"/>
      <c r="AK193" s="21"/>
      <c r="AL193" s="21"/>
      <c r="AM193" s="21"/>
      <c r="AN193" s="21"/>
      <c r="AO193" s="21"/>
      <c r="AP193" s="21"/>
      <c r="AQ193" s="22"/>
      <c r="AR193"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2022-11-10T06:03:01Z</dcterms:modified>
</cp:coreProperties>
</file>