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Nicole/GitHub/heattolerance/data/expt_obs/"/>
    </mc:Choice>
  </mc:AlternateContent>
  <xr:revisionPtr revIDLastSave="0" documentId="13_ncr:1_{844FD408-367B-EF43-A2C0-9E1F9FE14CD7}" xr6:coauthVersionLast="45" xr6:coauthVersionMax="45" xr10:uidLastSave="{00000000-0000-0000-0000-000000000000}"/>
  <bookViews>
    <workbookView xWindow="820" yWindow="460" windowWidth="24780" windowHeight="15540" xr2:uid="{00000000-000D-0000-FFFF-FFFF00000000}"/>
  </bookViews>
  <sheets>
    <sheet name="data" sheetId="1" r:id="rId1"/>
    <sheet name="meta" sheetId="2" r:id="rId2"/>
    <sheet name="scratch"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31" i="1" l="1"/>
  <c r="G330" i="1"/>
  <c r="H329" i="1"/>
  <c r="G328" i="1"/>
  <c r="H327" i="1"/>
  <c r="G326" i="1"/>
  <c r="H325" i="1"/>
  <c r="G324" i="1"/>
  <c r="H323" i="1"/>
  <c r="G323" i="1"/>
  <c r="H322" i="1"/>
  <c r="G322" i="1"/>
  <c r="H321" i="1"/>
  <c r="G320" i="1"/>
  <c r="H319" i="1"/>
  <c r="H318" i="1"/>
  <c r="G318" i="1"/>
  <c r="H317" i="1"/>
  <c r="G316" i="1"/>
  <c r="H315" i="1"/>
  <c r="H314" i="1"/>
  <c r="G314" i="1"/>
  <c r="H313" i="1"/>
  <c r="G312" i="1"/>
  <c r="H311" i="1"/>
  <c r="H310" i="1"/>
  <c r="H309" i="1"/>
  <c r="G308" i="1"/>
  <c r="G306" i="1"/>
  <c r="G303" i="1"/>
  <c r="H302" i="1"/>
  <c r="G302" i="1"/>
  <c r="H301" i="1"/>
  <c r="G301" i="1"/>
  <c r="H300" i="1"/>
  <c r="G299" i="1"/>
  <c r="H298" i="1"/>
  <c r="G298" i="1"/>
  <c r="G297" i="1"/>
  <c r="H296" i="1"/>
  <c r="G296" i="1"/>
  <c r="G295" i="1"/>
  <c r="G294" i="1"/>
  <c r="H293" i="1"/>
  <c r="G293" i="1"/>
  <c r="G292" i="1"/>
  <c r="H291" i="1"/>
  <c r="G291" i="1"/>
  <c r="H290" i="1"/>
  <c r="G289" i="1"/>
  <c r="H288" i="1"/>
  <c r="G288" i="1"/>
  <c r="H287" i="1"/>
  <c r="G287" i="1"/>
  <c r="H286" i="1"/>
  <c r="G286" i="1"/>
  <c r="G285" i="1"/>
  <c r="G284" i="1"/>
  <c r="H283" i="1"/>
  <c r="G283" i="1"/>
  <c r="H282" i="1"/>
  <c r="G282" i="1"/>
  <c r="H281" i="1"/>
  <c r="G281" i="1"/>
  <c r="G280" i="1"/>
  <c r="G279" i="1"/>
  <c r="H278" i="1"/>
  <c r="G278" i="1"/>
  <c r="H277" i="1"/>
  <c r="H276" i="1"/>
  <c r="G276" i="1"/>
  <c r="G275" i="1"/>
  <c r="H274" i="1"/>
  <c r="G274" i="1"/>
  <c r="H273" i="1"/>
  <c r="G272" i="1"/>
  <c r="H271" i="1"/>
  <c r="G271" i="1"/>
  <c r="G270" i="1"/>
  <c r="H269" i="1"/>
  <c r="G269" i="1"/>
  <c r="H268" i="1"/>
  <c r="G268" i="1"/>
  <c r="G267" i="1"/>
  <c r="G266" i="1"/>
  <c r="G264" i="1"/>
  <c r="H263" i="1"/>
  <c r="H262" i="1"/>
  <c r="G262" i="1"/>
  <c r="H261" i="1"/>
  <c r="G261" i="1"/>
  <c r="G260" i="1"/>
  <c r="G259" i="1"/>
  <c r="G258" i="1"/>
  <c r="H257" i="1"/>
  <c r="G256" i="1"/>
  <c r="G255" i="1"/>
  <c r="H254" i="1"/>
  <c r="H252" i="1"/>
  <c r="G252" i="1"/>
  <c r="G251" i="1"/>
  <c r="H250" i="1"/>
  <c r="G250" i="1"/>
  <c r="H249" i="1"/>
  <c r="G248" i="1"/>
  <c r="H247" i="1"/>
  <c r="G247" i="1"/>
  <c r="H246" i="1"/>
  <c r="H245" i="1"/>
  <c r="H244" i="1"/>
  <c r="G244" i="1"/>
  <c r="G243" i="1"/>
  <c r="G242" i="1"/>
  <c r="H241" i="1"/>
  <c r="G241" i="1"/>
  <c r="G240" i="1"/>
  <c r="G239" i="1"/>
  <c r="H238" i="1"/>
  <c r="H237" i="1"/>
  <c r="G237" i="1"/>
  <c r="H236" i="1"/>
  <c r="G236" i="1"/>
  <c r="G235" i="1"/>
  <c r="G234" i="1"/>
  <c r="G233" i="1"/>
  <c r="H232" i="1"/>
  <c r="G231" i="1"/>
  <c r="G230" i="1"/>
  <c r="H229" i="1"/>
  <c r="H228" i="1"/>
  <c r="G228" i="1"/>
  <c r="H227" i="1"/>
  <c r="G227" i="1"/>
  <c r="G226" i="1"/>
  <c r="H225" i="1"/>
  <c r="H224" i="1"/>
  <c r="G223" i="1"/>
  <c r="H222" i="1"/>
  <c r="G222" i="1"/>
  <c r="H221" i="1"/>
  <c r="H220" i="1"/>
  <c r="H219" i="1"/>
  <c r="G218" i="1"/>
  <c r="G217" i="1"/>
  <c r="H216" i="1"/>
  <c r="G214" i="1"/>
  <c r="H213" i="1"/>
  <c r="H212" i="1"/>
  <c r="G212" i="1"/>
  <c r="H211" i="1"/>
  <c r="G211" i="1"/>
  <c r="G210" i="1"/>
  <c r="G209" i="1"/>
  <c r="G208" i="1"/>
  <c r="H207" i="1"/>
  <c r="G206" i="1"/>
  <c r="G205" i="1"/>
  <c r="H204" i="1"/>
  <c r="H203" i="1"/>
  <c r="H202" i="1"/>
  <c r="G202" i="1"/>
  <c r="G201" i="1"/>
  <c r="H200" i="1"/>
  <c r="G200" i="1"/>
  <c r="H199" i="1"/>
  <c r="G198" i="1"/>
  <c r="H197" i="1"/>
  <c r="G197" i="1"/>
  <c r="H196" i="1"/>
  <c r="H195" i="1"/>
  <c r="H194" i="1"/>
  <c r="G194" i="1"/>
  <c r="G192" i="1"/>
  <c r="H191" i="1"/>
  <c r="H188" i="1"/>
  <c r="H187" i="1"/>
  <c r="G187" i="1"/>
  <c r="H186" i="1"/>
  <c r="G185" i="1"/>
  <c r="G184" i="1"/>
  <c r="G183" i="1"/>
  <c r="H182" i="1"/>
  <c r="G181" i="1"/>
  <c r="G180" i="1"/>
  <c r="H179" i="1"/>
  <c r="H178" i="1"/>
  <c r="H177" i="1"/>
  <c r="G177" i="1"/>
  <c r="G176" i="1"/>
  <c r="G175" i="1"/>
  <c r="H174" i="1"/>
  <c r="G173" i="1"/>
  <c r="H172" i="1"/>
  <c r="G172" i="1"/>
  <c r="H171" i="1"/>
  <c r="G170" i="1"/>
  <c r="H169" i="1"/>
  <c r="H168" i="1"/>
  <c r="G167" i="1"/>
  <c r="G166" i="1"/>
  <c r="G163" i="1"/>
  <c r="H162" i="1"/>
  <c r="H161" i="1"/>
  <c r="G161" i="1"/>
  <c r="W160" i="1"/>
  <c r="U160" i="1"/>
  <c r="H160" i="1"/>
  <c r="G159" i="1"/>
  <c r="G158" i="1"/>
  <c r="G155" i="1"/>
  <c r="H153" i="1"/>
  <c r="H152" i="1"/>
  <c r="G152" i="1"/>
  <c r="G151" i="1"/>
  <c r="H150" i="1"/>
  <c r="H149" i="1"/>
  <c r="G148" i="1"/>
  <c r="H147" i="1"/>
  <c r="G147" i="1"/>
  <c r="G145" i="1"/>
  <c r="H143" i="1"/>
  <c r="G142" i="1"/>
  <c r="G141" i="1"/>
  <c r="G138" i="1"/>
  <c r="H136" i="1"/>
  <c r="H135" i="1"/>
  <c r="G134" i="1"/>
  <c r="G133" i="1"/>
  <c r="H132" i="1"/>
  <c r="G130" i="1"/>
  <c r="H129" i="1"/>
  <c r="H128" i="1"/>
  <c r="H127" i="1"/>
  <c r="G127" i="1"/>
  <c r="G126" i="1"/>
  <c r="H125" i="1"/>
  <c r="G125" i="1"/>
  <c r="H124" i="1"/>
  <c r="G123" i="1"/>
  <c r="H122" i="1"/>
  <c r="G122" i="1"/>
  <c r="H121" i="1"/>
  <c r="H119" i="1"/>
  <c r="H118" i="1"/>
  <c r="G117" i="1"/>
  <c r="G116" i="1"/>
  <c r="G113" i="1"/>
  <c r="H111" i="1"/>
  <c r="H110" i="1"/>
  <c r="G109" i="1"/>
  <c r="G108" i="1"/>
  <c r="G106" i="1"/>
  <c r="H105" i="1"/>
  <c r="H104" i="1"/>
  <c r="H103" i="1"/>
  <c r="G102" i="1"/>
  <c r="H101" i="1"/>
  <c r="G99" i="1"/>
  <c r="H98" i="1"/>
  <c r="G98" i="1"/>
  <c r="H97" i="1"/>
  <c r="H95" i="1"/>
  <c r="H94" i="1"/>
  <c r="G93" i="1"/>
  <c r="G92" i="1"/>
  <c r="G89" i="1"/>
  <c r="H88" i="1"/>
  <c r="H87" i="1"/>
  <c r="H86" i="1"/>
  <c r="G85" i="1"/>
  <c r="G83" i="1"/>
  <c r="H82" i="1"/>
  <c r="H81" i="1"/>
  <c r="H80" i="1"/>
  <c r="G79" i="1"/>
  <c r="H78" i="1"/>
  <c r="H77" i="1"/>
  <c r="G76" i="1"/>
  <c r="G75" i="1"/>
  <c r="H74" i="1"/>
  <c r="H72" i="1"/>
  <c r="G72" i="1"/>
  <c r="H71" i="1"/>
  <c r="G70" i="1"/>
  <c r="G69" i="1"/>
  <c r="G66" i="1"/>
  <c r="H64" i="1"/>
  <c r="H63" i="1"/>
  <c r="G62" i="1"/>
  <c r="G60" i="1"/>
  <c r="H59" i="1"/>
  <c r="H58" i="1"/>
  <c r="H57" i="1"/>
  <c r="G57" i="1"/>
  <c r="G56" i="1"/>
  <c r="H55" i="1"/>
  <c r="H54" i="1"/>
  <c r="H52" i="1"/>
  <c r="H49" i="1"/>
  <c r="G48" i="1"/>
  <c r="G47" i="1"/>
  <c r="G44" i="1"/>
  <c r="H42" i="1"/>
  <c r="G39" i="1"/>
  <c r="H38" i="1"/>
  <c r="H37" i="1"/>
  <c r="H36" i="1"/>
  <c r="G35" i="1"/>
  <c r="H34" i="1"/>
  <c r="G33" i="1"/>
  <c r="H32" i="1"/>
  <c r="G32" i="1"/>
  <c r="G28" i="1"/>
  <c r="G27" i="1"/>
  <c r="G24" i="1"/>
  <c r="H22" i="1"/>
  <c r="H19" i="1"/>
  <c r="H18" i="1"/>
  <c r="G15" i="1"/>
  <c r="H14" i="1"/>
  <c r="G14" i="1"/>
  <c r="G12" i="1"/>
  <c r="G11" i="1"/>
  <c r="H7" i="1"/>
  <c r="H5" i="1"/>
  <c r="H4" i="1"/>
  <c r="H3" i="1"/>
  <c r="G2" i="1"/>
</calcChain>
</file>

<file path=xl/sharedStrings.xml><?xml version="1.0" encoding="utf-8"?>
<sst xmlns="http://schemas.openxmlformats.org/spreadsheetml/2006/main" count="1122" uniqueCount="125">
  <si>
    <t xml:space="preserve">Date </t>
  </si>
  <si>
    <t>RowNum</t>
  </si>
  <si>
    <t>Below metadata by Nicole Merrill</t>
  </si>
  <si>
    <t>Num</t>
  </si>
  <si>
    <t>Rep</t>
  </si>
  <si>
    <t>RowNumNumRep</t>
  </si>
  <si>
    <t>Treatment</t>
  </si>
  <si>
    <t>stem1_length</t>
  </si>
  <si>
    <t>stem2_length</t>
  </si>
  <si>
    <t>stem1_leafnum</t>
  </si>
  <si>
    <t>stem2_leafnum</t>
  </si>
  <si>
    <t>stem1_percflow</t>
  </si>
  <si>
    <t>stem2_percflow</t>
  </si>
  <si>
    <t>stem1_caps</t>
  </si>
  <si>
    <t>stem2_caps</t>
  </si>
  <si>
    <t>moist_1</t>
  </si>
  <si>
    <t>moist_2</t>
  </si>
  <si>
    <t>moist_3</t>
  </si>
  <si>
    <t>stem1_bagbuds</t>
  </si>
  <si>
    <t>stem2_bagbuds</t>
  </si>
  <si>
    <t>stem1_vFcount</t>
  </si>
  <si>
    <t>stem2_vFcount</t>
  </si>
  <si>
    <t>stem1_vFexpec</t>
  </si>
  <si>
    <t>stem2_vFexpec</t>
  </si>
  <si>
    <t>notes</t>
  </si>
  <si>
    <t>On September 7 2016:</t>
  </si>
  <si>
    <t>This spreadsheet was started to document the measurements of the winegrapes while the plants are in the chambers.</t>
  </si>
  <si>
    <t>The goal is to make observations 3x a week.</t>
  </si>
  <si>
    <t>The columns are:</t>
  </si>
  <si>
    <t>Date of observation</t>
  </si>
  <si>
    <t>Row number, should be between 12 and 45</t>
  </si>
  <si>
    <t>R5</t>
  </si>
  <si>
    <t>13.3.R5</t>
  </si>
  <si>
    <t>Chamber 4</t>
  </si>
  <si>
    <t>Number following row number, should be between 1 and 12</t>
  </si>
  <si>
    <t>The replicate number (will say R or Rep before it on the tag)</t>
  </si>
  <si>
    <t>The exact info on the tag which is the row number plus number following that and the rep numbers (e.g., 12.10.R4 or 38.3.R1)</t>
  </si>
  <si>
    <t>The chamber number</t>
  </si>
  <si>
    <t>length of flagged stem (mm)</t>
  </si>
  <si>
    <t>length of unflagged stem (mm)</t>
  </si>
  <si>
    <t>number of leaves on flagged stem</t>
  </si>
  <si>
    <t>number of leaves on unflagged stem</t>
  </si>
  <si>
    <t>percent flowering on flagged stem</t>
  </si>
  <si>
    <t>percent flowering on unflagged stem</t>
  </si>
  <si>
    <t>number of caps found in bag on flagged stem</t>
  </si>
  <si>
    <t>number of caps found in bag on unflagged stem</t>
  </si>
  <si>
    <t>soil moisture reading at one location (%)</t>
  </si>
  <si>
    <t>R1</t>
  </si>
  <si>
    <t>soil moisture reading at another location (%)</t>
  </si>
  <si>
    <t>18.5.R1</t>
  </si>
  <si>
    <t>Chamber 3</t>
  </si>
  <si>
    <t>soil moisture reading at one final location (%)</t>
  </si>
  <si>
    <t>number of flowers detected by vitisFlower app on flagged stem</t>
  </si>
  <si>
    <t>number of flowers detected by vitisFlower app on unflagged stem</t>
  </si>
  <si>
    <t>number of flowers estimated by vitisFlower app on flagged stem</t>
  </si>
  <si>
    <t>number of flowers estimated by vitisFlower app on unflagged stem</t>
  </si>
  <si>
    <t>R3</t>
  </si>
  <si>
    <t>19.9.R3</t>
  </si>
  <si>
    <t>number of flower buds that fell into bag from flagged stem</t>
  </si>
  <si>
    <t>number of flower buds that fell into bag from unflagged stem</t>
  </si>
  <si>
    <t>any further notes</t>
  </si>
  <si>
    <t>On September 8 2016:</t>
  </si>
  <si>
    <t>I moved the first five plants into the growth chambers today. The rest of the plants in the greenhouse will be moved in as they reach EL stage 12 on a rolling basis.</t>
  </si>
  <si>
    <t>On September 9 2016:</t>
  </si>
  <si>
    <t>Today I began making observations on the plants in the chambers.  My plan is to do this Mon/Wed/Fri (after making observations in the greenhouse on Mon/Fri).</t>
  </si>
  <si>
    <t>On September 19 2016:</t>
  </si>
  <si>
    <t>R4</t>
  </si>
  <si>
    <t>20.2.R4</t>
  </si>
  <si>
    <t>Chamber 5</t>
  </si>
  <si>
    <t xml:space="preserve">Over the weekend two of the chambers had some issues. Some of the lights in Opie (currently Chamber 3) stopped functioning, cutting the intensity of the light from ~800 umoles to ~250-300 umoles.  Hopefully the lights can be returned to normal early this week.  The CO2 scrubber in Larry (currently Chamber 5) stopped functioning, so the plants did not receive the elevatedd CO2 levels (600ppm) Sunday or Monday evening.  If the CO2 scrubber cannot be fixed soon enough, it was decided CO2 controls would be turned off for all the chambers for the remainder of the experiment.  </t>
  </si>
  <si>
    <t>R2</t>
  </si>
  <si>
    <t>38.7.R2</t>
  </si>
  <si>
    <t>Plants currently in Opie:</t>
  </si>
  <si>
    <t>38.7.R4</t>
  </si>
  <si>
    <t>18.5.R5</t>
  </si>
  <si>
    <t>18.5.R4</t>
  </si>
  <si>
    <t>20.5.R3</t>
  </si>
  <si>
    <t>35.3.R6</t>
  </si>
  <si>
    <t>Plants currently in Larry:</t>
  </si>
  <si>
    <t>38.7.R3</t>
  </si>
  <si>
    <t>20.2.R1</t>
  </si>
  <si>
    <t>16.1.R1</t>
  </si>
  <si>
    <t>On September 21 2016:</t>
  </si>
  <si>
    <t xml:space="preserve">The lights in Opie were fixed by Monday, so those plants were only affected for three days.  Yesterday, I moved all the treatments into new chambers, which we plan to do every 10 days or so in order to limit the effects of one chamber's idiosyncracies on the overall experiment.  Today I turned off the CO2 scrubber in all chambers, as Larry continued to malfunction, and CO2 levels were not able to climb above 200 ppm.  </t>
  </si>
  <si>
    <t>Plants currenlty in Larry:</t>
  </si>
  <si>
    <t>38.7.R5</t>
  </si>
  <si>
    <t>16.1.R7</t>
  </si>
  <si>
    <t>13.3.R4</t>
  </si>
  <si>
    <t>18.5.R7</t>
  </si>
  <si>
    <t>Chamber 2</t>
  </si>
  <si>
    <t>R6</t>
  </si>
  <si>
    <t>38.7.R6</t>
  </si>
  <si>
    <t>Chamber 1</t>
  </si>
  <si>
    <t>14.1.R3</t>
  </si>
  <si>
    <t>16.1.R4</t>
  </si>
  <si>
    <t>R8</t>
  </si>
  <si>
    <t>18.5.R8</t>
  </si>
  <si>
    <t>R7</t>
  </si>
  <si>
    <t>20.2.R5</t>
  </si>
  <si>
    <t>16.1.R3</t>
  </si>
  <si>
    <t>leaf damage, photos in google drive folder "heattolerance&gt;experiment"</t>
  </si>
  <si>
    <t>22.9.R7</t>
  </si>
  <si>
    <t>leaf damage</t>
  </si>
  <si>
    <t>20.2.R6</t>
  </si>
  <si>
    <t>fruit setting on stem 2, 18 flower buds counted</t>
  </si>
  <si>
    <t>no open flowers despite caps in bag?</t>
  </si>
  <si>
    <t>fruit setting on stem 2</t>
  </si>
  <si>
    <t>fruit setting on both stems</t>
  </si>
  <si>
    <t>large, droopy, but rough leaves with brown spots, all buds gone, inflor bare</t>
  </si>
  <si>
    <t>inflorescence fell off, no flowers on it</t>
  </si>
  <si>
    <t>color leaching from leaves</t>
  </si>
  <si>
    <t>leaves on stem 2 continue to turn brown, stem 1 leaves getting a few brown patches</t>
  </si>
  <si>
    <t>leaves at apex starting to turn brown</t>
  </si>
  <si>
    <t>large, droopy, but rough leaves with brown spots</t>
  </si>
  <si>
    <t>large, droopy, but rough leaves</t>
  </si>
  <si>
    <t>24.9.R7</t>
  </si>
  <si>
    <t>inflor looks shriveled and dry, found in soil</t>
  </si>
  <si>
    <t>inflorescence buds all shriveled and dried out</t>
  </si>
  <si>
    <t>inflorescence dried up and fell into bag</t>
  </si>
  <si>
    <t>no buds left on inflor</t>
  </si>
  <si>
    <t>stem 2 inflor dried up/dead</t>
  </si>
  <si>
    <t>most of the buds drie dup, 2 left still green</t>
  </si>
  <si>
    <t>inflor part of tendril dried up, mny falln bhds as well</t>
  </si>
  <si>
    <t>-</t>
  </si>
  <si>
    <t>stem 2 inflorescence dead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</si>
</sst>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5" x14ac:knownFonts="1">
    <font>
      <sz val="10"/>
      <color rgb="FF000000"/>
      <name val="Arial"/>
    </font>
    <font>
      <sz val="10"/>
      <name val="Arial"/>
    </font>
    <font>
      <sz val="10"/>
      <name val="Arial"/>
    </font>
    <font>
      <b/>
      <sz val="10"/>
      <name val="Arial"/>
    </font>
    <font>
      <sz val="10"/>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2" fillId="0" borderId="0" xfId="0" applyFont="1" applyAlignment="1"/>
    <xf numFmtId="0" fontId="1" fillId="2" borderId="0" xfId="0" applyFont="1" applyFill="1" applyAlignment="1"/>
    <xf numFmtId="0" fontId="3" fillId="0" borderId="0" xfId="0" applyFont="1" applyAlignment="1"/>
    <xf numFmtId="164" fontId="1" fillId="0" borderId="0" xfId="0" applyNumberFormat="1" applyFont="1" applyAlignment="1"/>
    <xf numFmtId="0" fontId="2" fillId="0" borderId="0" xfId="0" applyFont="1" applyAlignment="1"/>
    <xf numFmtId="0" fontId="2" fillId="2" borderId="0" xfId="0" applyFont="1" applyFill="1" applyAlignment="1"/>
    <xf numFmtId="0" fontId="2" fillId="0" borderId="0" xfId="0" applyFont="1" applyAlignment="1"/>
    <xf numFmtId="0" fontId="4" fillId="2" borderId="0" xfId="0" applyFont="1" applyFill="1" applyAlignment="1">
      <alignment horizontal="left"/>
    </xf>
    <xf numFmtId="0" fontId="2" fillId="2" borderId="0" xfId="0" applyFont="1" applyFill="1" applyAlignment="1">
      <alignment horizontal="right"/>
    </xf>
    <xf numFmtId="0" fontId="2" fillId="2" borderId="0" xfId="0" applyFont="1" applyFill="1" applyAlignment="1"/>
    <xf numFmtId="0" fontId="2" fillId="2" borderId="0" xfId="0" applyFont="1" applyFill="1" applyAlignment="1">
      <alignment horizontal="right"/>
    </xf>
    <xf numFmtId="0" fontId="2" fillId="2" borderId="0" xfId="0" applyFont="1" applyFill="1" applyAlignment="1">
      <alignment horizontal="right"/>
    </xf>
    <xf numFmtId="0" fontId="2" fillId="2" borderId="0" xfId="0" applyFont="1" applyFill="1" applyAlignment="1"/>
    <xf numFmtId="0" fontId="1" fillId="2" borderId="0" xfId="0" applyFont="1" applyFill="1"/>
    <xf numFmtId="0" fontId="2" fillId="2" borderId="0" xfId="0" applyFont="1" applyFill="1" applyAlignment="1"/>
    <xf numFmtId="0" fontId="1" fillId="0" borderId="0" xfId="0" applyFont="1" applyAlignment="1">
      <alignment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9"/>
  <sheetViews>
    <sheetView tabSelected="1" workbookViewId="0">
      <pane ySplit="1" topLeftCell="A2" activePane="bottomLeft" state="frozen"/>
      <selection pane="bottomLeft" activeCell="H332" sqref="H332"/>
    </sheetView>
  </sheetViews>
  <sheetFormatPr baseColWidth="10" defaultColWidth="14.5" defaultRowHeight="15.75" customHeight="1" x14ac:dyDescent="0.15"/>
  <cols>
    <col min="1" max="1" width="16.1640625" customWidth="1"/>
  </cols>
  <sheetData>
    <row r="1" spans="1:25" ht="15.75" customHeight="1" x14ac:dyDescent="0.15">
      <c r="A1" s="1" t="s">
        <v>0</v>
      </c>
      <c r="B1" s="3" t="s">
        <v>1</v>
      </c>
      <c r="C1" s="3" t="s">
        <v>3</v>
      </c>
      <c r="D1" s="3" t="s">
        <v>4</v>
      </c>
      <c r="E1" s="3" t="s">
        <v>5</v>
      </c>
      <c r="F1" s="4" t="s">
        <v>6</v>
      </c>
      <c r="G1" s="1" t="s">
        <v>7</v>
      </c>
      <c r="H1" s="1" t="s">
        <v>8</v>
      </c>
      <c r="I1" s="1" t="s">
        <v>9</v>
      </c>
      <c r="J1" s="1" t="s">
        <v>10</v>
      </c>
      <c r="K1" s="5" t="s">
        <v>11</v>
      </c>
      <c r="L1" s="5" t="s">
        <v>12</v>
      </c>
      <c r="M1" s="1" t="s">
        <v>13</v>
      </c>
      <c r="N1" s="1" t="s">
        <v>14</v>
      </c>
      <c r="O1" s="1" t="s">
        <v>15</v>
      </c>
      <c r="P1" s="1" t="s">
        <v>16</v>
      </c>
      <c r="Q1" s="1" t="s">
        <v>17</v>
      </c>
      <c r="R1" s="1" t="s">
        <v>18</v>
      </c>
      <c r="S1" s="1" t="s">
        <v>19</v>
      </c>
      <c r="T1" s="1" t="s">
        <v>20</v>
      </c>
      <c r="U1" s="1" t="s">
        <v>21</v>
      </c>
      <c r="V1" s="1" t="s">
        <v>22</v>
      </c>
      <c r="W1" s="1" t="s">
        <v>23</v>
      </c>
      <c r="X1" s="1" t="s">
        <v>24</v>
      </c>
      <c r="Y1" s="1"/>
    </row>
    <row r="2" spans="1:25" ht="15.75" customHeight="1" x14ac:dyDescent="0.15">
      <c r="A2" s="7">
        <v>42622</v>
      </c>
      <c r="B2" s="5">
        <v>13</v>
      </c>
      <c r="C2" s="5">
        <v>3</v>
      </c>
      <c r="D2" s="5" t="s">
        <v>31</v>
      </c>
      <c r="E2" s="5" t="s">
        <v>32</v>
      </c>
      <c r="F2" s="1" t="s">
        <v>33</v>
      </c>
      <c r="G2" s="1">
        <f>155.08+30.75</f>
        <v>185.83</v>
      </c>
      <c r="I2" s="1">
        <v>6</v>
      </c>
      <c r="K2" s="5">
        <v>0</v>
      </c>
      <c r="L2" s="5"/>
      <c r="M2" s="1">
        <v>0</v>
      </c>
      <c r="N2" s="1"/>
      <c r="O2" s="1">
        <v>19.3</v>
      </c>
      <c r="P2" s="1">
        <v>18.399999999999999</v>
      </c>
      <c r="Q2" s="1">
        <v>17.399999999999999</v>
      </c>
    </row>
    <row r="3" spans="1:25" ht="15.75" customHeight="1" x14ac:dyDescent="0.15">
      <c r="A3" s="7">
        <v>42622</v>
      </c>
      <c r="B3" s="5">
        <v>18</v>
      </c>
      <c r="C3" s="5">
        <v>5</v>
      </c>
      <c r="D3" s="5" t="s">
        <v>47</v>
      </c>
      <c r="E3" s="5" t="s">
        <v>49</v>
      </c>
      <c r="F3" s="1" t="s">
        <v>50</v>
      </c>
      <c r="G3" s="1">
        <v>147.32</v>
      </c>
      <c r="H3" s="1">
        <f>155.08+68.11</f>
        <v>223.19</v>
      </c>
      <c r="I3" s="1">
        <v>6</v>
      </c>
      <c r="J3" s="1">
        <v>7</v>
      </c>
      <c r="K3" s="5">
        <v>0</v>
      </c>
      <c r="L3" s="5">
        <v>0</v>
      </c>
      <c r="M3" s="1">
        <v>0</v>
      </c>
      <c r="N3" s="1">
        <v>0</v>
      </c>
      <c r="O3" s="1">
        <v>16.899999999999999</v>
      </c>
      <c r="P3" s="1">
        <v>17.899999999999999</v>
      </c>
      <c r="Q3" s="1">
        <v>15.7</v>
      </c>
    </row>
    <row r="4" spans="1:25" ht="15.75" customHeight="1" x14ac:dyDescent="0.15">
      <c r="A4" s="7">
        <v>42622</v>
      </c>
      <c r="B4" s="5">
        <v>19</v>
      </c>
      <c r="C4" s="5">
        <v>9</v>
      </c>
      <c r="D4" s="5" t="s">
        <v>56</v>
      </c>
      <c r="E4" s="5" t="s">
        <v>57</v>
      </c>
      <c r="F4" s="1" t="s">
        <v>33</v>
      </c>
      <c r="G4" s="1">
        <v>86.98</v>
      </c>
      <c r="H4" s="1">
        <f>155.08+35.49</f>
        <v>190.57000000000002</v>
      </c>
      <c r="I4" s="1">
        <v>4</v>
      </c>
      <c r="J4" s="1">
        <v>6</v>
      </c>
      <c r="K4" s="5">
        <v>0</v>
      </c>
      <c r="L4" s="5">
        <v>0</v>
      </c>
      <c r="M4" s="1">
        <v>0</v>
      </c>
      <c r="N4" s="1">
        <v>0</v>
      </c>
      <c r="O4" s="1">
        <v>19.2</v>
      </c>
      <c r="P4" s="1">
        <v>16.7</v>
      </c>
      <c r="Q4" s="1">
        <v>15.6</v>
      </c>
    </row>
    <row r="5" spans="1:25" ht="15.75" customHeight="1" x14ac:dyDescent="0.15">
      <c r="A5" s="7">
        <v>42622</v>
      </c>
      <c r="B5" s="5">
        <v>20</v>
      </c>
      <c r="C5" s="5">
        <v>2</v>
      </c>
      <c r="D5" s="5" t="s">
        <v>66</v>
      </c>
      <c r="E5" s="5" t="s">
        <v>67</v>
      </c>
      <c r="F5" s="1" t="s">
        <v>68</v>
      </c>
      <c r="G5" s="1">
        <v>31.73</v>
      </c>
      <c r="H5" s="1">
        <f>145.11+35.53</f>
        <v>180.64000000000001</v>
      </c>
      <c r="I5" s="1">
        <v>4</v>
      </c>
      <c r="J5" s="1">
        <v>8</v>
      </c>
      <c r="K5" s="5">
        <v>0</v>
      </c>
      <c r="L5" s="5">
        <v>0</v>
      </c>
      <c r="M5" s="1">
        <v>0</v>
      </c>
      <c r="N5" s="1">
        <v>0</v>
      </c>
      <c r="O5" s="1">
        <v>11.2</v>
      </c>
      <c r="P5" s="1">
        <v>11.4</v>
      </c>
      <c r="Q5" s="1">
        <v>8.6999999999999993</v>
      </c>
    </row>
    <row r="6" spans="1:25" ht="15.75" customHeight="1" x14ac:dyDescent="0.15">
      <c r="A6" s="7">
        <v>42622</v>
      </c>
      <c r="B6" s="5">
        <v>38</v>
      </c>
      <c r="C6" s="5">
        <v>7</v>
      </c>
      <c r="D6" s="5" t="s">
        <v>70</v>
      </c>
      <c r="E6" s="5" t="s">
        <v>71</v>
      </c>
      <c r="F6" s="1" t="s">
        <v>68</v>
      </c>
      <c r="G6" s="1">
        <v>51.04</v>
      </c>
      <c r="H6" s="1">
        <v>141.12</v>
      </c>
      <c r="I6" s="1">
        <v>5</v>
      </c>
      <c r="J6" s="1">
        <v>5</v>
      </c>
      <c r="K6" s="5">
        <v>0</v>
      </c>
      <c r="L6" s="5">
        <v>0</v>
      </c>
      <c r="M6" s="1">
        <v>0</v>
      </c>
      <c r="N6" s="1">
        <v>0</v>
      </c>
      <c r="O6" s="1">
        <v>9.3000000000000007</v>
      </c>
      <c r="P6" s="1">
        <v>10.8</v>
      </c>
      <c r="Q6" s="1">
        <v>11</v>
      </c>
    </row>
    <row r="7" spans="1:25" ht="15.75" customHeight="1" x14ac:dyDescent="0.15">
      <c r="A7" s="7">
        <v>42622</v>
      </c>
      <c r="B7" s="5">
        <v>38</v>
      </c>
      <c r="C7" s="5">
        <v>7</v>
      </c>
      <c r="D7" s="5" t="s">
        <v>56</v>
      </c>
      <c r="E7" s="5" t="s">
        <v>79</v>
      </c>
      <c r="F7" s="1" t="s">
        <v>33</v>
      </c>
      <c r="G7" s="1">
        <v>83.24</v>
      </c>
      <c r="H7" s="1">
        <f>155.08+16.29</f>
        <v>171.37</v>
      </c>
      <c r="I7" s="1">
        <v>5</v>
      </c>
      <c r="J7" s="1">
        <v>8</v>
      </c>
      <c r="K7" s="5">
        <v>0</v>
      </c>
      <c r="L7" s="5">
        <v>0</v>
      </c>
      <c r="M7" s="1">
        <v>0</v>
      </c>
      <c r="N7" s="1">
        <v>0</v>
      </c>
      <c r="O7" s="1">
        <v>10.7</v>
      </c>
      <c r="P7" s="1">
        <v>13.7</v>
      </c>
      <c r="Q7" s="1">
        <v>11.8</v>
      </c>
    </row>
    <row r="8" spans="1:25" ht="15.75" customHeight="1" x14ac:dyDescent="0.15">
      <c r="A8" s="7">
        <v>42622</v>
      </c>
      <c r="B8" s="5">
        <v>38</v>
      </c>
      <c r="C8" s="5">
        <v>7</v>
      </c>
      <c r="D8" s="5" t="s">
        <v>66</v>
      </c>
      <c r="E8" s="5" t="s">
        <v>73</v>
      </c>
      <c r="F8" s="1" t="s">
        <v>50</v>
      </c>
      <c r="G8" s="1">
        <v>59.1</v>
      </c>
      <c r="H8" s="1">
        <v>110.69</v>
      </c>
      <c r="I8" s="1">
        <v>4</v>
      </c>
      <c r="J8" s="1">
        <v>6</v>
      </c>
      <c r="K8" s="5">
        <v>0</v>
      </c>
      <c r="L8" s="5">
        <v>0</v>
      </c>
      <c r="M8" s="1">
        <v>0</v>
      </c>
      <c r="N8" s="1">
        <v>0</v>
      </c>
      <c r="O8" s="1">
        <v>14.7</v>
      </c>
      <c r="P8" s="1">
        <v>17.5</v>
      </c>
      <c r="Q8" s="1">
        <v>16.899999999999999</v>
      </c>
    </row>
    <row r="9" spans="1:25" ht="15.75" customHeight="1" x14ac:dyDescent="0.15">
      <c r="A9" s="7">
        <v>42622</v>
      </c>
      <c r="B9" s="5">
        <v>38</v>
      </c>
      <c r="C9" s="5">
        <v>7</v>
      </c>
      <c r="D9" s="5" t="s">
        <v>31</v>
      </c>
      <c r="E9" s="5" t="s">
        <v>85</v>
      </c>
      <c r="F9" s="1" t="s">
        <v>89</v>
      </c>
      <c r="G9" s="1">
        <v>130.05000000000001</v>
      </c>
      <c r="I9" s="1">
        <v>5</v>
      </c>
      <c r="K9" s="5">
        <v>0</v>
      </c>
      <c r="L9" s="5"/>
      <c r="M9" s="1">
        <v>0</v>
      </c>
      <c r="N9" s="1"/>
      <c r="O9" s="1">
        <v>13.8</v>
      </c>
      <c r="P9" s="1">
        <v>16</v>
      </c>
      <c r="Q9" s="1">
        <v>16</v>
      </c>
      <c r="T9" s="1"/>
    </row>
    <row r="10" spans="1:25" ht="15.75" customHeight="1" x14ac:dyDescent="0.15">
      <c r="A10" s="7">
        <v>42622</v>
      </c>
      <c r="B10" s="5">
        <v>38</v>
      </c>
      <c r="C10" s="5">
        <v>7</v>
      </c>
      <c r="D10" s="5" t="s">
        <v>90</v>
      </c>
      <c r="E10" s="5" t="s">
        <v>91</v>
      </c>
      <c r="F10" s="1" t="s">
        <v>92</v>
      </c>
      <c r="G10" s="2">
        <v>121.08</v>
      </c>
      <c r="I10" s="1">
        <v>5</v>
      </c>
      <c r="K10" s="5">
        <v>0</v>
      </c>
      <c r="L10" s="5"/>
      <c r="M10" s="1">
        <v>0</v>
      </c>
      <c r="N10" s="1"/>
      <c r="O10" s="1">
        <v>10.5</v>
      </c>
      <c r="P10" s="1">
        <v>11</v>
      </c>
      <c r="Q10" s="1">
        <v>12.5</v>
      </c>
    </row>
    <row r="11" spans="1:25" ht="15.75" customHeight="1" x14ac:dyDescent="0.15">
      <c r="A11" s="7">
        <v>42625</v>
      </c>
      <c r="B11" s="12">
        <v>13</v>
      </c>
      <c r="C11" s="12">
        <v>3</v>
      </c>
      <c r="D11" s="13" t="s">
        <v>31</v>
      </c>
      <c r="E11" s="5" t="s">
        <v>32</v>
      </c>
      <c r="F11" s="1" t="s">
        <v>33</v>
      </c>
      <c r="G11" s="1">
        <f>155.09+97.51</f>
        <v>252.60000000000002</v>
      </c>
      <c r="I11" s="1">
        <v>8</v>
      </c>
      <c r="K11" s="5">
        <v>0</v>
      </c>
      <c r="L11" s="5"/>
      <c r="M11" s="1">
        <v>0</v>
      </c>
      <c r="N11" s="1"/>
      <c r="O11" s="1">
        <v>11.9</v>
      </c>
      <c r="P11" s="1">
        <v>10.3</v>
      </c>
      <c r="Q11" s="1">
        <v>10.4</v>
      </c>
    </row>
    <row r="12" spans="1:25" ht="15.75" customHeight="1" x14ac:dyDescent="0.15">
      <c r="A12" s="7">
        <v>42625</v>
      </c>
      <c r="B12" s="12">
        <v>14</v>
      </c>
      <c r="C12" s="12">
        <v>1</v>
      </c>
      <c r="D12" s="13" t="s">
        <v>56</v>
      </c>
      <c r="E12" s="5" t="s">
        <v>93</v>
      </c>
      <c r="F12" s="1" t="s">
        <v>92</v>
      </c>
      <c r="G12" s="1">
        <f>155.08+29.81</f>
        <v>184.89000000000001</v>
      </c>
      <c r="I12" s="1">
        <v>8</v>
      </c>
      <c r="K12" s="5">
        <v>0</v>
      </c>
      <c r="L12" s="5"/>
      <c r="M12" s="1">
        <v>0</v>
      </c>
      <c r="N12" s="1"/>
      <c r="O12" s="1">
        <v>15.1</v>
      </c>
      <c r="P12" s="1">
        <v>14.1</v>
      </c>
      <c r="Q12" s="1">
        <v>16.100000000000001</v>
      </c>
    </row>
    <row r="13" spans="1:25" ht="15.75" customHeight="1" x14ac:dyDescent="0.15">
      <c r="A13" s="7">
        <v>42625</v>
      </c>
      <c r="B13" s="12">
        <v>16</v>
      </c>
      <c r="C13" s="12">
        <v>1</v>
      </c>
      <c r="D13" s="13" t="s">
        <v>66</v>
      </c>
      <c r="E13" s="5" t="s">
        <v>94</v>
      </c>
      <c r="F13" s="1" t="s">
        <v>33</v>
      </c>
      <c r="G13" s="1">
        <v>100.02</v>
      </c>
      <c r="I13" s="1">
        <v>7</v>
      </c>
      <c r="K13" s="5">
        <v>0</v>
      </c>
      <c r="L13" s="5"/>
      <c r="M13" s="1">
        <v>0</v>
      </c>
      <c r="N13" s="1"/>
      <c r="O13" s="1">
        <v>11.1</v>
      </c>
      <c r="P13" s="1">
        <v>15</v>
      </c>
      <c r="Q13" s="1">
        <v>13</v>
      </c>
    </row>
    <row r="14" spans="1:25" ht="15.75" customHeight="1" x14ac:dyDescent="0.15">
      <c r="A14" s="7">
        <v>42625</v>
      </c>
      <c r="B14" s="12">
        <v>18</v>
      </c>
      <c r="C14" s="12">
        <v>5</v>
      </c>
      <c r="D14" s="13" t="s">
        <v>47</v>
      </c>
      <c r="E14" s="5" t="s">
        <v>49</v>
      </c>
      <c r="F14" s="1" t="s">
        <v>50</v>
      </c>
      <c r="G14" s="1">
        <f>155.07+32.57</f>
        <v>187.64</v>
      </c>
      <c r="H14" s="1">
        <f>155.04+70.1</f>
        <v>225.14</v>
      </c>
      <c r="I14" s="1">
        <v>8</v>
      </c>
      <c r="J14" s="1">
        <v>9</v>
      </c>
      <c r="K14" s="5">
        <v>0</v>
      </c>
      <c r="L14" s="5">
        <v>0</v>
      </c>
      <c r="M14" s="1">
        <v>0</v>
      </c>
      <c r="N14" s="1">
        <v>0</v>
      </c>
      <c r="O14" s="1">
        <v>10.1</v>
      </c>
      <c r="P14" s="1">
        <v>8</v>
      </c>
      <c r="Q14" s="1">
        <v>10.9</v>
      </c>
    </row>
    <row r="15" spans="1:25" ht="15.75" customHeight="1" x14ac:dyDescent="0.15">
      <c r="A15" s="7">
        <v>42625</v>
      </c>
      <c r="B15" s="12">
        <v>18</v>
      </c>
      <c r="C15" s="12">
        <v>5</v>
      </c>
      <c r="D15" s="13" t="s">
        <v>66</v>
      </c>
      <c r="E15" s="5" t="s">
        <v>75</v>
      </c>
      <c r="F15" s="1" t="s">
        <v>50</v>
      </c>
      <c r="G15" s="1">
        <f>155.1+155.1+62.17</f>
        <v>372.37</v>
      </c>
      <c r="I15" s="1">
        <v>9</v>
      </c>
      <c r="K15" s="5">
        <v>0</v>
      </c>
      <c r="L15" s="5"/>
      <c r="M15" s="1">
        <v>0</v>
      </c>
      <c r="N15" s="1"/>
      <c r="O15" s="1">
        <v>11.2</v>
      </c>
      <c r="P15" s="1">
        <v>10.4</v>
      </c>
      <c r="Q15" s="1">
        <v>10.6</v>
      </c>
    </row>
    <row r="16" spans="1:25" ht="15.75" customHeight="1" x14ac:dyDescent="0.15">
      <c r="A16" s="7">
        <v>42625</v>
      </c>
      <c r="B16" s="12">
        <v>18</v>
      </c>
      <c r="C16" s="12">
        <v>5</v>
      </c>
      <c r="D16" s="13" t="s">
        <v>31</v>
      </c>
      <c r="E16" s="5" t="s">
        <v>74</v>
      </c>
      <c r="F16" s="1" t="s">
        <v>50</v>
      </c>
      <c r="G16" s="1">
        <v>0</v>
      </c>
      <c r="H16" s="1">
        <v>210.14</v>
      </c>
      <c r="I16" s="1">
        <v>0</v>
      </c>
      <c r="J16" s="1">
        <v>8</v>
      </c>
      <c r="K16" s="5">
        <v>0</v>
      </c>
      <c r="L16" s="5">
        <v>0</v>
      </c>
      <c r="M16" s="1">
        <v>0</v>
      </c>
      <c r="N16" s="1">
        <v>0</v>
      </c>
      <c r="O16" s="1">
        <v>12.7</v>
      </c>
      <c r="P16" s="1">
        <v>14</v>
      </c>
      <c r="Q16" s="1">
        <v>14</v>
      </c>
      <c r="R16" s="1"/>
      <c r="S16" s="1"/>
      <c r="T16" s="1"/>
      <c r="U16" s="1"/>
      <c r="V16" s="1"/>
      <c r="W16" s="1"/>
      <c r="X16" s="1"/>
    </row>
    <row r="17" spans="1:25" ht="15.75" customHeight="1" x14ac:dyDescent="0.15">
      <c r="A17" s="7">
        <v>42625</v>
      </c>
      <c r="B17" s="12">
        <v>18</v>
      </c>
      <c r="C17" s="12">
        <v>5</v>
      </c>
      <c r="D17" s="13" t="s">
        <v>95</v>
      </c>
      <c r="E17" s="5" t="s">
        <v>96</v>
      </c>
      <c r="F17" s="1" t="s">
        <v>92</v>
      </c>
      <c r="G17" s="1">
        <v>312.48</v>
      </c>
      <c r="I17" s="1">
        <v>10</v>
      </c>
      <c r="K17" s="5">
        <v>0</v>
      </c>
      <c r="L17" s="5"/>
      <c r="M17" s="1">
        <v>0</v>
      </c>
      <c r="N17" s="1"/>
      <c r="O17" s="1">
        <v>8.6999999999999993</v>
      </c>
      <c r="P17" s="1">
        <v>10.7</v>
      </c>
      <c r="Q17" s="1">
        <v>9.6</v>
      </c>
    </row>
    <row r="18" spans="1:25" ht="15.75" customHeight="1" x14ac:dyDescent="0.15">
      <c r="A18" s="7">
        <v>42625</v>
      </c>
      <c r="B18" s="12">
        <v>19</v>
      </c>
      <c r="C18" s="12">
        <v>9</v>
      </c>
      <c r="D18" s="13" t="s">
        <v>56</v>
      </c>
      <c r="E18" s="5" t="s">
        <v>57</v>
      </c>
      <c r="F18" s="1" t="s">
        <v>33</v>
      </c>
      <c r="G18" s="1">
        <v>106.16</v>
      </c>
      <c r="H18" s="1">
        <f>155.08+84.14</f>
        <v>239.22000000000003</v>
      </c>
      <c r="I18" s="1">
        <v>5</v>
      </c>
      <c r="J18" s="1">
        <v>7</v>
      </c>
      <c r="K18" s="5">
        <v>0</v>
      </c>
      <c r="L18" s="5">
        <v>0</v>
      </c>
      <c r="M18" s="1">
        <v>0</v>
      </c>
      <c r="N18" s="1">
        <v>0</v>
      </c>
      <c r="O18" s="1">
        <v>12.6</v>
      </c>
      <c r="P18" s="1">
        <v>13.9</v>
      </c>
      <c r="Q18" s="1">
        <v>14.8</v>
      </c>
    </row>
    <row r="19" spans="1:25" ht="15.75" customHeight="1" x14ac:dyDescent="0.15">
      <c r="A19" s="7">
        <v>42625</v>
      </c>
      <c r="B19" s="12">
        <v>20</v>
      </c>
      <c r="C19" s="12">
        <v>2</v>
      </c>
      <c r="D19" s="13" t="s">
        <v>66</v>
      </c>
      <c r="E19" s="5" t="s">
        <v>67</v>
      </c>
      <c r="F19" s="1" t="s">
        <v>68</v>
      </c>
      <c r="G19" s="1">
        <v>35.54</v>
      </c>
      <c r="H19" s="1">
        <f>73.72+114.94</f>
        <v>188.66</v>
      </c>
      <c r="I19" s="1">
        <v>5</v>
      </c>
      <c r="J19" s="1">
        <v>8</v>
      </c>
      <c r="K19" s="5">
        <v>0</v>
      </c>
      <c r="L19" s="5">
        <v>0</v>
      </c>
      <c r="M19" s="1">
        <v>0</v>
      </c>
      <c r="N19" s="1">
        <v>0</v>
      </c>
      <c r="O19" s="1">
        <v>7.2</v>
      </c>
      <c r="P19" s="1">
        <v>7.2</v>
      </c>
      <c r="Q19" s="1">
        <v>6.1</v>
      </c>
    </row>
    <row r="20" spans="1:25" ht="15.75" customHeight="1" x14ac:dyDescent="0.15">
      <c r="A20" s="7">
        <v>42625</v>
      </c>
      <c r="B20" s="12">
        <v>20</v>
      </c>
      <c r="C20" s="12">
        <v>5</v>
      </c>
      <c r="D20" s="13" t="s">
        <v>56</v>
      </c>
      <c r="E20" s="5" t="s">
        <v>76</v>
      </c>
      <c r="F20" s="1" t="s">
        <v>50</v>
      </c>
      <c r="G20" s="1">
        <v>31.94</v>
      </c>
      <c r="H20" s="1">
        <v>65.61</v>
      </c>
      <c r="I20" s="1">
        <v>5</v>
      </c>
      <c r="J20" s="1">
        <v>5</v>
      </c>
      <c r="K20" s="5">
        <v>0</v>
      </c>
      <c r="L20" s="5">
        <v>0</v>
      </c>
      <c r="M20" s="1">
        <v>0</v>
      </c>
      <c r="N20" s="1">
        <v>0</v>
      </c>
      <c r="O20" s="1">
        <v>14.1</v>
      </c>
      <c r="P20" s="1">
        <v>14.9</v>
      </c>
      <c r="Q20" s="1">
        <v>14.6</v>
      </c>
    </row>
    <row r="21" spans="1:25" ht="15.75" customHeight="1" x14ac:dyDescent="0.15">
      <c r="A21" s="7">
        <v>42625</v>
      </c>
      <c r="B21" s="12">
        <v>38</v>
      </c>
      <c r="C21" s="12">
        <v>7</v>
      </c>
      <c r="D21" s="13" t="s">
        <v>70</v>
      </c>
      <c r="E21" s="5" t="s">
        <v>71</v>
      </c>
      <c r="F21" s="1" t="s">
        <v>68</v>
      </c>
      <c r="G21" s="1">
        <v>58.06</v>
      </c>
      <c r="H21" s="1">
        <v>155.07</v>
      </c>
      <c r="I21" s="1">
        <v>5</v>
      </c>
      <c r="J21" s="1">
        <v>7</v>
      </c>
      <c r="K21" s="5">
        <v>0</v>
      </c>
      <c r="L21" s="5">
        <v>0</v>
      </c>
      <c r="M21" s="1">
        <v>0</v>
      </c>
      <c r="N21" s="1">
        <v>0</v>
      </c>
      <c r="O21" s="1">
        <v>7.1</v>
      </c>
      <c r="P21" s="1">
        <v>8.3000000000000007</v>
      </c>
      <c r="Q21" s="1">
        <v>7.9</v>
      </c>
    </row>
    <row r="22" spans="1:25" ht="15.75" customHeight="1" x14ac:dyDescent="0.15">
      <c r="A22" s="7">
        <v>42625</v>
      </c>
      <c r="B22" s="14">
        <v>38</v>
      </c>
      <c r="C22" s="14">
        <v>7</v>
      </c>
      <c r="D22" s="9" t="s">
        <v>56</v>
      </c>
      <c r="E22" s="5" t="s">
        <v>79</v>
      </c>
      <c r="F22" s="1" t="s">
        <v>33</v>
      </c>
      <c r="G22" s="1">
        <v>114.58</v>
      </c>
      <c r="H22" s="1">
        <f>155.09+49.1</f>
        <v>204.19</v>
      </c>
      <c r="I22" s="1">
        <v>6</v>
      </c>
      <c r="J22" s="1">
        <v>8</v>
      </c>
      <c r="K22" s="5">
        <v>0</v>
      </c>
      <c r="L22" s="5">
        <v>0</v>
      </c>
      <c r="M22" s="1">
        <v>0</v>
      </c>
      <c r="N22" s="1">
        <v>0</v>
      </c>
      <c r="O22" s="1">
        <v>10.4</v>
      </c>
      <c r="P22" s="1">
        <v>8.5</v>
      </c>
      <c r="Q22" s="1">
        <v>8.6999999999999993</v>
      </c>
    </row>
    <row r="23" spans="1:25" ht="15.75" customHeight="1" x14ac:dyDescent="0.15">
      <c r="A23" s="7">
        <v>42625</v>
      </c>
      <c r="B23" s="14">
        <v>38</v>
      </c>
      <c r="C23" s="14">
        <v>7</v>
      </c>
      <c r="D23" s="13" t="s">
        <v>66</v>
      </c>
      <c r="E23" s="5" t="s">
        <v>73</v>
      </c>
      <c r="F23" s="1" t="s">
        <v>50</v>
      </c>
      <c r="G23" s="1">
        <v>61.23</v>
      </c>
      <c r="H23" s="1">
        <v>124.4</v>
      </c>
      <c r="I23" s="1">
        <v>4</v>
      </c>
      <c r="J23" s="1">
        <v>7</v>
      </c>
      <c r="K23" s="5">
        <v>0</v>
      </c>
      <c r="L23" s="5">
        <v>0</v>
      </c>
      <c r="M23" s="1">
        <v>0</v>
      </c>
      <c r="N23" s="1">
        <v>0</v>
      </c>
      <c r="O23" s="1">
        <v>13.5</v>
      </c>
      <c r="P23" s="1">
        <v>12.2</v>
      </c>
      <c r="Q23" s="1">
        <v>14.7</v>
      </c>
      <c r="Y23" s="1"/>
    </row>
    <row r="24" spans="1:25" ht="15.75" customHeight="1" x14ac:dyDescent="0.15">
      <c r="A24" s="7">
        <v>42625</v>
      </c>
      <c r="B24" s="14">
        <v>38</v>
      </c>
      <c r="C24" s="14">
        <v>7</v>
      </c>
      <c r="D24" s="13" t="s">
        <v>31</v>
      </c>
      <c r="E24" s="5" t="s">
        <v>85</v>
      </c>
      <c r="F24" s="1" t="s">
        <v>89</v>
      </c>
      <c r="G24" s="1">
        <f>155.08+14.32</f>
        <v>169.4</v>
      </c>
      <c r="I24" s="1">
        <v>6</v>
      </c>
      <c r="K24" s="5">
        <v>0</v>
      </c>
      <c r="L24" s="5"/>
      <c r="M24" s="1">
        <v>0</v>
      </c>
      <c r="N24" s="1"/>
      <c r="O24" s="1">
        <v>12.2</v>
      </c>
      <c r="P24" s="1">
        <v>11.8</v>
      </c>
      <c r="Q24" s="1">
        <v>12.5</v>
      </c>
    </row>
    <row r="25" spans="1:25" ht="15.75" customHeight="1" x14ac:dyDescent="0.15">
      <c r="A25" s="7">
        <v>42625</v>
      </c>
      <c r="B25" s="14">
        <v>38</v>
      </c>
      <c r="C25" s="14">
        <v>7</v>
      </c>
      <c r="D25" s="13" t="s">
        <v>90</v>
      </c>
      <c r="E25" s="5" t="s">
        <v>91</v>
      </c>
      <c r="F25" s="1" t="s">
        <v>92</v>
      </c>
      <c r="G25" s="1">
        <v>123.4</v>
      </c>
      <c r="I25" s="1">
        <v>6</v>
      </c>
      <c r="K25" s="5">
        <v>0</v>
      </c>
      <c r="L25" s="5"/>
      <c r="M25" s="1">
        <v>0</v>
      </c>
      <c r="N25" s="1"/>
      <c r="O25" s="1">
        <v>9.3000000000000007</v>
      </c>
      <c r="P25" s="1">
        <v>9.9</v>
      </c>
      <c r="Q25" s="1">
        <v>11</v>
      </c>
    </row>
    <row r="26" spans="1:25" ht="15.75" customHeight="1" x14ac:dyDescent="0.15">
      <c r="A26" s="7">
        <v>42627</v>
      </c>
      <c r="B26" s="5">
        <v>13</v>
      </c>
      <c r="C26" s="5">
        <v>3</v>
      </c>
      <c r="D26" s="5" t="s">
        <v>66</v>
      </c>
      <c r="E26" s="5" t="s">
        <v>87</v>
      </c>
      <c r="F26" s="1" t="s">
        <v>89</v>
      </c>
      <c r="G26" s="1">
        <v>128.44</v>
      </c>
      <c r="H26" s="1">
        <v>135.52000000000001</v>
      </c>
      <c r="I26" s="1">
        <v>6</v>
      </c>
      <c r="J26" s="1">
        <v>6</v>
      </c>
      <c r="K26" s="5">
        <v>0</v>
      </c>
      <c r="L26" s="5">
        <v>0</v>
      </c>
      <c r="M26" s="1">
        <v>0</v>
      </c>
      <c r="N26" s="1">
        <v>0</v>
      </c>
      <c r="O26" s="1">
        <v>12.1</v>
      </c>
      <c r="P26" s="1">
        <v>11.9</v>
      </c>
      <c r="Q26" s="1">
        <v>10.8</v>
      </c>
    </row>
    <row r="27" spans="1:25" ht="15.75" customHeight="1" x14ac:dyDescent="0.15">
      <c r="A27" s="7">
        <v>42627</v>
      </c>
      <c r="B27" s="5">
        <v>13</v>
      </c>
      <c r="C27" s="5">
        <v>3</v>
      </c>
      <c r="D27" s="5" t="s">
        <v>31</v>
      </c>
      <c r="E27" s="5" t="s">
        <v>32</v>
      </c>
      <c r="F27" s="1" t="s">
        <v>33</v>
      </c>
      <c r="G27" s="1">
        <f>155.08+99.71</f>
        <v>254.79000000000002</v>
      </c>
      <c r="I27" s="1">
        <v>8</v>
      </c>
      <c r="K27" s="5">
        <v>0</v>
      </c>
      <c r="L27" s="5"/>
      <c r="M27" s="1">
        <v>0</v>
      </c>
      <c r="N27" s="1"/>
      <c r="O27" s="1">
        <v>15</v>
      </c>
      <c r="P27" s="1">
        <v>14.8</v>
      </c>
      <c r="Q27" s="1">
        <v>15.7</v>
      </c>
    </row>
    <row r="28" spans="1:25" ht="15.75" customHeight="1" x14ac:dyDescent="0.15">
      <c r="A28" s="7">
        <v>42627</v>
      </c>
      <c r="B28" s="5">
        <v>14</v>
      </c>
      <c r="C28" s="5">
        <v>1</v>
      </c>
      <c r="D28" s="5" t="s">
        <v>56</v>
      </c>
      <c r="E28" s="5" t="s">
        <v>93</v>
      </c>
      <c r="F28" s="1" t="s">
        <v>92</v>
      </c>
      <c r="G28" s="1">
        <f>155.09+54.55</f>
        <v>209.64</v>
      </c>
      <c r="I28" s="1">
        <v>9</v>
      </c>
      <c r="K28" s="5">
        <v>0</v>
      </c>
      <c r="L28" s="5"/>
      <c r="M28" s="1">
        <v>0</v>
      </c>
      <c r="N28" s="1"/>
      <c r="O28" s="1">
        <v>13.5</v>
      </c>
      <c r="P28" s="1">
        <v>13.3</v>
      </c>
      <c r="Q28" s="1">
        <v>14.9</v>
      </c>
    </row>
    <row r="29" spans="1:25" ht="15.75" customHeight="1" x14ac:dyDescent="0.15">
      <c r="A29" s="7">
        <v>42627</v>
      </c>
      <c r="B29" s="5">
        <v>16</v>
      </c>
      <c r="C29" s="5">
        <v>1</v>
      </c>
      <c r="D29" s="5" t="s">
        <v>47</v>
      </c>
      <c r="E29" s="5" t="s">
        <v>81</v>
      </c>
      <c r="F29" s="1" t="s">
        <v>68</v>
      </c>
      <c r="G29" s="1">
        <v>52.79</v>
      </c>
      <c r="H29" s="1">
        <v>155.08000000000001</v>
      </c>
      <c r="I29" s="1">
        <v>6</v>
      </c>
      <c r="J29" s="1">
        <v>7</v>
      </c>
      <c r="K29" s="5">
        <v>0</v>
      </c>
      <c r="L29" s="5">
        <v>0</v>
      </c>
      <c r="M29" s="1">
        <v>0</v>
      </c>
      <c r="N29" s="1">
        <v>0</v>
      </c>
      <c r="O29" s="1">
        <v>11.7</v>
      </c>
      <c r="P29" s="1">
        <v>10.4</v>
      </c>
      <c r="Q29" s="1">
        <v>12.2</v>
      </c>
    </row>
    <row r="30" spans="1:25" ht="15.75" customHeight="1" x14ac:dyDescent="0.15">
      <c r="A30" s="7">
        <v>42627</v>
      </c>
      <c r="B30" s="5">
        <v>16</v>
      </c>
      <c r="C30" s="5">
        <v>1</v>
      </c>
      <c r="D30" s="5" t="s">
        <v>66</v>
      </c>
      <c r="E30" s="5" t="s">
        <v>94</v>
      </c>
      <c r="F30" s="1" t="s">
        <v>33</v>
      </c>
      <c r="G30" s="1">
        <v>102.48</v>
      </c>
      <c r="I30" s="1">
        <v>7</v>
      </c>
      <c r="K30" s="5">
        <v>0</v>
      </c>
      <c r="L30" s="5"/>
      <c r="M30" s="1">
        <v>0</v>
      </c>
      <c r="N30" s="1"/>
      <c r="O30" s="1">
        <v>15</v>
      </c>
      <c r="P30" s="1">
        <v>15.7</v>
      </c>
      <c r="Q30" s="1">
        <v>13.5</v>
      </c>
    </row>
    <row r="31" spans="1:25" ht="15.75" customHeight="1" x14ac:dyDescent="0.15">
      <c r="A31" s="7">
        <v>42627</v>
      </c>
      <c r="B31" s="5">
        <v>16</v>
      </c>
      <c r="C31" s="5">
        <v>1</v>
      </c>
      <c r="D31" s="5" t="s">
        <v>97</v>
      </c>
      <c r="E31" s="5" t="s">
        <v>86</v>
      </c>
      <c r="F31" s="1" t="s">
        <v>89</v>
      </c>
      <c r="G31" s="1">
        <v>20.32</v>
      </c>
      <c r="H31" s="1">
        <v>122.31</v>
      </c>
      <c r="I31" s="1">
        <v>4</v>
      </c>
      <c r="J31" s="1">
        <v>8</v>
      </c>
      <c r="K31" s="5">
        <v>0</v>
      </c>
      <c r="L31" s="5">
        <v>0</v>
      </c>
      <c r="M31" s="1">
        <v>0</v>
      </c>
      <c r="N31" s="1">
        <v>0</v>
      </c>
      <c r="O31" s="1">
        <v>15.1</v>
      </c>
      <c r="P31" s="1">
        <v>15.3</v>
      </c>
      <c r="Q31" s="1">
        <v>16.100000000000001</v>
      </c>
    </row>
    <row r="32" spans="1:25" ht="15.75" customHeight="1" x14ac:dyDescent="0.15">
      <c r="A32" s="7">
        <v>42627</v>
      </c>
      <c r="B32" s="5">
        <v>18</v>
      </c>
      <c r="C32" s="5">
        <v>5</v>
      </c>
      <c r="D32" s="5" t="s">
        <v>47</v>
      </c>
      <c r="E32" s="5" t="s">
        <v>49</v>
      </c>
      <c r="F32" s="1" t="s">
        <v>50</v>
      </c>
      <c r="G32" s="1">
        <f>155.08+34.23</f>
        <v>189.31</v>
      </c>
      <c r="H32" s="1">
        <f>155.08+155.08</f>
        <v>310.16000000000003</v>
      </c>
      <c r="I32" s="1">
        <v>8</v>
      </c>
      <c r="J32" s="1">
        <v>10</v>
      </c>
      <c r="K32" s="5">
        <v>0</v>
      </c>
      <c r="L32" s="5">
        <v>0</v>
      </c>
      <c r="M32" s="1">
        <v>0</v>
      </c>
      <c r="N32" s="1">
        <v>0</v>
      </c>
      <c r="O32" s="1">
        <v>13.6</v>
      </c>
      <c r="P32" s="1">
        <v>14.5</v>
      </c>
      <c r="Q32" s="1">
        <v>13.8</v>
      </c>
    </row>
    <row r="33" spans="1:17" ht="15.75" customHeight="1" x14ac:dyDescent="0.15">
      <c r="A33" s="7">
        <v>42627</v>
      </c>
      <c r="B33" s="5">
        <v>18</v>
      </c>
      <c r="C33" s="5">
        <v>5</v>
      </c>
      <c r="D33" s="5" t="s">
        <v>66</v>
      </c>
      <c r="E33" s="5" t="s">
        <v>75</v>
      </c>
      <c r="F33" s="1" t="s">
        <v>50</v>
      </c>
      <c r="G33" s="1">
        <f>155.11+155.11+102.44</f>
        <v>412.66</v>
      </c>
      <c r="I33" s="1">
        <v>10</v>
      </c>
      <c r="K33" s="5">
        <v>0</v>
      </c>
      <c r="L33" s="5"/>
      <c r="M33" s="1">
        <v>0</v>
      </c>
      <c r="N33" s="1"/>
      <c r="O33" s="1">
        <v>14.6</v>
      </c>
      <c r="P33" s="1">
        <v>14.7</v>
      </c>
      <c r="Q33" s="1">
        <v>16</v>
      </c>
    </row>
    <row r="34" spans="1:17" ht="15.75" customHeight="1" x14ac:dyDescent="0.15">
      <c r="A34" s="7">
        <v>42627</v>
      </c>
      <c r="B34" s="5">
        <v>18</v>
      </c>
      <c r="C34" s="5">
        <v>5</v>
      </c>
      <c r="D34" s="5" t="s">
        <v>31</v>
      </c>
      <c r="E34" s="5" t="s">
        <v>74</v>
      </c>
      <c r="F34" s="1" t="s">
        <v>50</v>
      </c>
      <c r="G34" s="1">
        <v>0</v>
      </c>
      <c r="H34" s="1">
        <f>155.09+75.36</f>
        <v>230.45</v>
      </c>
      <c r="I34" s="1">
        <v>0</v>
      </c>
      <c r="J34" s="1">
        <v>9</v>
      </c>
      <c r="K34" s="5">
        <v>0</v>
      </c>
      <c r="L34" s="5">
        <v>0</v>
      </c>
      <c r="M34" s="1">
        <v>0</v>
      </c>
      <c r="N34" s="1">
        <v>0</v>
      </c>
      <c r="O34" s="1">
        <v>12.6</v>
      </c>
      <c r="P34" s="1">
        <v>12.2</v>
      </c>
      <c r="Q34" s="1">
        <v>11.8</v>
      </c>
    </row>
    <row r="35" spans="1:17" ht="15.75" customHeight="1" x14ac:dyDescent="0.15">
      <c r="A35" s="7">
        <v>42627</v>
      </c>
      <c r="B35" s="5">
        <v>18</v>
      </c>
      <c r="C35" s="5">
        <v>5</v>
      </c>
      <c r="D35" s="5" t="s">
        <v>95</v>
      </c>
      <c r="E35" s="5" t="s">
        <v>96</v>
      </c>
      <c r="F35" s="1" t="s">
        <v>92</v>
      </c>
      <c r="G35" s="1">
        <f>30.65+95.83+155+73.68</f>
        <v>355.16</v>
      </c>
      <c r="I35" s="1">
        <v>10</v>
      </c>
      <c r="K35" s="5">
        <v>0</v>
      </c>
      <c r="L35" s="5"/>
      <c r="M35" s="1">
        <v>0</v>
      </c>
      <c r="N35" s="1"/>
      <c r="O35" s="1">
        <v>14.9</v>
      </c>
      <c r="P35" s="1">
        <v>15.5</v>
      </c>
      <c r="Q35" s="1">
        <v>15.5</v>
      </c>
    </row>
    <row r="36" spans="1:17" ht="15.75" customHeight="1" x14ac:dyDescent="0.15">
      <c r="A36" s="7">
        <v>42627</v>
      </c>
      <c r="B36" s="5">
        <v>19</v>
      </c>
      <c r="C36" s="5">
        <v>9</v>
      </c>
      <c r="D36" s="5" t="s">
        <v>56</v>
      </c>
      <c r="E36" s="5" t="s">
        <v>57</v>
      </c>
      <c r="F36" s="1" t="s">
        <v>33</v>
      </c>
      <c r="G36" s="1">
        <v>106.69</v>
      </c>
      <c r="H36" s="1">
        <f>155.08+98.83</f>
        <v>253.91000000000003</v>
      </c>
      <c r="I36" s="1">
        <v>5</v>
      </c>
      <c r="J36" s="1">
        <v>9</v>
      </c>
      <c r="K36" s="5">
        <v>0</v>
      </c>
      <c r="L36" s="5">
        <v>0</v>
      </c>
      <c r="M36" s="1">
        <v>0</v>
      </c>
      <c r="N36" s="1">
        <v>0</v>
      </c>
      <c r="O36" s="1">
        <v>16.3</v>
      </c>
      <c r="P36" s="1">
        <v>16.600000000000001</v>
      </c>
      <c r="Q36" s="1">
        <v>15</v>
      </c>
    </row>
    <row r="37" spans="1:17" ht="15.75" customHeight="1" x14ac:dyDescent="0.15">
      <c r="A37" s="7">
        <v>42627</v>
      </c>
      <c r="B37" s="5">
        <v>20</v>
      </c>
      <c r="C37" s="5">
        <v>2</v>
      </c>
      <c r="D37" s="5" t="s">
        <v>47</v>
      </c>
      <c r="E37" s="5" t="s">
        <v>80</v>
      </c>
      <c r="F37" s="1" t="s">
        <v>68</v>
      </c>
      <c r="G37" s="1">
        <v>57.38</v>
      </c>
      <c r="H37" s="1">
        <f>155.07+7.68</f>
        <v>162.75</v>
      </c>
      <c r="I37" s="1">
        <v>5</v>
      </c>
      <c r="J37" s="1">
        <v>9</v>
      </c>
      <c r="K37" s="5">
        <v>0</v>
      </c>
      <c r="L37" s="5">
        <v>0</v>
      </c>
      <c r="M37" s="1">
        <v>0</v>
      </c>
      <c r="N37" s="1">
        <v>0</v>
      </c>
      <c r="O37" s="1">
        <v>18.100000000000001</v>
      </c>
      <c r="P37" s="1">
        <v>18.100000000000001</v>
      </c>
      <c r="Q37" s="1">
        <v>18.600000000000001</v>
      </c>
    </row>
    <row r="38" spans="1:17" ht="15.75" customHeight="1" x14ac:dyDescent="0.15">
      <c r="A38" s="7">
        <v>42627</v>
      </c>
      <c r="B38" s="5">
        <v>20</v>
      </c>
      <c r="C38" s="5">
        <v>2</v>
      </c>
      <c r="D38" s="5" t="s">
        <v>66</v>
      </c>
      <c r="E38" s="5" t="s">
        <v>67</v>
      </c>
      <c r="F38" s="1" t="s">
        <v>68</v>
      </c>
      <c r="G38" s="1">
        <v>36.17</v>
      </c>
      <c r="H38" s="1">
        <f>155.08+38.7</f>
        <v>193.78000000000003</v>
      </c>
      <c r="I38" s="1">
        <v>5</v>
      </c>
      <c r="J38" s="1">
        <v>9</v>
      </c>
      <c r="K38" s="5">
        <v>0</v>
      </c>
      <c r="L38" s="5">
        <v>0</v>
      </c>
      <c r="M38" s="1">
        <v>0</v>
      </c>
      <c r="N38" s="1">
        <v>0</v>
      </c>
      <c r="O38" s="1">
        <v>13.6</v>
      </c>
      <c r="P38" s="1">
        <v>11.5</v>
      </c>
      <c r="Q38" s="1">
        <v>12.4</v>
      </c>
    </row>
    <row r="39" spans="1:17" ht="15.75" customHeight="1" x14ac:dyDescent="0.15">
      <c r="A39" s="7">
        <v>42627</v>
      </c>
      <c r="B39" s="5">
        <v>20</v>
      </c>
      <c r="C39" s="5">
        <v>2</v>
      </c>
      <c r="D39" s="5" t="s">
        <v>31</v>
      </c>
      <c r="E39" s="5" t="s">
        <v>98</v>
      </c>
      <c r="F39" s="1" t="s">
        <v>33</v>
      </c>
      <c r="G39" s="1">
        <f>155.07+50.43</f>
        <v>205.5</v>
      </c>
      <c r="I39" s="1">
        <v>8</v>
      </c>
      <c r="K39" s="5">
        <v>0</v>
      </c>
      <c r="L39" s="5"/>
      <c r="M39" s="1">
        <v>0</v>
      </c>
      <c r="N39" s="1"/>
      <c r="O39" s="1">
        <v>11.3</v>
      </c>
      <c r="P39" s="1">
        <v>10.9</v>
      </c>
      <c r="Q39" s="1">
        <v>11.3</v>
      </c>
    </row>
    <row r="40" spans="1:17" ht="15.75" customHeight="1" x14ac:dyDescent="0.15">
      <c r="A40" s="7">
        <v>42627</v>
      </c>
      <c r="B40" s="5">
        <v>20</v>
      </c>
      <c r="C40" s="5">
        <v>5</v>
      </c>
      <c r="D40" s="5" t="s">
        <v>56</v>
      </c>
      <c r="E40" s="5" t="s">
        <v>76</v>
      </c>
      <c r="F40" s="1" t="s">
        <v>50</v>
      </c>
      <c r="G40" s="1">
        <v>32</v>
      </c>
      <c r="H40" s="1">
        <v>71.56</v>
      </c>
      <c r="I40" s="1">
        <v>5</v>
      </c>
      <c r="J40" s="1">
        <v>6</v>
      </c>
      <c r="K40" s="5">
        <v>0</v>
      </c>
      <c r="L40" s="5">
        <v>0</v>
      </c>
      <c r="M40" s="1">
        <v>0</v>
      </c>
      <c r="N40" s="1">
        <v>0</v>
      </c>
      <c r="O40" s="1">
        <v>14.3</v>
      </c>
      <c r="P40" s="1">
        <v>13.2</v>
      </c>
      <c r="Q40" s="1">
        <v>11.6</v>
      </c>
    </row>
    <row r="41" spans="1:17" ht="15.75" customHeight="1" x14ac:dyDescent="0.15">
      <c r="A41" s="7">
        <v>42627</v>
      </c>
      <c r="B41" s="5">
        <v>38</v>
      </c>
      <c r="C41" s="5">
        <v>7</v>
      </c>
      <c r="D41" s="5" t="s">
        <v>70</v>
      </c>
      <c r="E41" s="5" t="s">
        <v>71</v>
      </c>
      <c r="F41" s="1" t="s">
        <v>68</v>
      </c>
      <c r="G41" s="1">
        <v>65.39</v>
      </c>
      <c r="H41" s="1">
        <v>170.91</v>
      </c>
      <c r="I41" s="1">
        <v>5</v>
      </c>
      <c r="J41" s="1">
        <v>7</v>
      </c>
      <c r="K41" s="5">
        <v>0</v>
      </c>
      <c r="L41" s="5">
        <v>0</v>
      </c>
      <c r="M41" s="1">
        <v>0</v>
      </c>
      <c r="N41" s="1">
        <v>0</v>
      </c>
      <c r="O41" s="1">
        <v>14.6</v>
      </c>
      <c r="P41" s="1">
        <v>12.5</v>
      </c>
      <c r="Q41" s="1">
        <v>14.8</v>
      </c>
    </row>
    <row r="42" spans="1:17" ht="15.75" customHeight="1" x14ac:dyDescent="0.15">
      <c r="A42" s="7">
        <v>42627</v>
      </c>
      <c r="B42" s="5">
        <v>38</v>
      </c>
      <c r="C42" s="5">
        <v>7</v>
      </c>
      <c r="D42" s="5" t="s">
        <v>56</v>
      </c>
      <c r="E42" s="5" t="s">
        <v>79</v>
      </c>
      <c r="F42" s="1" t="s">
        <v>33</v>
      </c>
      <c r="G42" s="1">
        <v>121.88</v>
      </c>
      <c r="H42" s="1">
        <f>155.07+53.02</f>
        <v>208.09</v>
      </c>
      <c r="I42" s="1">
        <v>6</v>
      </c>
      <c r="J42" s="1">
        <v>8</v>
      </c>
      <c r="K42" s="5">
        <v>0</v>
      </c>
      <c r="L42" s="5">
        <v>0</v>
      </c>
      <c r="M42" s="1">
        <v>0</v>
      </c>
      <c r="N42" s="1">
        <v>0</v>
      </c>
      <c r="O42" s="1">
        <v>12.5</v>
      </c>
      <c r="P42" s="1">
        <v>11.6</v>
      </c>
      <c r="Q42" s="1">
        <v>12.1</v>
      </c>
    </row>
    <row r="43" spans="1:17" ht="15.75" customHeight="1" x14ac:dyDescent="0.15">
      <c r="A43" s="7">
        <v>42627</v>
      </c>
      <c r="B43" s="5">
        <v>38</v>
      </c>
      <c r="C43" s="5">
        <v>7</v>
      </c>
      <c r="D43" s="5" t="s">
        <v>66</v>
      </c>
      <c r="E43" s="5" t="s">
        <v>73</v>
      </c>
      <c r="F43" s="1" t="s">
        <v>50</v>
      </c>
      <c r="G43" s="1">
        <v>64.67</v>
      </c>
      <c r="H43" s="1">
        <v>126.53</v>
      </c>
      <c r="I43" s="1">
        <v>5</v>
      </c>
      <c r="J43" s="1">
        <v>8</v>
      </c>
      <c r="K43" s="5">
        <v>0</v>
      </c>
      <c r="L43" s="5">
        <v>0</v>
      </c>
      <c r="M43" s="1">
        <v>0</v>
      </c>
      <c r="N43" s="1">
        <v>0</v>
      </c>
      <c r="O43" s="1">
        <v>17.5</v>
      </c>
      <c r="P43" s="1">
        <v>18.600000000000001</v>
      </c>
      <c r="Q43" s="1">
        <v>14.9</v>
      </c>
    </row>
    <row r="44" spans="1:17" ht="15.75" customHeight="1" x14ac:dyDescent="0.15">
      <c r="A44" s="7">
        <v>42627</v>
      </c>
      <c r="B44" s="5">
        <v>38</v>
      </c>
      <c r="C44" s="5">
        <v>7</v>
      </c>
      <c r="D44" s="5" t="s">
        <v>31</v>
      </c>
      <c r="E44" s="5" t="s">
        <v>85</v>
      </c>
      <c r="F44" s="1" t="s">
        <v>89</v>
      </c>
      <c r="G44" s="1">
        <f>155.09+15.96</f>
        <v>171.05</v>
      </c>
      <c r="I44" s="1">
        <v>7</v>
      </c>
      <c r="K44" s="5">
        <v>0</v>
      </c>
      <c r="L44" s="5"/>
      <c r="M44" s="1">
        <v>0</v>
      </c>
      <c r="N44" s="1"/>
      <c r="O44" s="1">
        <v>15.2</v>
      </c>
      <c r="P44" s="1">
        <v>15.2</v>
      </c>
      <c r="Q44" s="1">
        <v>14.7</v>
      </c>
    </row>
    <row r="45" spans="1:17" ht="15.75" customHeight="1" x14ac:dyDescent="0.15">
      <c r="A45" s="7">
        <v>42627</v>
      </c>
      <c r="B45" s="5">
        <v>38</v>
      </c>
      <c r="C45" s="5">
        <v>7</v>
      </c>
      <c r="D45" s="5" t="s">
        <v>90</v>
      </c>
      <c r="E45" s="5" t="s">
        <v>91</v>
      </c>
      <c r="F45" s="1" t="s">
        <v>92</v>
      </c>
      <c r="G45" s="1">
        <v>123.68</v>
      </c>
      <c r="I45" s="1">
        <v>7</v>
      </c>
      <c r="K45" s="5">
        <v>0</v>
      </c>
      <c r="L45" s="5"/>
      <c r="M45" s="1">
        <v>0</v>
      </c>
      <c r="N45" s="1"/>
      <c r="O45" s="1">
        <v>16.899999999999999</v>
      </c>
      <c r="P45" s="1">
        <v>20.100000000000001</v>
      </c>
      <c r="Q45" s="1">
        <v>15.7</v>
      </c>
    </row>
    <row r="46" spans="1:17" ht="15.75" customHeight="1" x14ac:dyDescent="0.15">
      <c r="A46" s="7">
        <v>42629</v>
      </c>
      <c r="B46" s="15">
        <v>13</v>
      </c>
      <c r="C46" s="15">
        <v>3</v>
      </c>
      <c r="D46" s="16" t="s">
        <v>66</v>
      </c>
      <c r="E46" s="16" t="s">
        <v>87</v>
      </c>
      <c r="F46" s="4" t="s">
        <v>89</v>
      </c>
      <c r="G46" s="1">
        <v>128.87</v>
      </c>
      <c r="H46" s="1">
        <v>141.13999999999999</v>
      </c>
      <c r="I46" s="1">
        <v>7</v>
      </c>
      <c r="J46" s="1">
        <v>6</v>
      </c>
      <c r="K46" s="5">
        <v>0</v>
      </c>
      <c r="L46" s="5">
        <v>0</v>
      </c>
      <c r="M46" s="1">
        <v>0</v>
      </c>
      <c r="N46" s="1">
        <v>0</v>
      </c>
      <c r="O46" s="1">
        <v>13.2</v>
      </c>
      <c r="P46" s="1">
        <v>13.7</v>
      </c>
      <c r="Q46" s="1">
        <v>15.7</v>
      </c>
    </row>
    <row r="47" spans="1:17" ht="13" x14ac:dyDescent="0.15">
      <c r="A47" s="7">
        <v>42629</v>
      </c>
      <c r="B47" s="12">
        <v>13</v>
      </c>
      <c r="C47" s="12">
        <v>3</v>
      </c>
      <c r="D47" s="13" t="s">
        <v>31</v>
      </c>
      <c r="E47" s="13" t="s">
        <v>32</v>
      </c>
      <c r="F47" s="4" t="s">
        <v>33</v>
      </c>
      <c r="G47" s="1">
        <f>155.08+126.97</f>
        <v>282.05</v>
      </c>
      <c r="I47" s="1">
        <v>9</v>
      </c>
      <c r="K47" s="5">
        <v>0</v>
      </c>
      <c r="L47" s="5"/>
      <c r="M47" s="1">
        <v>0</v>
      </c>
      <c r="N47" s="1"/>
      <c r="O47" s="1">
        <v>18.2</v>
      </c>
      <c r="P47" s="1">
        <v>19.600000000000001</v>
      </c>
      <c r="Q47" s="1">
        <v>19.3</v>
      </c>
    </row>
    <row r="48" spans="1:17" ht="13" x14ac:dyDescent="0.15">
      <c r="A48" s="7">
        <v>42629</v>
      </c>
      <c r="B48" s="12">
        <v>14</v>
      </c>
      <c r="C48" s="12">
        <v>1</v>
      </c>
      <c r="D48" s="13" t="s">
        <v>56</v>
      </c>
      <c r="E48" s="13" t="s">
        <v>93</v>
      </c>
      <c r="F48" s="4" t="s">
        <v>92</v>
      </c>
      <c r="G48" s="1">
        <f>79.98+155.08</f>
        <v>235.06</v>
      </c>
      <c r="I48" s="1">
        <v>9</v>
      </c>
      <c r="K48" s="5">
        <v>0</v>
      </c>
      <c r="L48" s="5"/>
      <c r="M48" s="1">
        <v>0</v>
      </c>
      <c r="N48" s="1"/>
      <c r="O48" s="1">
        <v>17</v>
      </c>
      <c r="P48" s="1">
        <v>19.3</v>
      </c>
      <c r="Q48" s="1">
        <v>16.600000000000001</v>
      </c>
    </row>
    <row r="49" spans="1:17" ht="13" x14ac:dyDescent="0.15">
      <c r="A49" s="7">
        <v>42629</v>
      </c>
      <c r="B49" s="12">
        <v>16</v>
      </c>
      <c r="C49" s="12">
        <v>1</v>
      </c>
      <c r="D49" s="13" t="s">
        <v>47</v>
      </c>
      <c r="E49" s="13" t="s">
        <v>81</v>
      </c>
      <c r="F49" s="4" t="s">
        <v>68</v>
      </c>
      <c r="G49" s="1">
        <v>77.14</v>
      </c>
      <c r="H49" s="1">
        <f>50.64+113.64</f>
        <v>164.28</v>
      </c>
      <c r="I49" s="1">
        <v>6</v>
      </c>
      <c r="J49" s="1">
        <v>7</v>
      </c>
      <c r="K49" s="5">
        <v>0</v>
      </c>
      <c r="L49" s="5">
        <v>0</v>
      </c>
      <c r="M49" s="1">
        <v>0</v>
      </c>
      <c r="N49" s="1">
        <v>0</v>
      </c>
      <c r="O49" s="1">
        <v>20.399999999999999</v>
      </c>
      <c r="P49" s="1">
        <v>18.3</v>
      </c>
      <c r="Q49" s="1">
        <v>19.399999999999999</v>
      </c>
    </row>
    <row r="50" spans="1:17" ht="13" x14ac:dyDescent="0.15">
      <c r="A50" s="7">
        <v>42629</v>
      </c>
      <c r="B50" s="12">
        <v>16</v>
      </c>
      <c r="C50" s="12">
        <v>1</v>
      </c>
      <c r="D50" s="13" t="s">
        <v>66</v>
      </c>
      <c r="E50" s="13" t="s">
        <v>94</v>
      </c>
      <c r="F50" s="4" t="s">
        <v>33</v>
      </c>
      <c r="G50" s="1">
        <v>105.45</v>
      </c>
      <c r="I50" s="1">
        <v>7</v>
      </c>
      <c r="K50" s="5">
        <v>0</v>
      </c>
      <c r="L50" s="5"/>
      <c r="M50" s="1">
        <v>0</v>
      </c>
      <c r="N50" s="1"/>
      <c r="O50" s="1">
        <v>17.100000000000001</v>
      </c>
      <c r="P50" s="1">
        <v>16.5</v>
      </c>
      <c r="Q50" s="1">
        <v>17.7</v>
      </c>
    </row>
    <row r="51" spans="1:17" ht="13" x14ac:dyDescent="0.15">
      <c r="A51" s="7">
        <v>42629</v>
      </c>
      <c r="B51" s="15">
        <v>16</v>
      </c>
      <c r="C51" s="15">
        <v>1</v>
      </c>
      <c r="D51" s="16" t="s">
        <v>97</v>
      </c>
      <c r="E51" s="16" t="s">
        <v>86</v>
      </c>
      <c r="F51" s="4" t="s">
        <v>89</v>
      </c>
      <c r="G51" s="1">
        <v>29.83</v>
      </c>
      <c r="H51" s="1">
        <v>143.5</v>
      </c>
      <c r="I51" s="1">
        <v>4</v>
      </c>
      <c r="J51" s="1">
        <v>8</v>
      </c>
      <c r="K51" s="5">
        <v>0</v>
      </c>
      <c r="L51" s="5">
        <v>0</v>
      </c>
      <c r="M51" s="1">
        <v>0</v>
      </c>
      <c r="N51" s="1">
        <v>0</v>
      </c>
      <c r="O51" s="1">
        <v>14.6</v>
      </c>
      <c r="P51" s="1">
        <v>16.3</v>
      </c>
      <c r="Q51" s="1">
        <v>16.5</v>
      </c>
    </row>
    <row r="52" spans="1:17" ht="13" x14ac:dyDescent="0.15">
      <c r="A52" s="7">
        <v>42629</v>
      </c>
      <c r="B52" s="12">
        <v>18</v>
      </c>
      <c r="C52" s="12">
        <v>5</v>
      </c>
      <c r="D52" s="13" t="s">
        <v>47</v>
      </c>
      <c r="E52" s="13" t="s">
        <v>49</v>
      </c>
      <c r="F52" s="4" t="s">
        <v>50</v>
      </c>
      <c r="G52" s="1">
        <v>192.84</v>
      </c>
      <c r="H52" s="1">
        <f>155.11+155.11+9.68</f>
        <v>319.90000000000003</v>
      </c>
      <c r="I52" s="1">
        <v>9</v>
      </c>
      <c r="J52" s="1">
        <v>10</v>
      </c>
      <c r="K52" s="5">
        <v>0</v>
      </c>
      <c r="L52" s="5">
        <v>0</v>
      </c>
      <c r="M52" s="1">
        <v>0</v>
      </c>
      <c r="N52" s="1">
        <v>0</v>
      </c>
      <c r="O52" s="1">
        <v>18.399999999999999</v>
      </c>
      <c r="P52" s="1">
        <v>16.100000000000001</v>
      </c>
      <c r="Q52" s="1">
        <v>18.100000000000001</v>
      </c>
    </row>
    <row r="53" spans="1:17" ht="13" x14ac:dyDescent="0.15">
      <c r="A53" s="7">
        <v>42629</v>
      </c>
      <c r="B53" s="12">
        <v>18</v>
      </c>
      <c r="C53" s="12">
        <v>5</v>
      </c>
      <c r="D53" s="13" t="s">
        <v>66</v>
      </c>
      <c r="E53" s="13" t="s">
        <v>75</v>
      </c>
      <c r="F53" s="4" t="s">
        <v>50</v>
      </c>
      <c r="G53" s="1">
        <v>463.76</v>
      </c>
      <c r="I53" s="1">
        <v>10</v>
      </c>
      <c r="K53" s="5">
        <v>0</v>
      </c>
      <c r="L53" s="5"/>
      <c r="M53" s="1">
        <v>0</v>
      </c>
      <c r="N53" s="1"/>
      <c r="O53" s="1">
        <v>16.7</v>
      </c>
      <c r="P53" s="1">
        <v>15.5</v>
      </c>
      <c r="Q53" s="1">
        <v>16.600000000000001</v>
      </c>
    </row>
    <row r="54" spans="1:17" ht="13" x14ac:dyDescent="0.15">
      <c r="A54" s="7">
        <v>42629</v>
      </c>
      <c r="B54" s="12">
        <v>18</v>
      </c>
      <c r="C54" s="12">
        <v>5</v>
      </c>
      <c r="D54" s="13" t="s">
        <v>31</v>
      </c>
      <c r="E54" s="13" t="s">
        <v>74</v>
      </c>
      <c r="F54" s="4" t="s">
        <v>50</v>
      </c>
      <c r="G54" s="1">
        <v>0</v>
      </c>
      <c r="H54" s="1">
        <f>155.08+126.2</f>
        <v>281.28000000000003</v>
      </c>
      <c r="I54" s="1">
        <v>0</v>
      </c>
      <c r="J54" s="1">
        <v>10</v>
      </c>
      <c r="K54" s="5">
        <v>0</v>
      </c>
      <c r="L54" s="5">
        <v>0</v>
      </c>
      <c r="M54" s="1">
        <v>0</v>
      </c>
      <c r="N54" s="1">
        <v>0</v>
      </c>
      <c r="O54" s="1">
        <v>15.9</v>
      </c>
      <c r="P54" s="1">
        <v>14.7</v>
      </c>
      <c r="Q54" s="1">
        <v>17.3</v>
      </c>
    </row>
    <row r="55" spans="1:17" ht="13" x14ac:dyDescent="0.15">
      <c r="A55" s="7">
        <v>42629</v>
      </c>
      <c r="B55" s="14">
        <v>18</v>
      </c>
      <c r="C55" s="14">
        <v>5</v>
      </c>
      <c r="D55" s="9" t="s">
        <v>97</v>
      </c>
      <c r="E55" s="9" t="s">
        <v>88</v>
      </c>
      <c r="F55" s="4" t="s">
        <v>89</v>
      </c>
      <c r="G55" s="1">
        <v>152.6</v>
      </c>
      <c r="H55" s="1">
        <f>71.17+112.13</f>
        <v>183.3</v>
      </c>
      <c r="I55" s="1">
        <v>6</v>
      </c>
      <c r="J55" s="1">
        <v>9</v>
      </c>
      <c r="K55" s="5">
        <v>0</v>
      </c>
      <c r="L55" s="5">
        <v>0</v>
      </c>
      <c r="M55" s="1">
        <v>0</v>
      </c>
      <c r="N55" s="1">
        <v>0</v>
      </c>
      <c r="O55" s="1">
        <v>12.7</v>
      </c>
      <c r="P55" s="1">
        <v>15.5</v>
      </c>
      <c r="Q55" s="1">
        <v>13</v>
      </c>
    </row>
    <row r="56" spans="1:17" ht="13" x14ac:dyDescent="0.15">
      <c r="A56" s="7">
        <v>42629</v>
      </c>
      <c r="B56" s="12">
        <v>18</v>
      </c>
      <c r="C56" s="12">
        <v>5</v>
      </c>
      <c r="D56" s="13" t="s">
        <v>95</v>
      </c>
      <c r="E56" s="13" t="s">
        <v>96</v>
      </c>
      <c r="F56" s="4" t="s">
        <v>92</v>
      </c>
      <c r="G56" s="1">
        <f>28.34+154.7+154.7+33.51</f>
        <v>371.25</v>
      </c>
      <c r="I56" s="1">
        <v>10</v>
      </c>
      <c r="K56" s="5">
        <v>0</v>
      </c>
      <c r="L56" s="5"/>
      <c r="M56" s="1">
        <v>0</v>
      </c>
      <c r="N56" s="1"/>
      <c r="O56" s="1">
        <v>17.2</v>
      </c>
      <c r="P56" s="1">
        <v>17.7</v>
      </c>
      <c r="Q56" s="1">
        <v>16.8</v>
      </c>
    </row>
    <row r="57" spans="1:17" ht="13" x14ac:dyDescent="0.15">
      <c r="A57" s="7">
        <v>42629</v>
      </c>
      <c r="B57" s="12">
        <v>19</v>
      </c>
      <c r="C57" s="12">
        <v>9</v>
      </c>
      <c r="D57" s="13" t="s">
        <v>56</v>
      </c>
      <c r="E57" s="13" t="s">
        <v>57</v>
      </c>
      <c r="F57" s="4" t="s">
        <v>33</v>
      </c>
      <c r="G57" s="1">
        <f>11.93+111.31</f>
        <v>123.24000000000001</v>
      </c>
      <c r="H57" s="1">
        <f>19.7+24.38+155.08+80.82</f>
        <v>279.98</v>
      </c>
      <c r="I57" s="1">
        <v>6</v>
      </c>
      <c r="J57" s="1">
        <v>9</v>
      </c>
      <c r="K57" s="5">
        <v>0</v>
      </c>
      <c r="L57" s="5">
        <v>0</v>
      </c>
      <c r="M57" s="1">
        <v>0</v>
      </c>
      <c r="N57" s="1">
        <v>0</v>
      </c>
      <c r="O57" s="1">
        <v>19.399999999999999</v>
      </c>
      <c r="P57" s="1">
        <v>19.100000000000001</v>
      </c>
      <c r="Q57" s="1">
        <v>15.8</v>
      </c>
    </row>
    <row r="58" spans="1:17" ht="13" x14ac:dyDescent="0.15">
      <c r="A58" s="7">
        <v>42629</v>
      </c>
      <c r="B58" s="12">
        <v>20</v>
      </c>
      <c r="C58" s="12">
        <v>2</v>
      </c>
      <c r="D58" s="16" t="s">
        <v>47</v>
      </c>
      <c r="E58" s="16" t="s">
        <v>80</v>
      </c>
      <c r="F58" s="4" t="s">
        <v>68</v>
      </c>
      <c r="G58" s="1">
        <v>57.61</v>
      </c>
      <c r="H58" s="1">
        <f>155.04+34.66</f>
        <v>189.7</v>
      </c>
      <c r="I58" s="1">
        <v>5</v>
      </c>
      <c r="J58" s="1">
        <v>9</v>
      </c>
      <c r="K58" s="5">
        <v>0</v>
      </c>
      <c r="L58" s="5">
        <v>0</v>
      </c>
      <c r="M58" s="1">
        <v>0</v>
      </c>
      <c r="N58" s="1">
        <v>0</v>
      </c>
      <c r="O58" s="1">
        <v>18.600000000000001</v>
      </c>
      <c r="P58" s="1">
        <v>22.5</v>
      </c>
      <c r="Q58" s="1">
        <v>18.2</v>
      </c>
    </row>
    <row r="59" spans="1:17" ht="13" x14ac:dyDescent="0.15">
      <c r="A59" s="7">
        <v>42629</v>
      </c>
      <c r="B59" s="12">
        <v>20</v>
      </c>
      <c r="C59" s="12">
        <v>2</v>
      </c>
      <c r="D59" s="16" t="s">
        <v>66</v>
      </c>
      <c r="E59" s="16" t="s">
        <v>67</v>
      </c>
      <c r="F59" s="4" t="s">
        <v>68</v>
      </c>
      <c r="G59" s="1">
        <v>36.21</v>
      </c>
      <c r="H59" s="1">
        <f>155.05+40.98</f>
        <v>196.03</v>
      </c>
      <c r="I59" s="1">
        <v>5</v>
      </c>
      <c r="J59" s="1">
        <v>9</v>
      </c>
      <c r="K59" s="5">
        <v>0</v>
      </c>
      <c r="L59" s="5">
        <v>0</v>
      </c>
      <c r="M59" s="1">
        <v>0</v>
      </c>
      <c r="N59" s="1">
        <v>0</v>
      </c>
      <c r="O59" s="1">
        <v>18.399999999999999</v>
      </c>
      <c r="P59" s="1">
        <v>16</v>
      </c>
      <c r="Q59" s="1">
        <v>18.899999999999999</v>
      </c>
    </row>
    <row r="60" spans="1:17" ht="13" x14ac:dyDescent="0.15">
      <c r="A60" s="7">
        <v>42629</v>
      </c>
      <c r="B60" s="12">
        <v>20</v>
      </c>
      <c r="C60" s="12">
        <v>2</v>
      </c>
      <c r="D60" s="13" t="s">
        <v>31</v>
      </c>
      <c r="E60" s="13" t="s">
        <v>98</v>
      </c>
      <c r="F60" s="4" t="s">
        <v>33</v>
      </c>
      <c r="G60" s="1">
        <f>155.08+72.54</f>
        <v>227.62</v>
      </c>
      <c r="I60" s="1">
        <v>9</v>
      </c>
      <c r="K60" s="5">
        <v>0</v>
      </c>
      <c r="L60" s="5"/>
      <c r="M60" s="1">
        <v>0</v>
      </c>
      <c r="N60" s="1"/>
      <c r="O60" s="1">
        <v>17</v>
      </c>
      <c r="P60" s="1">
        <v>17.7</v>
      </c>
      <c r="Q60" s="1">
        <v>18.2</v>
      </c>
    </row>
    <row r="61" spans="1:17" ht="13" x14ac:dyDescent="0.15">
      <c r="A61" s="7">
        <v>42629</v>
      </c>
      <c r="B61" s="12">
        <v>20</v>
      </c>
      <c r="C61" s="12">
        <v>5</v>
      </c>
      <c r="D61" s="13" t="s">
        <v>56</v>
      </c>
      <c r="E61" s="13" t="s">
        <v>76</v>
      </c>
      <c r="F61" s="4" t="s">
        <v>50</v>
      </c>
      <c r="G61" s="1">
        <v>32.67</v>
      </c>
      <c r="H61" s="1">
        <v>80.17</v>
      </c>
      <c r="I61" s="1">
        <v>5</v>
      </c>
      <c r="J61" s="1">
        <v>7</v>
      </c>
      <c r="K61" s="5">
        <v>0</v>
      </c>
      <c r="L61" s="5">
        <v>0</v>
      </c>
      <c r="M61" s="1">
        <v>0</v>
      </c>
      <c r="N61" s="1">
        <v>0</v>
      </c>
      <c r="O61" s="1">
        <v>16.100000000000001</v>
      </c>
      <c r="P61" s="1">
        <v>15.6</v>
      </c>
      <c r="Q61" s="1">
        <v>16.3</v>
      </c>
    </row>
    <row r="62" spans="1:17" ht="13" x14ac:dyDescent="0.15">
      <c r="A62" s="7">
        <v>42629</v>
      </c>
      <c r="B62" s="14">
        <v>35</v>
      </c>
      <c r="C62" s="14">
        <v>3</v>
      </c>
      <c r="D62" s="9" t="s">
        <v>90</v>
      </c>
      <c r="E62" s="9" t="s">
        <v>77</v>
      </c>
      <c r="F62" s="4" t="s">
        <v>50</v>
      </c>
      <c r="G62" s="1">
        <f>155.09+71.84</f>
        <v>226.93</v>
      </c>
      <c r="I62" s="1">
        <v>9</v>
      </c>
      <c r="K62" s="5">
        <v>0</v>
      </c>
      <c r="L62" s="5"/>
      <c r="M62" s="1">
        <v>0</v>
      </c>
      <c r="N62" s="1"/>
      <c r="O62" s="1">
        <v>12.8</v>
      </c>
      <c r="P62" s="1">
        <v>18.5</v>
      </c>
      <c r="Q62" s="1">
        <v>16.7</v>
      </c>
    </row>
    <row r="63" spans="1:17" ht="13" x14ac:dyDescent="0.15">
      <c r="A63" s="7">
        <v>42629</v>
      </c>
      <c r="B63" s="12">
        <v>38</v>
      </c>
      <c r="C63" s="12">
        <v>7</v>
      </c>
      <c r="D63" s="13" t="s">
        <v>70</v>
      </c>
      <c r="E63" s="13" t="s">
        <v>71</v>
      </c>
      <c r="F63" s="4" t="s">
        <v>68</v>
      </c>
      <c r="G63" s="1">
        <v>81.31</v>
      </c>
      <c r="H63" s="1">
        <f>155.08+16.41</f>
        <v>171.49</v>
      </c>
      <c r="I63" s="1">
        <v>6</v>
      </c>
      <c r="J63" s="1">
        <v>7</v>
      </c>
      <c r="K63" s="5">
        <v>0</v>
      </c>
      <c r="L63" s="5">
        <v>0</v>
      </c>
      <c r="M63" s="1">
        <v>0</v>
      </c>
      <c r="N63" s="1">
        <v>0</v>
      </c>
      <c r="O63" s="1">
        <v>19.7</v>
      </c>
      <c r="P63" s="1">
        <v>16</v>
      </c>
      <c r="Q63" s="1">
        <v>18.2</v>
      </c>
    </row>
    <row r="64" spans="1:17" ht="13" x14ac:dyDescent="0.15">
      <c r="A64" s="7">
        <v>42629</v>
      </c>
      <c r="B64" s="14">
        <v>38</v>
      </c>
      <c r="C64" s="14">
        <v>7</v>
      </c>
      <c r="D64" s="9" t="s">
        <v>56</v>
      </c>
      <c r="E64" s="9" t="s">
        <v>79</v>
      </c>
      <c r="F64" s="4" t="s">
        <v>33</v>
      </c>
      <c r="G64" s="1">
        <v>134.22</v>
      </c>
      <c r="H64" s="1">
        <f>155.08+60.45</f>
        <v>215.53000000000003</v>
      </c>
      <c r="I64" s="1">
        <v>7</v>
      </c>
      <c r="J64" s="1">
        <v>9</v>
      </c>
      <c r="K64" s="5">
        <v>0</v>
      </c>
      <c r="L64" s="5">
        <v>0</v>
      </c>
      <c r="M64" s="1">
        <v>0</v>
      </c>
      <c r="N64" s="1">
        <v>0</v>
      </c>
      <c r="O64" s="1">
        <v>15.4</v>
      </c>
      <c r="P64" s="1">
        <v>19.399999999999999</v>
      </c>
      <c r="Q64" s="1">
        <v>15.5</v>
      </c>
    </row>
    <row r="65" spans="1:25" ht="13" x14ac:dyDescent="0.15">
      <c r="A65" s="7">
        <v>42629</v>
      </c>
      <c r="B65" s="14">
        <v>38</v>
      </c>
      <c r="C65" s="14">
        <v>7</v>
      </c>
      <c r="D65" s="13" t="s">
        <v>66</v>
      </c>
      <c r="E65" s="13" t="s">
        <v>73</v>
      </c>
      <c r="F65" s="4" t="s">
        <v>50</v>
      </c>
      <c r="G65" s="1">
        <v>65.7</v>
      </c>
      <c r="H65" s="1">
        <v>128.36000000000001</v>
      </c>
      <c r="I65" s="1">
        <v>5</v>
      </c>
      <c r="J65" s="1">
        <v>8</v>
      </c>
      <c r="K65" s="5">
        <v>0</v>
      </c>
      <c r="L65" s="5">
        <v>0</v>
      </c>
      <c r="M65" s="1">
        <v>0</v>
      </c>
      <c r="N65" s="1">
        <v>0</v>
      </c>
      <c r="O65" s="1">
        <v>18.8</v>
      </c>
      <c r="P65" s="1">
        <v>19.899999999999999</v>
      </c>
      <c r="Q65" s="1">
        <v>19.100000000000001</v>
      </c>
    </row>
    <row r="66" spans="1:25" ht="13" x14ac:dyDescent="0.15">
      <c r="A66" s="7">
        <v>42629</v>
      </c>
      <c r="B66" s="14">
        <v>38</v>
      </c>
      <c r="C66" s="14">
        <v>7</v>
      </c>
      <c r="D66" s="13" t="s">
        <v>31</v>
      </c>
      <c r="E66" s="13" t="s">
        <v>85</v>
      </c>
      <c r="F66" s="4" t="s">
        <v>89</v>
      </c>
      <c r="G66" s="1">
        <f>155.08+28.78</f>
        <v>183.86</v>
      </c>
      <c r="I66" s="1">
        <v>8</v>
      </c>
      <c r="K66" s="5">
        <v>0</v>
      </c>
      <c r="L66" s="5"/>
      <c r="M66" s="1">
        <v>0</v>
      </c>
      <c r="N66" s="1"/>
      <c r="O66" s="1">
        <v>13.4</v>
      </c>
      <c r="P66" s="1">
        <v>12.6</v>
      </c>
      <c r="Q66" s="1">
        <v>11</v>
      </c>
    </row>
    <row r="67" spans="1:25" ht="13" x14ac:dyDescent="0.15">
      <c r="A67" s="7">
        <v>42629</v>
      </c>
      <c r="B67" s="14">
        <v>38</v>
      </c>
      <c r="C67" s="14">
        <v>7</v>
      </c>
      <c r="D67" s="13" t="s">
        <v>90</v>
      </c>
      <c r="E67" s="13" t="s">
        <v>91</v>
      </c>
      <c r="F67" s="4" t="s">
        <v>92</v>
      </c>
      <c r="G67" s="1">
        <v>128.34</v>
      </c>
      <c r="I67" s="1">
        <v>7</v>
      </c>
      <c r="K67" s="5">
        <v>0</v>
      </c>
      <c r="L67" s="5"/>
      <c r="M67" s="1">
        <v>0</v>
      </c>
      <c r="N67" s="1"/>
      <c r="O67" s="1">
        <v>17.399999999999999</v>
      </c>
      <c r="P67" s="1">
        <v>18</v>
      </c>
      <c r="Q67" s="1">
        <v>19.899999999999999</v>
      </c>
    </row>
    <row r="68" spans="1:25" ht="13" x14ac:dyDescent="0.15">
      <c r="A68" s="7">
        <v>42632</v>
      </c>
      <c r="B68" s="12">
        <v>13</v>
      </c>
      <c r="C68" s="12">
        <v>3</v>
      </c>
      <c r="D68" s="13" t="s">
        <v>66</v>
      </c>
      <c r="E68" s="13" t="s">
        <v>87</v>
      </c>
      <c r="F68" s="3" t="s">
        <v>89</v>
      </c>
      <c r="G68" s="1">
        <v>130.96</v>
      </c>
      <c r="H68" s="1">
        <v>147.31</v>
      </c>
      <c r="I68" s="1">
        <v>7</v>
      </c>
      <c r="J68" s="1">
        <v>7</v>
      </c>
      <c r="K68" s="5">
        <v>0</v>
      </c>
      <c r="L68" s="5">
        <v>0</v>
      </c>
      <c r="M68" s="1">
        <v>0</v>
      </c>
      <c r="N68" s="1">
        <v>0</v>
      </c>
      <c r="O68" s="1">
        <v>15.3</v>
      </c>
      <c r="P68" s="1">
        <v>14.3</v>
      </c>
      <c r="Q68" s="1">
        <v>15.3</v>
      </c>
    </row>
    <row r="69" spans="1:25" ht="13" x14ac:dyDescent="0.15">
      <c r="A69" s="7">
        <v>42632</v>
      </c>
      <c r="B69" s="12">
        <v>13</v>
      </c>
      <c r="C69" s="12">
        <v>3</v>
      </c>
      <c r="D69" s="13" t="s">
        <v>31</v>
      </c>
      <c r="E69" s="13" t="s">
        <v>32</v>
      </c>
      <c r="F69" s="3" t="s">
        <v>33</v>
      </c>
      <c r="G69" s="1">
        <f>86.54+85.55+125.43</f>
        <v>297.52</v>
      </c>
      <c r="I69" s="1">
        <v>10</v>
      </c>
      <c r="K69" s="5">
        <v>0</v>
      </c>
      <c r="L69" s="5"/>
      <c r="M69" s="1">
        <v>0</v>
      </c>
      <c r="N69" s="1"/>
      <c r="O69" s="1">
        <v>23.6</v>
      </c>
      <c r="P69" s="1">
        <v>19.8</v>
      </c>
      <c r="Q69" s="1">
        <v>20.9</v>
      </c>
    </row>
    <row r="70" spans="1:25" ht="13" x14ac:dyDescent="0.15">
      <c r="A70" s="7">
        <v>42632</v>
      </c>
      <c r="B70" s="12">
        <v>14</v>
      </c>
      <c r="C70" s="12">
        <v>1</v>
      </c>
      <c r="D70" s="13" t="s">
        <v>56</v>
      </c>
      <c r="E70" s="13" t="s">
        <v>93</v>
      </c>
      <c r="F70" s="3" t="s">
        <v>92</v>
      </c>
      <c r="G70" s="1">
        <f>155.1+90.02</f>
        <v>245.12</v>
      </c>
      <c r="I70" s="1">
        <v>10</v>
      </c>
      <c r="K70" s="5">
        <v>0</v>
      </c>
      <c r="L70" s="17"/>
      <c r="M70" s="1">
        <v>0</v>
      </c>
      <c r="O70" s="1">
        <v>14.9</v>
      </c>
      <c r="P70" s="1">
        <v>17</v>
      </c>
      <c r="Q70" s="1">
        <v>16.8</v>
      </c>
    </row>
    <row r="71" spans="1:25" ht="13" x14ac:dyDescent="0.15">
      <c r="A71" s="7">
        <v>42632</v>
      </c>
      <c r="B71" s="12">
        <v>16</v>
      </c>
      <c r="C71" s="12">
        <v>1</v>
      </c>
      <c r="D71" s="13" t="s">
        <v>47</v>
      </c>
      <c r="E71" s="13" t="s">
        <v>81</v>
      </c>
      <c r="F71" s="3" t="s">
        <v>68</v>
      </c>
      <c r="G71" s="1">
        <v>78.63</v>
      </c>
      <c r="H71" s="1">
        <f>18.53+148.74</f>
        <v>167.27</v>
      </c>
      <c r="I71" s="1">
        <v>6</v>
      </c>
      <c r="J71" s="1">
        <v>8</v>
      </c>
      <c r="K71" s="5">
        <v>0</v>
      </c>
      <c r="L71" s="5">
        <v>0</v>
      </c>
      <c r="M71" s="1">
        <v>0</v>
      </c>
      <c r="N71" s="1">
        <v>0</v>
      </c>
      <c r="O71" s="1">
        <v>20.100000000000001</v>
      </c>
      <c r="P71" s="1">
        <v>19.5</v>
      </c>
      <c r="Q71" s="1">
        <v>20.100000000000001</v>
      </c>
      <c r="Y71" s="1"/>
    </row>
    <row r="72" spans="1:25" ht="13" x14ac:dyDescent="0.15">
      <c r="A72" s="7">
        <v>42632</v>
      </c>
      <c r="B72" s="14">
        <v>16</v>
      </c>
      <c r="C72" s="14">
        <v>1</v>
      </c>
      <c r="D72" s="9" t="s">
        <v>56</v>
      </c>
      <c r="E72" s="9" t="s">
        <v>99</v>
      </c>
      <c r="F72" s="3" t="s">
        <v>92</v>
      </c>
      <c r="G72" s="1">
        <f>35.2+76.15</f>
        <v>111.35000000000001</v>
      </c>
      <c r="H72" s="1">
        <f>23.89+155.07+151.51</f>
        <v>330.46999999999997</v>
      </c>
      <c r="I72" s="1">
        <v>7</v>
      </c>
      <c r="J72" s="1">
        <v>10</v>
      </c>
      <c r="K72" s="5">
        <v>0</v>
      </c>
      <c r="L72" s="5">
        <v>0</v>
      </c>
      <c r="M72" s="1">
        <v>0</v>
      </c>
      <c r="N72" s="1">
        <v>0</v>
      </c>
      <c r="O72" s="1">
        <v>13</v>
      </c>
      <c r="P72" s="1">
        <v>12.1</v>
      </c>
      <c r="Q72" s="1">
        <v>15.4</v>
      </c>
    </row>
    <row r="73" spans="1:25" ht="13" x14ac:dyDescent="0.15">
      <c r="A73" s="7">
        <v>42632</v>
      </c>
      <c r="B73" s="12">
        <v>16</v>
      </c>
      <c r="C73" s="12">
        <v>1</v>
      </c>
      <c r="D73" s="13" t="s">
        <v>66</v>
      </c>
      <c r="E73" s="13" t="s">
        <v>94</v>
      </c>
      <c r="F73" s="3" t="s">
        <v>33</v>
      </c>
      <c r="G73" s="1">
        <v>118.04</v>
      </c>
      <c r="I73" s="1">
        <v>8</v>
      </c>
      <c r="K73" s="5">
        <v>0</v>
      </c>
      <c r="L73" s="17"/>
      <c r="M73" s="1">
        <v>0</v>
      </c>
      <c r="O73" s="1">
        <v>21.6</v>
      </c>
      <c r="P73" s="1">
        <v>17.5</v>
      </c>
      <c r="Q73" s="1">
        <v>19.399999999999999</v>
      </c>
    </row>
    <row r="74" spans="1:25" ht="13" x14ac:dyDescent="0.15">
      <c r="A74" s="7">
        <v>42632</v>
      </c>
      <c r="B74" s="12">
        <v>16</v>
      </c>
      <c r="C74" s="12">
        <v>1</v>
      </c>
      <c r="D74" s="13" t="s">
        <v>97</v>
      </c>
      <c r="E74" s="13" t="s">
        <v>86</v>
      </c>
      <c r="F74" s="3" t="s">
        <v>89</v>
      </c>
      <c r="G74" s="1">
        <v>37.71</v>
      </c>
      <c r="H74" s="1">
        <f>155.09+10.02</f>
        <v>165.11</v>
      </c>
      <c r="I74" s="1">
        <v>4</v>
      </c>
      <c r="J74" s="1">
        <v>9</v>
      </c>
      <c r="K74" s="5">
        <v>0</v>
      </c>
      <c r="L74" s="5">
        <v>0</v>
      </c>
      <c r="M74" s="1">
        <v>0</v>
      </c>
      <c r="N74" s="1">
        <v>0</v>
      </c>
      <c r="O74" s="1">
        <v>19.399999999999999</v>
      </c>
      <c r="P74" s="1">
        <v>17.3</v>
      </c>
      <c r="Q74" s="1">
        <v>16.899999999999999</v>
      </c>
    </row>
    <row r="75" spans="1:25" ht="13" x14ac:dyDescent="0.15">
      <c r="A75" s="7">
        <v>42632</v>
      </c>
      <c r="B75" s="12">
        <v>18</v>
      </c>
      <c r="C75" s="12">
        <v>5</v>
      </c>
      <c r="D75" s="13" t="s">
        <v>47</v>
      </c>
      <c r="E75" s="13" t="s">
        <v>49</v>
      </c>
      <c r="F75" s="3" t="s">
        <v>50</v>
      </c>
      <c r="G75" s="1">
        <f>155.08+47.52</f>
        <v>202.60000000000002</v>
      </c>
      <c r="H75" s="1">
        <v>321.56</v>
      </c>
      <c r="I75" s="1">
        <v>9</v>
      </c>
      <c r="J75" s="1">
        <v>10</v>
      </c>
      <c r="K75" s="5">
        <v>0</v>
      </c>
      <c r="L75" s="5">
        <v>0</v>
      </c>
      <c r="M75" s="1">
        <v>0</v>
      </c>
      <c r="N75" s="1">
        <v>0</v>
      </c>
      <c r="O75" s="1">
        <v>11.5</v>
      </c>
      <c r="P75" s="1">
        <v>14.1</v>
      </c>
      <c r="Q75" s="1">
        <v>13.6</v>
      </c>
    </row>
    <row r="76" spans="1:25" ht="13" x14ac:dyDescent="0.15">
      <c r="A76" s="7">
        <v>42632</v>
      </c>
      <c r="B76" s="12">
        <v>18</v>
      </c>
      <c r="C76" s="12">
        <v>5</v>
      </c>
      <c r="D76" s="13" t="s">
        <v>66</v>
      </c>
      <c r="E76" s="13" t="s">
        <v>75</v>
      </c>
      <c r="F76" s="3" t="s">
        <v>50</v>
      </c>
      <c r="G76" s="1">
        <f>155.08+155.08+155.08+4.94</f>
        <v>470.18</v>
      </c>
      <c r="H76" s="1"/>
      <c r="I76" s="1">
        <v>10</v>
      </c>
      <c r="K76" s="5">
        <v>0</v>
      </c>
      <c r="L76" s="17"/>
      <c r="M76" s="1">
        <v>0</v>
      </c>
      <c r="O76" s="1">
        <v>13</v>
      </c>
      <c r="P76" s="1">
        <v>13.5</v>
      </c>
      <c r="Q76" s="1">
        <v>11.8</v>
      </c>
    </row>
    <row r="77" spans="1:25" ht="13" x14ac:dyDescent="0.15">
      <c r="A77" s="7">
        <v>42632</v>
      </c>
      <c r="B77" s="12">
        <v>18</v>
      </c>
      <c r="C77" s="12">
        <v>5</v>
      </c>
      <c r="D77" s="13" t="s">
        <v>31</v>
      </c>
      <c r="E77" s="13" t="s">
        <v>74</v>
      </c>
      <c r="F77" s="3" t="s">
        <v>50</v>
      </c>
      <c r="G77" s="1">
        <v>0</v>
      </c>
      <c r="H77" s="1">
        <f>155.07+135.7</f>
        <v>290.77</v>
      </c>
      <c r="I77" s="1">
        <v>0</v>
      </c>
      <c r="J77" s="1">
        <v>10</v>
      </c>
      <c r="K77" s="5">
        <v>0</v>
      </c>
      <c r="L77" s="5">
        <v>0</v>
      </c>
      <c r="M77" s="1">
        <v>0</v>
      </c>
      <c r="N77" s="1">
        <v>0</v>
      </c>
      <c r="O77" s="1">
        <v>13.7</v>
      </c>
      <c r="P77" s="1">
        <v>13.7</v>
      </c>
      <c r="Q77" s="1">
        <v>14.7</v>
      </c>
    </row>
    <row r="78" spans="1:25" ht="13" x14ac:dyDescent="0.15">
      <c r="A78" s="7">
        <v>42632</v>
      </c>
      <c r="B78" s="14">
        <v>18</v>
      </c>
      <c r="C78" s="14">
        <v>5</v>
      </c>
      <c r="D78" s="9" t="s">
        <v>97</v>
      </c>
      <c r="E78" s="9" t="s">
        <v>88</v>
      </c>
      <c r="F78" s="3" t="s">
        <v>89</v>
      </c>
      <c r="G78" s="1">
        <v>153.65</v>
      </c>
      <c r="H78" s="1">
        <f>155.08+29.02</f>
        <v>184.10000000000002</v>
      </c>
      <c r="I78" s="1">
        <v>6</v>
      </c>
      <c r="J78" s="1">
        <v>9</v>
      </c>
      <c r="K78" s="5">
        <v>0</v>
      </c>
      <c r="L78" s="5">
        <v>0</v>
      </c>
      <c r="M78" s="1">
        <v>0</v>
      </c>
      <c r="N78" s="1">
        <v>0</v>
      </c>
      <c r="O78" s="1">
        <v>15.8</v>
      </c>
      <c r="P78" s="1">
        <v>15</v>
      </c>
      <c r="Q78" s="1">
        <v>15.6</v>
      </c>
      <c r="R78" s="1"/>
      <c r="S78" s="1"/>
      <c r="T78" s="1"/>
      <c r="U78" s="1"/>
      <c r="V78" s="1"/>
      <c r="W78" s="1"/>
      <c r="X78" s="1" t="s">
        <v>100</v>
      </c>
    </row>
    <row r="79" spans="1:25" ht="13" x14ac:dyDescent="0.15">
      <c r="A79" s="7">
        <v>42632</v>
      </c>
      <c r="B79" s="12">
        <v>18</v>
      </c>
      <c r="C79" s="12">
        <v>5</v>
      </c>
      <c r="D79" s="13" t="s">
        <v>95</v>
      </c>
      <c r="E79" s="13" t="s">
        <v>96</v>
      </c>
      <c r="F79" s="3" t="s">
        <v>92</v>
      </c>
      <c r="G79" s="1">
        <f>155.07+155.07+62.09</f>
        <v>372.23</v>
      </c>
      <c r="I79" s="1">
        <v>10</v>
      </c>
      <c r="K79" s="5">
        <v>0</v>
      </c>
      <c r="L79" s="17"/>
      <c r="M79" s="1">
        <v>0</v>
      </c>
      <c r="O79" s="1">
        <v>13.2</v>
      </c>
      <c r="P79" s="1">
        <v>16.3</v>
      </c>
      <c r="Q79" s="1">
        <v>14.2</v>
      </c>
    </row>
    <row r="80" spans="1:25" ht="13" x14ac:dyDescent="0.15">
      <c r="A80" s="7">
        <v>42632</v>
      </c>
      <c r="B80" s="12">
        <v>19</v>
      </c>
      <c r="C80" s="12">
        <v>9</v>
      </c>
      <c r="D80" s="13" t="s">
        <v>56</v>
      </c>
      <c r="E80" s="13" t="s">
        <v>57</v>
      </c>
      <c r="F80" s="3" t="s">
        <v>33</v>
      </c>
      <c r="G80" s="1">
        <v>139.49</v>
      </c>
      <c r="H80" s="1">
        <f>155.08+51.74+108.68</f>
        <v>315.5</v>
      </c>
      <c r="I80" s="1">
        <v>7</v>
      </c>
      <c r="J80" s="1">
        <v>10</v>
      </c>
      <c r="K80" s="5">
        <v>0</v>
      </c>
      <c r="L80" s="5">
        <v>0</v>
      </c>
      <c r="M80" s="1">
        <v>0</v>
      </c>
      <c r="N80" s="1">
        <v>0</v>
      </c>
      <c r="O80" s="1">
        <v>17.899999999999999</v>
      </c>
      <c r="P80" s="1">
        <v>18.899999999999999</v>
      </c>
      <c r="Q80" s="1">
        <v>19</v>
      </c>
    </row>
    <row r="81" spans="1:25" ht="13" x14ac:dyDescent="0.15">
      <c r="A81" s="7">
        <v>42632</v>
      </c>
      <c r="B81" s="12">
        <v>20</v>
      </c>
      <c r="C81" s="12">
        <v>2</v>
      </c>
      <c r="D81" s="13" t="s">
        <v>47</v>
      </c>
      <c r="E81" s="13" t="s">
        <v>80</v>
      </c>
      <c r="F81" s="3" t="s">
        <v>68</v>
      </c>
      <c r="G81" s="1">
        <v>59.33</v>
      </c>
      <c r="H81" s="1">
        <f>155.1+41.09</f>
        <v>196.19</v>
      </c>
      <c r="I81" s="1">
        <v>5</v>
      </c>
      <c r="J81" s="1">
        <v>9</v>
      </c>
      <c r="K81" s="5">
        <v>0</v>
      </c>
      <c r="L81" s="5">
        <v>0</v>
      </c>
      <c r="M81" s="1">
        <v>0</v>
      </c>
      <c r="N81" s="1">
        <v>0</v>
      </c>
      <c r="O81" s="1">
        <v>18.899999999999999</v>
      </c>
      <c r="P81" s="1">
        <v>18.7</v>
      </c>
      <c r="Q81" s="1">
        <v>19</v>
      </c>
    </row>
    <row r="82" spans="1:25" ht="13" x14ac:dyDescent="0.15">
      <c r="A82" s="7">
        <v>42632</v>
      </c>
      <c r="B82" s="12">
        <v>20</v>
      </c>
      <c r="C82" s="12">
        <v>2</v>
      </c>
      <c r="D82" s="13" t="s">
        <v>66</v>
      </c>
      <c r="E82" s="13" t="s">
        <v>67</v>
      </c>
      <c r="F82" s="3" t="s">
        <v>68</v>
      </c>
      <c r="G82" s="1">
        <v>38.54</v>
      </c>
      <c r="H82" s="1">
        <f>154.72+54.66</f>
        <v>209.38</v>
      </c>
      <c r="I82" s="1">
        <v>5</v>
      </c>
      <c r="J82" s="1">
        <v>9</v>
      </c>
      <c r="K82" s="5">
        <v>0</v>
      </c>
      <c r="L82" s="5">
        <v>1</v>
      </c>
      <c r="M82" s="1">
        <v>0</v>
      </c>
      <c r="N82" s="1">
        <v>9</v>
      </c>
      <c r="O82" s="1">
        <v>18.100000000000001</v>
      </c>
      <c r="P82" s="1">
        <v>18.5</v>
      </c>
      <c r="Q82" s="1">
        <v>22.4</v>
      </c>
      <c r="Y82" s="1"/>
    </row>
    <row r="83" spans="1:25" ht="13" x14ac:dyDescent="0.15">
      <c r="A83" s="7">
        <v>42632</v>
      </c>
      <c r="B83" s="12">
        <v>20</v>
      </c>
      <c r="C83" s="12">
        <v>2</v>
      </c>
      <c r="D83" s="13" t="s">
        <v>31</v>
      </c>
      <c r="E83" s="13" t="s">
        <v>98</v>
      </c>
      <c r="F83" s="3" t="s">
        <v>33</v>
      </c>
      <c r="G83" s="1">
        <f>155.09+94.12</f>
        <v>249.21</v>
      </c>
      <c r="I83" s="1">
        <v>9</v>
      </c>
      <c r="K83" s="5">
        <v>0</v>
      </c>
      <c r="L83" s="17"/>
      <c r="M83" s="1">
        <v>0</v>
      </c>
      <c r="O83" s="1">
        <v>19.5</v>
      </c>
      <c r="P83" s="1">
        <v>18.7</v>
      </c>
      <c r="Q83" s="1">
        <v>18.3</v>
      </c>
    </row>
    <row r="84" spans="1:25" ht="13" x14ac:dyDescent="0.15">
      <c r="A84" s="7">
        <v>42632</v>
      </c>
      <c r="B84" s="12">
        <v>20</v>
      </c>
      <c r="C84" s="12">
        <v>5</v>
      </c>
      <c r="D84" s="13" t="s">
        <v>56</v>
      </c>
      <c r="E84" s="13" t="s">
        <v>76</v>
      </c>
      <c r="F84" s="3" t="s">
        <v>50</v>
      </c>
      <c r="G84" s="1">
        <v>33.17</v>
      </c>
      <c r="H84" s="1">
        <v>118.44</v>
      </c>
      <c r="I84" s="1">
        <v>5</v>
      </c>
      <c r="J84" s="1">
        <v>7</v>
      </c>
      <c r="K84" s="5">
        <v>0</v>
      </c>
      <c r="L84" s="5">
        <v>0</v>
      </c>
      <c r="M84" s="1">
        <v>0</v>
      </c>
      <c r="N84" s="1">
        <v>0</v>
      </c>
      <c r="O84" s="1">
        <v>13.3</v>
      </c>
      <c r="P84" s="1">
        <v>13</v>
      </c>
      <c r="Q84" s="1">
        <v>14</v>
      </c>
    </row>
    <row r="85" spans="1:25" ht="13" x14ac:dyDescent="0.15">
      <c r="A85" s="7">
        <v>42632</v>
      </c>
      <c r="B85" s="14">
        <v>35</v>
      </c>
      <c r="C85" s="14">
        <v>3</v>
      </c>
      <c r="D85" s="9" t="s">
        <v>90</v>
      </c>
      <c r="E85" s="9" t="s">
        <v>77</v>
      </c>
      <c r="F85" s="3" t="s">
        <v>50</v>
      </c>
      <c r="G85" s="1">
        <f>155.09+142.87</f>
        <v>297.96000000000004</v>
      </c>
      <c r="I85" s="1">
        <v>9</v>
      </c>
      <c r="K85" s="5">
        <v>0</v>
      </c>
      <c r="L85" s="17"/>
      <c r="M85" s="1">
        <v>0</v>
      </c>
      <c r="O85" s="1">
        <v>12</v>
      </c>
      <c r="P85" s="1">
        <v>11.4</v>
      </c>
      <c r="Q85" s="1">
        <v>13.2</v>
      </c>
    </row>
    <row r="86" spans="1:25" ht="13" x14ac:dyDescent="0.15">
      <c r="A86" s="7">
        <v>42632</v>
      </c>
      <c r="B86" s="12">
        <v>38</v>
      </c>
      <c r="C86" s="12">
        <v>7</v>
      </c>
      <c r="D86" s="13" t="s">
        <v>70</v>
      </c>
      <c r="E86" s="13" t="s">
        <v>71</v>
      </c>
      <c r="F86" s="3" t="s">
        <v>68</v>
      </c>
      <c r="G86" s="1">
        <v>116.12</v>
      </c>
      <c r="H86" s="1">
        <f>155.04+20.82</f>
        <v>175.85999999999999</v>
      </c>
      <c r="I86" s="1">
        <v>8</v>
      </c>
      <c r="J86" s="1">
        <v>8</v>
      </c>
      <c r="K86" s="5">
        <v>0</v>
      </c>
      <c r="L86" s="5">
        <v>0</v>
      </c>
      <c r="M86" s="1">
        <v>0</v>
      </c>
      <c r="N86" s="1">
        <v>0</v>
      </c>
      <c r="O86" s="1">
        <v>15.7</v>
      </c>
      <c r="P86" s="1">
        <v>17.899999999999999</v>
      </c>
      <c r="Q86" s="1">
        <v>15.1</v>
      </c>
    </row>
    <row r="87" spans="1:25" ht="13" x14ac:dyDescent="0.15">
      <c r="A87" s="7">
        <v>42632</v>
      </c>
      <c r="B87" s="14">
        <v>38</v>
      </c>
      <c r="C87" s="14">
        <v>7</v>
      </c>
      <c r="D87" s="9" t="s">
        <v>56</v>
      </c>
      <c r="E87" s="9" t="s">
        <v>79</v>
      </c>
      <c r="F87" s="3" t="s">
        <v>33</v>
      </c>
      <c r="G87" s="1">
        <v>151.33000000000001</v>
      </c>
      <c r="H87" s="1">
        <f>155+54.4+18.66</f>
        <v>228.06</v>
      </c>
      <c r="I87" s="1">
        <v>9</v>
      </c>
      <c r="J87" s="1">
        <v>10</v>
      </c>
      <c r="K87" s="5">
        <v>0</v>
      </c>
      <c r="L87" s="5">
        <v>2</v>
      </c>
      <c r="M87" s="1">
        <v>0</v>
      </c>
      <c r="N87" s="1">
        <v>3</v>
      </c>
      <c r="O87" s="1">
        <v>19.399999999999999</v>
      </c>
      <c r="P87" s="1">
        <v>17.399999999999999</v>
      </c>
      <c r="Q87" s="1">
        <v>19.5</v>
      </c>
      <c r="R87" s="1"/>
      <c r="S87" s="1">
        <v>10</v>
      </c>
      <c r="T87" s="1"/>
      <c r="U87" s="1"/>
      <c r="V87" s="1"/>
      <c r="W87" s="1"/>
      <c r="X87" s="1"/>
    </row>
    <row r="88" spans="1:25" ht="13" x14ac:dyDescent="0.15">
      <c r="A88" s="7">
        <v>42632</v>
      </c>
      <c r="B88" s="14">
        <v>38</v>
      </c>
      <c r="C88" s="14">
        <v>7</v>
      </c>
      <c r="D88" s="13" t="s">
        <v>66</v>
      </c>
      <c r="E88" s="13" t="s">
        <v>73</v>
      </c>
      <c r="F88" s="3" t="s">
        <v>50</v>
      </c>
      <c r="G88" s="1">
        <v>67.209999999999994</v>
      </c>
      <c r="H88" s="1">
        <f>101.54+26.83</f>
        <v>128.37</v>
      </c>
      <c r="I88" s="1">
        <v>5</v>
      </c>
      <c r="J88" s="1">
        <v>8</v>
      </c>
      <c r="K88" s="5">
        <v>0</v>
      </c>
      <c r="L88" s="5">
        <v>8</v>
      </c>
      <c r="M88" s="1">
        <v>0</v>
      </c>
      <c r="N88" s="1">
        <v>6</v>
      </c>
      <c r="O88" s="1">
        <v>15.2</v>
      </c>
      <c r="P88" s="1">
        <v>15</v>
      </c>
      <c r="Q88" s="1">
        <v>17</v>
      </c>
    </row>
    <row r="89" spans="1:25" ht="13" x14ac:dyDescent="0.15">
      <c r="A89" s="7">
        <v>42632</v>
      </c>
      <c r="B89" s="14">
        <v>38</v>
      </c>
      <c r="C89" s="14">
        <v>7</v>
      </c>
      <c r="D89" s="13" t="s">
        <v>31</v>
      </c>
      <c r="E89" s="13" t="s">
        <v>85</v>
      </c>
      <c r="F89" s="3" t="s">
        <v>89</v>
      </c>
      <c r="G89" s="1">
        <f>155.09+73.59</f>
        <v>228.68</v>
      </c>
      <c r="I89" s="1">
        <v>10</v>
      </c>
      <c r="K89" s="5">
        <v>0</v>
      </c>
      <c r="L89" s="17"/>
      <c r="M89" s="1">
        <v>0</v>
      </c>
      <c r="O89" s="1">
        <v>16.899999999999999</v>
      </c>
      <c r="P89" s="1">
        <v>17.3</v>
      </c>
      <c r="Q89" s="1">
        <v>16.899999999999999</v>
      </c>
    </row>
    <row r="90" spans="1:25" ht="13" x14ac:dyDescent="0.15">
      <c r="A90" s="7">
        <v>42632</v>
      </c>
      <c r="B90" s="14">
        <v>38</v>
      </c>
      <c r="C90" s="14">
        <v>7</v>
      </c>
      <c r="D90" s="13" t="s">
        <v>90</v>
      </c>
      <c r="E90" s="13" t="s">
        <v>91</v>
      </c>
      <c r="F90" s="3" t="s">
        <v>92</v>
      </c>
      <c r="G90" s="1">
        <v>129.51</v>
      </c>
      <c r="I90" s="1">
        <v>7</v>
      </c>
      <c r="K90" s="5">
        <v>0</v>
      </c>
      <c r="L90" s="17"/>
      <c r="M90" s="1">
        <v>0</v>
      </c>
      <c r="O90" s="1">
        <v>17</v>
      </c>
      <c r="P90" s="1">
        <v>14.6</v>
      </c>
      <c r="Q90" s="1">
        <v>17.7</v>
      </c>
    </row>
    <row r="91" spans="1:25" ht="13" x14ac:dyDescent="0.15">
      <c r="A91" s="7">
        <v>42634</v>
      </c>
      <c r="B91" s="12">
        <v>13</v>
      </c>
      <c r="C91" s="12">
        <v>3</v>
      </c>
      <c r="D91" s="13" t="s">
        <v>66</v>
      </c>
      <c r="E91" s="13" t="s">
        <v>87</v>
      </c>
      <c r="F91" s="3" t="s">
        <v>89</v>
      </c>
      <c r="G91" s="1">
        <v>132.88</v>
      </c>
      <c r="H91" s="1">
        <v>148.32</v>
      </c>
      <c r="I91" s="1">
        <v>7</v>
      </c>
      <c r="J91" s="1">
        <v>7</v>
      </c>
      <c r="K91" s="5">
        <v>0</v>
      </c>
      <c r="L91" s="5">
        <v>0</v>
      </c>
      <c r="M91" s="1">
        <v>0</v>
      </c>
      <c r="N91" s="1">
        <v>0</v>
      </c>
      <c r="O91" s="1">
        <v>13</v>
      </c>
      <c r="P91" s="1">
        <v>13.5</v>
      </c>
      <c r="Q91" s="1">
        <v>15</v>
      </c>
      <c r="Y91" s="1"/>
    </row>
    <row r="92" spans="1:25" ht="13" x14ac:dyDescent="0.15">
      <c r="A92" s="7">
        <v>42634</v>
      </c>
      <c r="B92" s="12">
        <v>13</v>
      </c>
      <c r="C92" s="12">
        <v>3</v>
      </c>
      <c r="D92" s="13" t="s">
        <v>31</v>
      </c>
      <c r="E92" s="13" t="s">
        <v>32</v>
      </c>
      <c r="F92" s="3" t="s">
        <v>33</v>
      </c>
      <c r="G92" s="1">
        <f>155.09+143.1</f>
        <v>298.19</v>
      </c>
      <c r="I92" s="1">
        <v>10</v>
      </c>
      <c r="K92" s="5">
        <v>0</v>
      </c>
      <c r="L92" s="17"/>
      <c r="M92" s="1">
        <v>0</v>
      </c>
      <c r="O92" s="1">
        <v>18.3</v>
      </c>
      <c r="P92" s="1">
        <v>18.8</v>
      </c>
      <c r="Q92" s="1">
        <v>19.100000000000001</v>
      </c>
      <c r="R92" s="1"/>
      <c r="S92" s="1"/>
      <c r="T92" s="1">
        <v>27</v>
      </c>
      <c r="U92" s="1"/>
      <c r="V92" s="1">
        <v>46</v>
      </c>
      <c r="W92" s="1"/>
      <c r="X92" s="1"/>
      <c r="Y92" s="1"/>
    </row>
    <row r="93" spans="1:25" ht="13" x14ac:dyDescent="0.15">
      <c r="A93" s="7">
        <v>42634</v>
      </c>
      <c r="B93" s="12">
        <v>14</v>
      </c>
      <c r="C93" s="12">
        <v>1</v>
      </c>
      <c r="D93" s="13" t="s">
        <v>56</v>
      </c>
      <c r="E93" s="16" t="s">
        <v>93</v>
      </c>
      <c r="F93" s="3" t="s">
        <v>92</v>
      </c>
      <c r="G93" s="1">
        <f>154.7+96.96</f>
        <v>251.65999999999997</v>
      </c>
      <c r="I93" s="1">
        <v>10</v>
      </c>
      <c r="K93" s="5">
        <v>0</v>
      </c>
      <c r="L93" s="17"/>
      <c r="M93" s="1">
        <v>0</v>
      </c>
      <c r="O93" s="1">
        <v>15.2</v>
      </c>
      <c r="P93" s="1">
        <v>15.1</v>
      </c>
      <c r="Q93" s="1">
        <v>15.5</v>
      </c>
    </row>
    <row r="94" spans="1:25" ht="13" x14ac:dyDescent="0.15">
      <c r="A94" s="7">
        <v>42634</v>
      </c>
      <c r="B94" s="12">
        <v>16</v>
      </c>
      <c r="C94" s="12">
        <v>1</v>
      </c>
      <c r="D94" s="13" t="s">
        <v>47</v>
      </c>
      <c r="E94" s="13" t="s">
        <v>81</v>
      </c>
      <c r="F94" s="3" t="s">
        <v>68</v>
      </c>
      <c r="G94" s="1">
        <v>78.680000000000007</v>
      </c>
      <c r="H94" s="1">
        <f>155.09+19.4</f>
        <v>174.49</v>
      </c>
      <c r="I94" s="1">
        <v>6</v>
      </c>
      <c r="J94" s="1">
        <v>8</v>
      </c>
      <c r="K94" s="5">
        <v>0</v>
      </c>
      <c r="L94" s="5">
        <v>0</v>
      </c>
      <c r="M94" s="1">
        <v>0</v>
      </c>
      <c r="N94" s="1">
        <v>0</v>
      </c>
      <c r="O94" s="1">
        <v>10.8</v>
      </c>
      <c r="P94" s="1">
        <v>13.3</v>
      </c>
      <c r="Q94" s="1">
        <v>10.9</v>
      </c>
      <c r="R94" s="1"/>
      <c r="S94" s="1"/>
      <c r="T94" s="1"/>
      <c r="U94" s="1">
        <v>21</v>
      </c>
      <c r="V94" s="1"/>
      <c r="W94" s="1">
        <v>34</v>
      </c>
      <c r="X94" s="1"/>
      <c r="Y94" s="1"/>
    </row>
    <row r="95" spans="1:25" ht="13" x14ac:dyDescent="0.15">
      <c r="A95" s="7">
        <v>42634</v>
      </c>
      <c r="B95" s="14">
        <v>16</v>
      </c>
      <c r="C95" s="14">
        <v>1</v>
      </c>
      <c r="D95" s="9" t="s">
        <v>56</v>
      </c>
      <c r="E95" s="9" t="s">
        <v>99</v>
      </c>
      <c r="F95" s="3" t="s">
        <v>92</v>
      </c>
      <c r="G95" s="1">
        <v>115.53</v>
      </c>
      <c r="H95" s="1">
        <f>155.08+155.08+20.97</f>
        <v>331.13</v>
      </c>
      <c r="I95" s="1">
        <v>7</v>
      </c>
      <c r="J95" s="1">
        <v>10</v>
      </c>
      <c r="K95" s="5">
        <v>0</v>
      </c>
      <c r="L95" s="5">
        <v>0</v>
      </c>
      <c r="M95" s="1">
        <v>0</v>
      </c>
      <c r="N95" s="1">
        <v>0</v>
      </c>
      <c r="O95" s="1">
        <v>11.1</v>
      </c>
      <c r="P95" s="1">
        <v>13</v>
      </c>
      <c r="Q95" s="1">
        <v>11.6</v>
      </c>
      <c r="Y95" s="1"/>
    </row>
    <row r="96" spans="1:25" ht="13" x14ac:dyDescent="0.15">
      <c r="A96" s="7">
        <v>42634</v>
      </c>
      <c r="B96" s="12">
        <v>16</v>
      </c>
      <c r="C96" s="12">
        <v>1</v>
      </c>
      <c r="D96" s="13" t="s">
        <v>66</v>
      </c>
      <c r="E96" s="13" t="s">
        <v>94</v>
      </c>
      <c r="F96" s="3" t="s">
        <v>33</v>
      </c>
      <c r="G96" s="1">
        <v>136.91</v>
      </c>
      <c r="I96" s="1">
        <v>9</v>
      </c>
      <c r="K96" s="5">
        <v>0</v>
      </c>
      <c r="L96" s="17"/>
      <c r="M96" s="1">
        <v>0</v>
      </c>
      <c r="O96" s="1">
        <v>17.5</v>
      </c>
      <c r="P96" s="1">
        <v>16.600000000000001</v>
      </c>
      <c r="Q96" s="1">
        <v>16</v>
      </c>
      <c r="R96" s="1"/>
      <c r="S96" s="1"/>
      <c r="T96" s="1">
        <v>14</v>
      </c>
      <c r="U96" s="1"/>
      <c r="V96" s="1">
        <v>16</v>
      </c>
      <c r="W96" s="1"/>
      <c r="X96" s="1"/>
      <c r="Y96" s="1"/>
    </row>
    <row r="97" spans="1:25" ht="13" x14ac:dyDescent="0.15">
      <c r="A97" s="7">
        <v>42634</v>
      </c>
      <c r="B97" s="12">
        <v>16</v>
      </c>
      <c r="C97" s="12">
        <v>1</v>
      </c>
      <c r="D97" s="13" t="s">
        <v>97</v>
      </c>
      <c r="E97" s="13" t="s">
        <v>86</v>
      </c>
      <c r="F97" s="3" t="s">
        <v>89</v>
      </c>
      <c r="G97" s="1">
        <v>43.17</v>
      </c>
      <c r="H97" s="1">
        <f>155.08+29.07</f>
        <v>184.15</v>
      </c>
      <c r="I97" s="1">
        <v>5</v>
      </c>
      <c r="J97" s="1">
        <v>10</v>
      </c>
      <c r="K97" s="5">
        <v>0</v>
      </c>
      <c r="L97" s="5">
        <v>0</v>
      </c>
      <c r="M97" s="1">
        <v>0</v>
      </c>
      <c r="N97" s="1">
        <v>0</v>
      </c>
      <c r="O97" s="1">
        <v>17.100000000000001</v>
      </c>
      <c r="P97" s="1">
        <v>16.2</v>
      </c>
      <c r="Q97" s="1">
        <v>17</v>
      </c>
      <c r="R97" s="1"/>
      <c r="S97" s="1"/>
      <c r="T97" s="1"/>
      <c r="U97" s="1">
        <v>32</v>
      </c>
      <c r="V97" s="1"/>
      <c r="W97" s="1">
        <v>67</v>
      </c>
      <c r="X97" s="1"/>
      <c r="Y97" s="1"/>
    </row>
    <row r="98" spans="1:25" ht="13" x14ac:dyDescent="0.15">
      <c r="A98" s="7">
        <v>42634</v>
      </c>
      <c r="B98" s="12">
        <v>18</v>
      </c>
      <c r="C98" s="12">
        <v>5</v>
      </c>
      <c r="D98" s="13" t="s">
        <v>47</v>
      </c>
      <c r="E98" s="13" t="s">
        <v>49</v>
      </c>
      <c r="F98" s="3" t="s">
        <v>50</v>
      </c>
      <c r="G98" s="1">
        <f>37.15+155.08+40.12</f>
        <v>232.35000000000002</v>
      </c>
      <c r="H98" s="1">
        <f>154.72+154.72+57.28</f>
        <v>366.72</v>
      </c>
      <c r="I98" s="1">
        <v>10</v>
      </c>
      <c r="J98" s="1">
        <v>10</v>
      </c>
      <c r="K98" s="5">
        <v>0</v>
      </c>
      <c r="L98" s="5">
        <v>4</v>
      </c>
      <c r="M98" s="1">
        <v>0</v>
      </c>
      <c r="N98" s="1">
        <v>7</v>
      </c>
      <c r="O98" s="1">
        <v>17</v>
      </c>
      <c r="P98" s="1">
        <v>18.100000000000001</v>
      </c>
      <c r="Q98" s="1">
        <v>18.5</v>
      </c>
      <c r="R98" s="1"/>
      <c r="S98" s="1">
        <v>2</v>
      </c>
      <c r="T98" s="1"/>
      <c r="U98" s="1"/>
      <c r="V98" s="1"/>
      <c r="W98" s="1"/>
      <c r="X98" s="1"/>
      <c r="Y98" s="1"/>
    </row>
    <row r="99" spans="1:25" ht="13" x14ac:dyDescent="0.15">
      <c r="A99" s="7">
        <v>42634</v>
      </c>
      <c r="B99" s="12">
        <v>18</v>
      </c>
      <c r="C99" s="12">
        <v>5</v>
      </c>
      <c r="D99" s="13" t="s">
        <v>66</v>
      </c>
      <c r="E99" s="13" t="s">
        <v>75</v>
      </c>
      <c r="F99" s="3" t="s">
        <v>50</v>
      </c>
      <c r="G99" s="1">
        <f>155.08+155.08+155.08+9.26</f>
        <v>474.5</v>
      </c>
      <c r="I99" s="1">
        <v>10</v>
      </c>
      <c r="K99" s="5">
        <v>0</v>
      </c>
      <c r="L99" s="17"/>
      <c r="M99" s="1">
        <v>0</v>
      </c>
      <c r="O99" s="1">
        <v>9.4</v>
      </c>
      <c r="P99" s="1">
        <v>11.2</v>
      </c>
      <c r="Q99" s="1">
        <v>9.6999999999999993</v>
      </c>
      <c r="R99" s="1"/>
      <c r="S99" s="1"/>
      <c r="T99" s="1">
        <v>33</v>
      </c>
      <c r="U99" s="1"/>
      <c r="V99" s="1">
        <v>57</v>
      </c>
      <c r="W99" s="1"/>
      <c r="X99" s="1"/>
      <c r="Y99" s="1"/>
    </row>
    <row r="100" spans="1:25" ht="13" x14ac:dyDescent="0.15">
      <c r="A100" s="7">
        <v>42634</v>
      </c>
      <c r="B100" s="12">
        <v>18</v>
      </c>
      <c r="C100" s="12">
        <v>5</v>
      </c>
      <c r="D100" s="13" t="s">
        <v>31</v>
      </c>
      <c r="E100" s="13" t="s">
        <v>74</v>
      </c>
      <c r="F100" s="3" t="s">
        <v>50</v>
      </c>
      <c r="G100" s="1">
        <v>0</v>
      </c>
      <c r="H100" s="1">
        <v>293.38</v>
      </c>
      <c r="I100" s="1">
        <v>0</v>
      </c>
      <c r="J100" s="1">
        <v>10</v>
      </c>
      <c r="K100" s="5">
        <v>0</v>
      </c>
      <c r="L100" s="5">
        <v>0</v>
      </c>
      <c r="M100" s="1">
        <v>0</v>
      </c>
      <c r="N100" s="1">
        <v>0</v>
      </c>
      <c r="O100" s="1">
        <v>11.5</v>
      </c>
      <c r="P100" s="1">
        <v>11.9</v>
      </c>
      <c r="Q100" s="1">
        <v>13.6</v>
      </c>
      <c r="R100" s="1"/>
      <c r="S100" s="1"/>
      <c r="T100" s="1">
        <v>56</v>
      </c>
      <c r="U100" s="1"/>
      <c r="V100" s="1">
        <v>111</v>
      </c>
      <c r="W100" s="1"/>
      <c r="X100" s="1"/>
    </row>
    <row r="101" spans="1:25" ht="13" x14ac:dyDescent="0.15">
      <c r="A101" s="7">
        <v>42634</v>
      </c>
      <c r="B101" s="14">
        <v>18</v>
      </c>
      <c r="C101" s="14">
        <v>5</v>
      </c>
      <c r="D101" s="9" t="s">
        <v>97</v>
      </c>
      <c r="E101" s="9" t="s">
        <v>88</v>
      </c>
      <c r="F101" s="3" t="s">
        <v>89</v>
      </c>
      <c r="G101" s="1">
        <v>154.71</v>
      </c>
      <c r="H101" s="1">
        <f>154.71+34.17</f>
        <v>188.88</v>
      </c>
      <c r="I101" s="1">
        <v>6</v>
      </c>
      <c r="J101" s="1">
        <v>10</v>
      </c>
      <c r="K101" s="5">
        <v>0</v>
      </c>
      <c r="L101" s="5">
        <v>0</v>
      </c>
      <c r="M101" s="1">
        <v>0</v>
      </c>
      <c r="N101" s="1">
        <v>0</v>
      </c>
      <c r="O101" s="1">
        <v>11</v>
      </c>
      <c r="P101" s="1">
        <v>13.1</v>
      </c>
      <c r="Q101" s="1">
        <v>13.9</v>
      </c>
      <c r="Y101" s="1"/>
    </row>
    <row r="102" spans="1:25" ht="13" x14ac:dyDescent="0.15">
      <c r="A102" s="7">
        <v>42634</v>
      </c>
      <c r="B102" s="12">
        <v>18</v>
      </c>
      <c r="C102" s="12">
        <v>5</v>
      </c>
      <c r="D102" s="13" t="s">
        <v>95</v>
      </c>
      <c r="E102" s="13" t="s">
        <v>96</v>
      </c>
      <c r="F102" s="3" t="s">
        <v>92</v>
      </c>
      <c r="G102" s="1">
        <f>31.78+155.08+155.08+33.34</f>
        <v>375.28000000000009</v>
      </c>
      <c r="I102" s="1">
        <v>10</v>
      </c>
      <c r="K102" s="5">
        <v>0</v>
      </c>
      <c r="L102" s="17"/>
      <c r="M102" s="1">
        <v>0</v>
      </c>
      <c r="O102" s="1">
        <v>15.3</v>
      </c>
      <c r="P102" s="1">
        <v>15.3</v>
      </c>
      <c r="Q102" s="1">
        <v>15.9</v>
      </c>
      <c r="Y102" s="1"/>
    </row>
    <row r="103" spans="1:25" ht="13" x14ac:dyDescent="0.15">
      <c r="A103" s="7">
        <v>42634</v>
      </c>
      <c r="B103" s="12">
        <v>19</v>
      </c>
      <c r="C103" s="12">
        <v>9</v>
      </c>
      <c r="D103" s="13" t="s">
        <v>56</v>
      </c>
      <c r="E103" s="13" t="s">
        <v>57</v>
      </c>
      <c r="F103" s="3" t="s">
        <v>33</v>
      </c>
      <c r="G103" s="1">
        <v>143.49</v>
      </c>
      <c r="H103" s="1">
        <f>48.1+155.07+127.95</f>
        <v>331.12</v>
      </c>
      <c r="I103" s="1">
        <v>7</v>
      </c>
      <c r="J103" s="1">
        <v>10</v>
      </c>
      <c r="K103" s="5">
        <v>0</v>
      </c>
      <c r="L103" s="5">
        <v>0</v>
      </c>
      <c r="M103" s="1">
        <v>0</v>
      </c>
      <c r="N103" s="1">
        <v>0</v>
      </c>
      <c r="O103" s="1">
        <v>14.6</v>
      </c>
      <c r="P103" s="1">
        <v>15.6</v>
      </c>
      <c r="Q103" s="1">
        <v>13.4</v>
      </c>
      <c r="R103" s="1"/>
      <c r="S103" s="1"/>
      <c r="T103" s="1"/>
      <c r="U103" s="1">
        <v>59</v>
      </c>
      <c r="V103" s="1"/>
      <c r="W103" s="1">
        <v>117</v>
      </c>
      <c r="X103" s="1"/>
    </row>
    <row r="104" spans="1:25" ht="13" x14ac:dyDescent="0.15">
      <c r="A104" s="7">
        <v>42634</v>
      </c>
      <c r="B104" s="12">
        <v>20</v>
      </c>
      <c r="C104" s="12">
        <v>2</v>
      </c>
      <c r="D104" s="13" t="s">
        <v>47</v>
      </c>
      <c r="E104" s="13" t="s">
        <v>80</v>
      </c>
      <c r="F104" s="3" t="s">
        <v>68</v>
      </c>
      <c r="G104" s="1">
        <v>60.63</v>
      </c>
      <c r="H104" s="1">
        <f>155.1+44.55</f>
        <v>199.64999999999998</v>
      </c>
      <c r="I104" s="1">
        <v>5</v>
      </c>
      <c r="J104" s="1">
        <v>9</v>
      </c>
      <c r="K104" s="5">
        <v>0</v>
      </c>
      <c r="L104" s="5">
        <v>0</v>
      </c>
      <c r="M104" s="1">
        <v>0</v>
      </c>
      <c r="N104" s="1">
        <v>0</v>
      </c>
      <c r="O104" s="1">
        <v>15.3</v>
      </c>
      <c r="P104" s="1">
        <v>16.7</v>
      </c>
      <c r="Q104" s="1">
        <v>16.5</v>
      </c>
      <c r="R104" s="1"/>
      <c r="S104" s="1"/>
      <c r="T104" s="1"/>
      <c r="U104" s="1">
        <v>33</v>
      </c>
      <c r="V104" s="1"/>
      <c r="W104" s="1">
        <v>57</v>
      </c>
      <c r="X104" s="1"/>
    </row>
    <row r="105" spans="1:25" ht="13" x14ac:dyDescent="0.15">
      <c r="A105" s="7">
        <v>42634</v>
      </c>
      <c r="B105" s="12">
        <v>20</v>
      </c>
      <c r="C105" s="12">
        <v>2</v>
      </c>
      <c r="D105" s="13" t="s">
        <v>66</v>
      </c>
      <c r="E105" s="13" t="s">
        <v>67</v>
      </c>
      <c r="F105" s="3" t="s">
        <v>68</v>
      </c>
      <c r="G105" s="1">
        <v>41.11</v>
      </c>
      <c r="H105" s="1">
        <f>155.08+55.03</f>
        <v>210.11</v>
      </c>
      <c r="I105" s="1">
        <v>5</v>
      </c>
      <c r="J105" s="1">
        <v>9</v>
      </c>
      <c r="K105" s="5">
        <v>0</v>
      </c>
      <c r="L105" s="5">
        <v>5</v>
      </c>
      <c r="M105" s="1">
        <v>0</v>
      </c>
      <c r="N105" s="1">
        <v>18</v>
      </c>
      <c r="O105" s="1">
        <v>12.9</v>
      </c>
      <c r="P105" s="1">
        <v>11.8</v>
      </c>
      <c r="Q105" s="1">
        <v>11.9</v>
      </c>
      <c r="R105" s="1"/>
      <c r="S105" s="1"/>
      <c r="T105" s="1"/>
      <c r="U105" s="1">
        <v>146</v>
      </c>
      <c r="V105" s="1"/>
      <c r="W105" s="1">
        <v>323</v>
      </c>
      <c r="X105" s="1"/>
      <c r="Y105" s="1"/>
    </row>
    <row r="106" spans="1:25" ht="13" x14ac:dyDescent="0.15">
      <c r="A106" s="7">
        <v>42634</v>
      </c>
      <c r="B106" s="12">
        <v>20</v>
      </c>
      <c r="C106" s="12">
        <v>2</v>
      </c>
      <c r="D106" s="13" t="s">
        <v>31</v>
      </c>
      <c r="E106" s="13" t="s">
        <v>98</v>
      </c>
      <c r="F106" s="3" t="s">
        <v>33</v>
      </c>
      <c r="G106" s="1">
        <f>155.09+103.15</f>
        <v>258.24</v>
      </c>
      <c r="I106" s="1">
        <v>9</v>
      </c>
      <c r="K106" s="5">
        <v>0</v>
      </c>
      <c r="L106" s="17"/>
      <c r="M106" s="1">
        <v>0</v>
      </c>
      <c r="O106" s="1">
        <v>13.9</v>
      </c>
      <c r="P106" s="1">
        <v>11.2</v>
      </c>
      <c r="Q106" s="1">
        <v>14</v>
      </c>
      <c r="R106" s="1"/>
      <c r="S106" s="1"/>
      <c r="T106" s="1">
        <v>51</v>
      </c>
      <c r="U106" s="1"/>
      <c r="V106" s="1">
        <v>98</v>
      </c>
      <c r="W106" s="1"/>
      <c r="X106" s="1"/>
      <c r="Y106" s="1"/>
    </row>
    <row r="107" spans="1:25" ht="13" x14ac:dyDescent="0.15">
      <c r="A107" s="7">
        <v>42634</v>
      </c>
      <c r="B107" s="12">
        <v>20</v>
      </c>
      <c r="C107" s="12">
        <v>5</v>
      </c>
      <c r="D107" s="13" t="s">
        <v>56</v>
      </c>
      <c r="E107" s="13" t="s">
        <v>76</v>
      </c>
      <c r="F107" s="3" t="s">
        <v>50</v>
      </c>
      <c r="G107" s="1">
        <v>37.31</v>
      </c>
      <c r="H107" s="1">
        <v>147.63999999999999</v>
      </c>
      <c r="I107" s="1">
        <v>5</v>
      </c>
      <c r="J107" s="1">
        <v>10</v>
      </c>
      <c r="K107" s="5">
        <v>0</v>
      </c>
      <c r="L107" s="5">
        <v>0</v>
      </c>
      <c r="M107" s="1">
        <v>0</v>
      </c>
      <c r="N107" s="1">
        <v>0</v>
      </c>
      <c r="O107" s="1">
        <v>12</v>
      </c>
      <c r="P107" s="1">
        <v>11.2</v>
      </c>
      <c r="Q107" s="1">
        <v>11.4</v>
      </c>
      <c r="R107" s="1"/>
      <c r="S107" s="1"/>
      <c r="T107" s="1"/>
      <c r="U107" s="1">
        <v>22</v>
      </c>
      <c r="V107" s="1"/>
      <c r="W107" s="1">
        <v>33</v>
      </c>
      <c r="X107" s="1"/>
      <c r="Y107" s="1"/>
    </row>
    <row r="108" spans="1:25" ht="13" x14ac:dyDescent="0.15">
      <c r="A108" s="7">
        <v>42634</v>
      </c>
      <c r="B108" s="14">
        <v>22</v>
      </c>
      <c r="C108" s="14">
        <v>9</v>
      </c>
      <c r="D108" s="9" t="s">
        <v>97</v>
      </c>
      <c r="E108" s="9" t="s">
        <v>101</v>
      </c>
      <c r="F108" s="3" t="s">
        <v>68</v>
      </c>
      <c r="G108" s="1">
        <f>155.09+19.29</f>
        <v>174.38</v>
      </c>
      <c r="I108" s="1">
        <v>7</v>
      </c>
      <c r="K108" s="5">
        <v>0</v>
      </c>
      <c r="L108" s="17"/>
      <c r="M108" s="1">
        <v>0</v>
      </c>
      <c r="O108" s="1">
        <v>17.399999999999999</v>
      </c>
      <c r="P108" s="1">
        <v>19</v>
      </c>
      <c r="Q108" s="1">
        <v>19.2</v>
      </c>
    </row>
    <row r="109" spans="1:25" ht="13" x14ac:dyDescent="0.15">
      <c r="A109" s="7">
        <v>42634</v>
      </c>
      <c r="B109" s="14">
        <v>35</v>
      </c>
      <c r="C109" s="14">
        <v>3</v>
      </c>
      <c r="D109" s="9" t="s">
        <v>90</v>
      </c>
      <c r="E109" s="9" t="s">
        <v>77</v>
      </c>
      <c r="F109" s="3" t="s">
        <v>50</v>
      </c>
      <c r="G109" s="1">
        <f>155.08+143.62</f>
        <v>298.70000000000005</v>
      </c>
      <c r="I109" s="1">
        <v>10</v>
      </c>
      <c r="K109" s="5">
        <v>0</v>
      </c>
      <c r="L109" s="17"/>
      <c r="M109" s="1">
        <v>0</v>
      </c>
      <c r="O109" s="1">
        <v>9.5</v>
      </c>
      <c r="P109" s="1">
        <v>9.9</v>
      </c>
      <c r="Q109" s="1">
        <v>9.5</v>
      </c>
      <c r="R109" s="1"/>
      <c r="S109" s="1"/>
      <c r="T109" s="1">
        <v>20</v>
      </c>
      <c r="U109" s="1"/>
      <c r="V109" s="1">
        <v>29</v>
      </c>
      <c r="W109" s="1"/>
      <c r="X109" s="1"/>
    </row>
    <row r="110" spans="1:25" ht="13" x14ac:dyDescent="0.15">
      <c r="A110" s="7">
        <v>42634</v>
      </c>
      <c r="B110" s="12">
        <v>38</v>
      </c>
      <c r="C110" s="12">
        <v>7</v>
      </c>
      <c r="D110" s="13" t="s">
        <v>70</v>
      </c>
      <c r="E110" s="13" t="s">
        <v>71</v>
      </c>
      <c r="F110" s="3" t="s">
        <v>68</v>
      </c>
      <c r="G110" s="1">
        <v>129.21</v>
      </c>
      <c r="H110" s="1">
        <f>155.09+26.09</f>
        <v>181.18</v>
      </c>
      <c r="I110" s="1">
        <v>8</v>
      </c>
      <c r="J110" s="1">
        <v>8</v>
      </c>
      <c r="K110" s="5">
        <v>0</v>
      </c>
      <c r="L110" s="5">
        <v>0</v>
      </c>
      <c r="M110" s="1">
        <v>0</v>
      </c>
      <c r="N110" s="1">
        <v>0</v>
      </c>
      <c r="O110" s="1">
        <v>17.899999999999999</v>
      </c>
      <c r="P110" s="1">
        <v>14.4</v>
      </c>
      <c r="Q110" s="1">
        <v>12.8</v>
      </c>
      <c r="R110" s="1"/>
      <c r="S110" s="1"/>
      <c r="T110" s="1"/>
      <c r="U110" s="1">
        <v>87</v>
      </c>
      <c r="V110" s="1"/>
      <c r="W110" s="1">
        <v>182</v>
      </c>
      <c r="X110" s="1"/>
      <c r="Y110" s="1"/>
    </row>
    <row r="111" spans="1:25" ht="13" x14ac:dyDescent="0.15">
      <c r="A111" s="7">
        <v>42634</v>
      </c>
      <c r="B111" s="14">
        <v>38</v>
      </c>
      <c r="C111" s="14">
        <v>7</v>
      </c>
      <c r="D111" s="9" t="s">
        <v>56</v>
      </c>
      <c r="E111" s="9" t="s">
        <v>79</v>
      </c>
      <c r="F111" s="3" t="s">
        <v>33</v>
      </c>
      <c r="G111" s="1">
        <v>155.08000000000001</v>
      </c>
      <c r="H111" s="1">
        <f>155.08+83.97</f>
        <v>239.05</v>
      </c>
      <c r="I111" s="1">
        <v>10</v>
      </c>
      <c r="J111" s="1">
        <v>10</v>
      </c>
      <c r="K111" s="5">
        <v>1</v>
      </c>
      <c r="L111" s="5">
        <v>2</v>
      </c>
      <c r="M111" s="1">
        <v>0</v>
      </c>
      <c r="N111" s="1">
        <v>5</v>
      </c>
      <c r="O111" s="1">
        <v>13.8</v>
      </c>
      <c r="P111" s="1">
        <v>11.6</v>
      </c>
      <c r="Q111" s="1">
        <v>12.3</v>
      </c>
      <c r="R111" s="1"/>
      <c r="S111" s="1">
        <v>3</v>
      </c>
      <c r="T111" s="1"/>
      <c r="U111" s="1"/>
      <c r="V111" s="1"/>
      <c r="W111" s="1"/>
      <c r="X111" s="1"/>
    </row>
    <row r="112" spans="1:25" ht="13" x14ac:dyDescent="0.15">
      <c r="A112" s="7">
        <v>42634</v>
      </c>
      <c r="B112" s="14">
        <v>38</v>
      </c>
      <c r="C112" s="14">
        <v>7</v>
      </c>
      <c r="D112" s="13" t="s">
        <v>66</v>
      </c>
      <c r="E112" s="13" t="s">
        <v>73</v>
      </c>
      <c r="F112" s="3" t="s">
        <v>50</v>
      </c>
      <c r="G112" s="1">
        <v>72.14</v>
      </c>
      <c r="H112" s="1">
        <v>129.08000000000001</v>
      </c>
      <c r="I112" s="1">
        <v>6</v>
      </c>
      <c r="J112" s="1">
        <v>8</v>
      </c>
      <c r="K112" s="5">
        <v>50</v>
      </c>
      <c r="L112" s="5">
        <v>18</v>
      </c>
      <c r="M112" s="1">
        <v>25</v>
      </c>
      <c r="N112" s="1">
        <v>21</v>
      </c>
      <c r="O112" s="1">
        <v>11.9</v>
      </c>
      <c r="P112" s="1">
        <v>14</v>
      </c>
      <c r="Q112" s="1">
        <v>13.7</v>
      </c>
      <c r="Y112" s="1"/>
    </row>
    <row r="113" spans="1:25" ht="13" x14ac:dyDescent="0.15">
      <c r="A113" s="7">
        <v>42634</v>
      </c>
      <c r="B113" s="14">
        <v>38</v>
      </c>
      <c r="C113" s="14">
        <v>7</v>
      </c>
      <c r="D113" s="13" t="s">
        <v>31</v>
      </c>
      <c r="E113" s="13" t="s">
        <v>85</v>
      </c>
      <c r="F113" s="3" t="s">
        <v>89</v>
      </c>
      <c r="G113" s="1">
        <f>155.06+91.5</f>
        <v>246.56</v>
      </c>
      <c r="I113" s="1">
        <v>10</v>
      </c>
      <c r="K113" s="5">
        <v>15</v>
      </c>
      <c r="L113" s="17"/>
      <c r="M113" s="1">
        <v>3</v>
      </c>
      <c r="O113" s="1">
        <v>14.2</v>
      </c>
      <c r="P113" s="1">
        <v>13.8</v>
      </c>
      <c r="Q113" s="1">
        <v>11.4</v>
      </c>
      <c r="R113" s="1"/>
      <c r="S113" s="1"/>
      <c r="T113" s="1"/>
      <c r="U113" s="1"/>
      <c r="V113" s="1"/>
      <c r="W113" s="1"/>
      <c r="X113" s="1" t="s">
        <v>102</v>
      </c>
      <c r="Y113" s="1"/>
    </row>
    <row r="114" spans="1:25" ht="13" x14ac:dyDescent="0.15">
      <c r="A114" s="7">
        <v>42634</v>
      </c>
      <c r="B114" s="14">
        <v>38</v>
      </c>
      <c r="C114" s="14">
        <v>7</v>
      </c>
      <c r="D114" s="13" t="s">
        <v>90</v>
      </c>
      <c r="E114" s="13" t="s">
        <v>91</v>
      </c>
      <c r="F114" s="3" t="s">
        <v>92</v>
      </c>
      <c r="G114" s="1">
        <v>129.6</v>
      </c>
      <c r="I114" s="1">
        <v>7</v>
      </c>
      <c r="K114" s="5">
        <v>0</v>
      </c>
      <c r="L114" s="17"/>
      <c r="M114" s="1">
        <v>0</v>
      </c>
      <c r="O114" s="1">
        <v>14.9</v>
      </c>
      <c r="P114" s="1">
        <v>15.6</v>
      </c>
      <c r="Q114" s="1">
        <v>16.899999999999999</v>
      </c>
      <c r="R114" s="1"/>
      <c r="S114" s="1"/>
      <c r="T114" s="1">
        <v>70</v>
      </c>
      <c r="U114" s="1"/>
      <c r="V114" s="1">
        <v>142</v>
      </c>
      <c r="W114" s="1"/>
      <c r="X114" s="1"/>
      <c r="Y114" s="1"/>
    </row>
    <row r="115" spans="1:25" ht="13" x14ac:dyDescent="0.15">
      <c r="A115" s="7">
        <v>42636</v>
      </c>
      <c r="B115" s="12">
        <v>13</v>
      </c>
      <c r="C115" s="12">
        <v>3</v>
      </c>
      <c r="D115" s="13" t="s">
        <v>66</v>
      </c>
      <c r="E115" s="13" t="s">
        <v>87</v>
      </c>
      <c r="F115" s="3" t="s">
        <v>89</v>
      </c>
      <c r="G115" s="1">
        <v>133.84</v>
      </c>
      <c r="H115" s="1">
        <v>150.80000000000001</v>
      </c>
      <c r="I115" s="1">
        <v>7</v>
      </c>
      <c r="J115" s="1">
        <v>7</v>
      </c>
      <c r="K115" s="5">
        <v>0</v>
      </c>
      <c r="L115" s="5">
        <v>20</v>
      </c>
      <c r="M115" s="1">
        <v>0</v>
      </c>
      <c r="N115" s="1">
        <v>3</v>
      </c>
      <c r="O115" s="1">
        <v>16.3</v>
      </c>
      <c r="P115" s="1">
        <v>13.5</v>
      </c>
      <c r="Q115" s="1">
        <v>17.100000000000001</v>
      </c>
      <c r="Y115" s="1"/>
    </row>
    <row r="116" spans="1:25" ht="13" x14ac:dyDescent="0.15">
      <c r="A116" s="7">
        <v>42636</v>
      </c>
      <c r="B116" s="12">
        <v>13</v>
      </c>
      <c r="C116" s="12">
        <v>3</v>
      </c>
      <c r="D116" s="13" t="s">
        <v>31</v>
      </c>
      <c r="E116" s="13" t="s">
        <v>32</v>
      </c>
      <c r="F116" s="3" t="s">
        <v>33</v>
      </c>
      <c r="G116" s="1">
        <f>90.8+38.58+72.15+20.89+26.83+37.3+14.26</f>
        <v>300.81</v>
      </c>
      <c r="I116" s="1">
        <v>10</v>
      </c>
      <c r="K116" s="5">
        <v>0</v>
      </c>
      <c r="L116" s="17"/>
      <c r="M116" s="1">
        <v>0</v>
      </c>
      <c r="O116" s="1">
        <v>15</v>
      </c>
      <c r="P116" s="1">
        <v>17</v>
      </c>
      <c r="Q116" s="1">
        <v>15.6</v>
      </c>
      <c r="R116" s="1">
        <v>6</v>
      </c>
      <c r="S116" s="1"/>
      <c r="T116" s="1"/>
      <c r="U116" s="1">
        <v>38</v>
      </c>
      <c r="V116" s="1"/>
      <c r="W116" s="1">
        <v>42</v>
      </c>
      <c r="X116" s="1"/>
      <c r="Y116" s="1"/>
    </row>
    <row r="117" spans="1:25" ht="13" x14ac:dyDescent="0.15">
      <c r="A117" s="7">
        <v>42636</v>
      </c>
      <c r="B117" s="12">
        <v>14</v>
      </c>
      <c r="C117" s="12">
        <v>1</v>
      </c>
      <c r="D117" s="13" t="s">
        <v>56</v>
      </c>
      <c r="E117" s="13" t="s">
        <v>93</v>
      </c>
      <c r="F117" s="3" t="s">
        <v>92</v>
      </c>
      <c r="G117" s="1">
        <f>155.08+96.94</f>
        <v>252.02</v>
      </c>
      <c r="H117" s="1"/>
      <c r="I117" s="1">
        <v>10</v>
      </c>
      <c r="K117" s="5">
        <v>0</v>
      </c>
      <c r="L117" s="17"/>
      <c r="M117" s="1">
        <v>0</v>
      </c>
      <c r="O117" s="1">
        <v>14.5</v>
      </c>
      <c r="P117" s="1">
        <v>12.4</v>
      </c>
      <c r="Q117" s="1">
        <v>14.4</v>
      </c>
      <c r="R117" s="1"/>
      <c r="S117" s="1"/>
      <c r="T117" s="1">
        <v>37</v>
      </c>
      <c r="U117" s="1"/>
      <c r="V117" s="1">
        <v>64</v>
      </c>
      <c r="W117" s="1"/>
      <c r="X117" s="1"/>
    </row>
    <row r="118" spans="1:25" ht="13" x14ac:dyDescent="0.15">
      <c r="A118" s="7">
        <v>42636</v>
      </c>
      <c r="B118" s="12">
        <v>16</v>
      </c>
      <c r="C118" s="12">
        <v>1</v>
      </c>
      <c r="D118" s="13" t="s">
        <v>47</v>
      </c>
      <c r="E118" s="13" t="s">
        <v>81</v>
      </c>
      <c r="F118" s="3" t="s">
        <v>68</v>
      </c>
      <c r="G118" s="1">
        <v>81.08</v>
      </c>
      <c r="H118" s="1">
        <f>154.16+20.77</f>
        <v>174.93</v>
      </c>
      <c r="I118" s="1">
        <v>7</v>
      </c>
      <c r="J118" s="1">
        <v>8</v>
      </c>
      <c r="K118" s="5">
        <v>0</v>
      </c>
      <c r="L118" s="5">
        <v>0</v>
      </c>
      <c r="M118" s="1">
        <v>0</v>
      </c>
      <c r="N118" s="1">
        <v>0</v>
      </c>
      <c r="O118" s="1">
        <v>15.6</v>
      </c>
      <c r="P118" s="1">
        <v>16.7</v>
      </c>
      <c r="Q118" s="1">
        <v>17</v>
      </c>
      <c r="R118" s="1"/>
      <c r="S118" s="1"/>
      <c r="T118" s="1"/>
      <c r="U118" s="1">
        <v>24</v>
      </c>
      <c r="V118" s="1"/>
      <c r="W118" s="1">
        <v>36</v>
      </c>
      <c r="X118" s="1"/>
      <c r="Y118" s="1"/>
    </row>
    <row r="119" spans="1:25" ht="13" x14ac:dyDescent="0.15">
      <c r="A119" s="7">
        <v>42636</v>
      </c>
      <c r="B119" s="14">
        <v>16</v>
      </c>
      <c r="C119" s="14">
        <v>1</v>
      </c>
      <c r="D119" s="9" t="s">
        <v>56</v>
      </c>
      <c r="E119" s="9" t="s">
        <v>99</v>
      </c>
      <c r="F119" s="3" t="s">
        <v>92</v>
      </c>
      <c r="G119" s="1">
        <v>120.88</v>
      </c>
      <c r="H119" s="1">
        <f>34.72+155.08+155.08</f>
        <v>344.88</v>
      </c>
      <c r="I119" s="1">
        <v>7</v>
      </c>
      <c r="J119" s="1">
        <v>10</v>
      </c>
      <c r="K119" s="5">
        <v>0</v>
      </c>
      <c r="L119" s="5">
        <v>0</v>
      </c>
      <c r="M119" s="1">
        <v>0</v>
      </c>
      <c r="N119" s="1">
        <v>0</v>
      </c>
      <c r="O119" s="1">
        <v>8</v>
      </c>
      <c r="P119" s="1">
        <v>8.6999999999999993</v>
      </c>
      <c r="Q119" s="1">
        <v>8.6</v>
      </c>
      <c r="R119" s="1"/>
      <c r="S119" s="1"/>
      <c r="T119" s="1">
        <v>16</v>
      </c>
      <c r="U119" s="1">
        <v>10</v>
      </c>
      <c r="V119" s="1">
        <v>21</v>
      </c>
      <c r="W119" s="1">
        <v>12</v>
      </c>
      <c r="X119" s="1"/>
      <c r="Y119" s="1"/>
    </row>
    <row r="120" spans="1:25" ht="13" x14ac:dyDescent="0.15">
      <c r="A120" s="7">
        <v>42636</v>
      </c>
      <c r="B120" s="12">
        <v>16</v>
      </c>
      <c r="C120" s="12">
        <v>1</v>
      </c>
      <c r="D120" s="13" t="s">
        <v>66</v>
      </c>
      <c r="E120" s="13" t="s">
        <v>94</v>
      </c>
      <c r="F120" s="3" t="s">
        <v>33</v>
      </c>
      <c r="G120" s="1">
        <v>154.71</v>
      </c>
      <c r="I120" s="1">
        <v>10</v>
      </c>
      <c r="K120" s="5">
        <v>0</v>
      </c>
      <c r="L120" s="17"/>
      <c r="M120" s="1">
        <v>0</v>
      </c>
      <c r="O120" s="1">
        <v>15.3</v>
      </c>
      <c r="P120" s="1">
        <v>14.2</v>
      </c>
      <c r="Q120" s="1">
        <v>14.5</v>
      </c>
      <c r="R120" s="1"/>
      <c r="S120" s="1"/>
      <c r="T120" s="1"/>
      <c r="U120" s="1"/>
      <c r="V120" s="1"/>
      <c r="W120" s="1"/>
      <c r="X120" s="1"/>
    </row>
    <row r="121" spans="1:25" ht="13" x14ac:dyDescent="0.15">
      <c r="A121" s="7">
        <v>42636</v>
      </c>
      <c r="B121" s="12">
        <v>16</v>
      </c>
      <c r="C121" s="12">
        <v>1</v>
      </c>
      <c r="D121" s="13" t="s">
        <v>97</v>
      </c>
      <c r="E121" s="13" t="s">
        <v>86</v>
      </c>
      <c r="F121" s="3" t="s">
        <v>89</v>
      </c>
      <c r="G121" s="1">
        <v>46.65</v>
      </c>
      <c r="H121" s="1">
        <f>155.09+31.87</f>
        <v>186.96</v>
      </c>
      <c r="I121" s="1">
        <v>7</v>
      </c>
      <c r="J121" s="1">
        <v>12</v>
      </c>
      <c r="K121" s="5">
        <v>0</v>
      </c>
      <c r="L121" s="5">
        <v>0</v>
      </c>
      <c r="M121" s="1">
        <v>0</v>
      </c>
      <c r="N121" s="1">
        <v>0</v>
      </c>
      <c r="O121" s="1">
        <v>17</v>
      </c>
      <c r="P121" s="1">
        <v>15.8</v>
      </c>
      <c r="Q121" s="1">
        <v>15.8</v>
      </c>
      <c r="R121" s="1"/>
      <c r="S121" s="1"/>
      <c r="T121" s="1"/>
      <c r="U121" s="1">
        <v>36</v>
      </c>
      <c r="V121" s="1"/>
      <c r="W121" s="1">
        <v>62</v>
      </c>
      <c r="X121" s="1"/>
      <c r="Y121" s="1"/>
    </row>
    <row r="122" spans="1:25" ht="13" x14ac:dyDescent="0.15">
      <c r="A122" s="7">
        <v>42636</v>
      </c>
      <c r="B122" s="12">
        <v>18</v>
      </c>
      <c r="C122" s="12">
        <v>5</v>
      </c>
      <c r="D122" s="13" t="s">
        <v>47</v>
      </c>
      <c r="E122" s="13" t="s">
        <v>49</v>
      </c>
      <c r="F122" s="3" t="s">
        <v>50</v>
      </c>
      <c r="G122" s="1">
        <f>39.95+155.09+41.4</f>
        <v>236.44000000000003</v>
      </c>
      <c r="H122" s="1">
        <f>155.09+155.09+66.26</f>
        <v>376.44</v>
      </c>
      <c r="I122" s="1">
        <v>10</v>
      </c>
      <c r="J122" s="1">
        <v>10</v>
      </c>
      <c r="K122" s="5">
        <v>0</v>
      </c>
      <c r="L122" s="5">
        <v>7</v>
      </c>
      <c r="M122" s="1">
        <v>0</v>
      </c>
      <c r="N122" s="1">
        <v>5</v>
      </c>
      <c r="O122" s="1">
        <v>14.5</v>
      </c>
      <c r="P122" s="1">
        <v>14.3</v>
      </c>
      <c r="Q122" s="1">
        <v>15.6</v>
      </c>
      <c r="R122" s="1"/>
      <c r="S122" s="1"/>
      <c r="T122" s="1">
        <v>8</v>
      </c>
      <c r="U122" s="1"/>
      <c r="V122" s="1">
        <v>8</v>
      </c>
      <c r="W122" s="1"/>
      <c r="X122" s="1"/>
      <c r="Y122" s="1"/>
    </row>
    <row r="123" spans="1:25" ht="13" x14ac:dyDescent="0.15">
      <c r="A123" s="7">
        <v>42636</v>
      </c>
      <c r="B123" s="12">
        <v>18</v>
      </c>
      <c r="C123" s="12">
        <v>5</v>
      </c>
      <c r="D123" s="13" t="s">
        <v>66</v>
      </c>
      <c r="E123" s="13" t="s">
        <v>75</v>
      </c>
      <c r="F123" s="3" t="s">
        <v>50</v>
      </c>
      <c r="G123" s="1">
        <f>155.07+155.07+155.07+13.94</f>
        <v>479.15</v>
      </c>
      <c r="I123" s="1">
        <v>10</v>
      </c>
      <c r="K123" s="5">
        <v>0</v>
      </c>
      <c r="L123" s="17"/>
      <c r="M123" s="1">
        <v>0</v>
      </c>
      <c r="O123" s="1">
        <v>12.5</v>
      </c>
      <c r="P123" s="1">
        <v>14.7</v>
      </c>
      <c r="Q123" s="1">
        <v>14.5</v>
      </c>
      <c r="R123" s="1"/>
      <c r="S123" s="1"/>
      <c r="T123" s="1">
        <v>38</v>
      </c>
      <c r="U123" s="1"/>
      <c r="V123" s="1">
        <v>70</v>
      </c>
      <c r="W123" s="1"/>
      <c r="X123" s="1"/>
    </row>
    <row r="124" spans="1:25" ht="13" x14ac:dyDescent="0.15">
      <c r="A124" s="7">
        <v>42636</v>
      </c>
      <c r="B124" s="12">
        <v>18</v>
      </c>
      <c r="C124" s="12">
        <v>5</v>
      </c>
      <c r="D124" s="13" t="s">
        <v>31</v>
      </c>
      <c r="E124" s="13" t="s">
        <v>74</v>
      </c>
      <c r="F124" s="3" t="s">
        <v>50</v>
      </c>
      <c r="G124" s="1">
        <v>0</v>
      </c>
      <c r="H124" s="1">
        <f>144.41+155.07</f>
        <v>299.48</v>
      </c>
      <c r="I124" s="1">
        <v>0</v>
      </c>
      <c r="J124" s="1">
        <v>10</v>
      </c>
      <c r="K124" s="5">
        <v>0</v>
      </c>
      <c r="L124" s="5">
        <v>0</v>
      </c>
      <c r="M124" s="1">
        <v>0</v>
      </c>
      <c r="N124" s="1">
        <v>0</v>
      </c>
      <c r="O124" s="1">
        <v>14.4</v>
      </c>
      <c r="P124" s="1">
        <v>15.8</v>
      </c>
      <c r="Q124" s="1">
        <v>16.7</v>
      </c>
      <c r="R124" s="1"/>
      <c r="S124" s="1"/>
      <c r="T124" s="1"/>
      <c r="U124" s="1">
        <v>54</v>
      </c>
      <c r="V124" s="1"/>
      <c r="W124" s="1">
        <v>105</v>
      </c>
      <c r="X124" s="1"/>
      <c r="Y124" s="1"/>
    </row>
    <row r="125" spans="1:25" ht="13" x14ac:dyDescent="0.15">
      <c r="A125" s="7">
        <v>42636</v>
      </c>
      <c r="B125" s="14">
        <v>18</v>
      </c>
      <c r="C125" s="14">
        <v>5</v>
      </c>
      <c r="D125" s="9" t="s">
        <v>97</v>
      </c>
      <c r="E125" s="9" t="s">
        <v>88</v>
      </c>
      <c r="F125" s="3" t="s">
        <v>89</v>
      </c>
      <c r="G125" s="1">
        <f>148+6.77</f>
        <v>154.77000000000001</v>
      </c>
      <c r="H125" s="1">
        <f>155.09+33.89</f>
        <v>188.98000000000002</v>
      </c>
      <c r="I125" s="1">
        <v>6</v>
      </c>
      <c r="J125" s="1">
        <v>10</v>
      </c>
      <c r="K125" s="5">
        <v>0</v>
      </c>
      <c r="L125" s="5">
        <v>0</v>
      </c>
      <c r="M125" s="1">
        <v>0</v>
      </c>
      <c r="N125" s="1">
        <v>0</v>
      </c>
      <c r="O125" s="1">
        <v>17.399999999999999</v>
      </c>
      <c r="P125" s="1">
        <v>16.600000000000001</v>
      </c>
      <c r="Q125" s="1">
        <v>17.399999999999999</v>
      </c>
      <c r="R125" s="1"/>
      <c r="S125" s="1"/>
      <c r="T125" s="1">
        <v>36</v>
      </c>
      <c r="U125" s="1">
        <v>16</v>
      </c>
      <c r="V125" s="1">
        <v>64</v>
      </c>
      <c r="W125" s="1">
        <v>17</v>
      </c>
      <c r="X125" s="1"/>
      <c r="Y125" s="1"/>
    </row>
    <row r="126" spans="1:25" ht="13" x14ac:dyDescent="0.15">
      <c r="A126" s="7">
        <v>42636</v>
      </c>
      <c r="B126" s="12">
        <v>18</v>
      </c>
      <c r="C126" s="12">
        <v>5</v>
      </c>
      <c r="D126" s="13" t="s">
        <v>95</v>
      </c>
      <c r="E126" s="13" t="s">
        <v>96</v>
      </c>
      <c r="F126" s="3" t="s">
        <v>92</v>
      </c>
      <c r="G126" s="1">
        <f>28.24+155.09+155.09+41.98</f>
        <v>380.40000000000003</v>
      </c>
      <c r="I126" s="1">
        <v>10</v>
      </c>
      <c r="K126" s="5">
        <v>0</v>
      </c>
      <c r="L126" s="17"/>
      <c r="M126" s="1">
        <v>0</v>
      </c>
      <c r="O126" s="1">
        <v>12</v>
      </c>
      <c r="P126" s="1">
        <v>12.6</v>
      </c>
      <c r="Q126" s="1">
        <v>13.7</v>
      </c>
      <c r="R126" s="1"/>
      <c r="S126" s="1"/>
      <c r="T126" s="1">
        <v>22</v>
      </c>
      <c r="U126" s="1"/>
      <c r="V126" s="1">
        <v>33</v>
      </c>
      <c r="W126" s="1"/>
      <c r="X126" s="1"/>
      <c r="Y126" s="1"/>
    </row>
    <row r="127" spans="1:25" ht="13" x14ac:dyDescent="0.15">
      <c r="A127" s="7">
        <v>42636</v>
      </c>
      <c r="B127" s="12">
        <v>19</v>
      </c>
      <c r="C127" s="12">
        <v>9</v>
      </c>
      <c r="D127" s="13" t="s">
        <v>56</v>
      </c>
      <c r="E127" s="13" t="s">
        <v>57</v>
      </c>
      <c r="F127" s="3" t="s">
        <v>33</v>
      </c>
      <c r="G127" s="1">
        <f>154.7+13.57</f>
        <v>168.26999999999998</v>
      </c>
      <c r="H127" s="1">
        <f>15.23+28.89+155.09+132.2</f>
        <v>331.40999999999997</v>
      </c>
      <c r="I127" s="1">
        <v>8</v>
      </c>
      <c r="J127" s="1">
        <v>10</v>
      </c>
      <c r="K127" s="5">
        <v>0</v>
      </c>
      <c r="L127" s="5">
        <v>0</v>
      </c>
      <c r="M127" s="1">
        <v>0</v>
      </c>
      <c r="N127" s="1">
        <v>0</v>
      </c>
      <c r="O127" s="1">
        <v>19</v>
      </c>
      <c r="P127" s="1">
        <v>17.100000000000001</v>
      </c>
      <c r="Q127" s="1">
        <v>19</v>
      </c>
      <c r="R127" s="1"/>
      <c r="S127" s="1">
        <v>9</v>
      </c>
      <c r="T127" s="1"/>
      <c r="U127" s="1">
        <v>63</v>
      </c>
      <c r="V127" s="1"/>
      <c r="W127" s="1">
        <v>124</v>
      </c>
      <c r="X127" s="1"/>
      <c r="Y127" s="1"/>
    </row>
    <row r="128" spans="1:25" ht="13" x14ac:dyDescent="0.15">
      <c r="A128" s="7">
        <v>42636</v>
      </c>
      <c r="B128" s="12">
        <v>20</v>
      </c>
      <c r="C128" s="12">
        <v>2</v>
      </c>
      <c r="D128" s="13" t="s">
        <v>47</v>
      </c>
      <c r="E128" s="13" t="s">
        <v>80</v>
      </c>
      <c r="F128" s="3" t="s">
        <v>68</v>
      </c>
      <c r="G128" s="1">
        <v>61.46</v>
      </c>
      <c r="H128" s="1">
        <f>155.09+45.79</f>
        <v>200.88</v>
      </c>
      <c r="I128" s="1">
        <v>5</v>
      </c>
      <c r="J128" s="1">
        <v>9</v>
      </c>
      <c r="K128" s="5">
        <v>0</v>
      </c>
      <c r="L128" s="5">
        <v>1</v>
      </c>
      <c r="M128" s="1">
        <v>0</v>
      </c>
      <c r="N128" s="1">
        <v>1</v>
      </c>
      <c r="O128" s="1">
        <v>17.2</v>
      </c>
      <c r="P128" s="1">
        <v>17.100000000000001</v>
      </c>
      <c r="Q128" s="1">
        <v>17.5</v>
      </c>
      <c r="R128" s="1"/>
      <c r="S128" s="1"/>
      <c r="T128" s="1"/>
      <c r="U128" s="1">
        <v>67</v>
      </c>
      <c r="V128" s="1"/>
      <c r="W128" s="1">
        <v>135</v>
      </c>
      <c r="X128" s="1"/>
      <c r="Y128" s="1"/>
    </row>
    <row r="129" spans="1:26" ht="13" x14ac:dyDescent="0.15">
      <c r="A129" s="7">
        <v>42636</v>
      </c>
      <c r="B129" s="12">
        <v>20</v>
      </c>
      <c r="C129" s="12">
        <v>2</v>
      </c>
      <c r="D129" s="13" t="s">
        <v>66</v>
      </c>
      <c r="E129" s="13" t="s">
        <v>67</v>
      </c>
      <c r="F129" s="3" t="s">
        <v>68</v>
      </c>
      <c r="G129" s="1">
        <v>41.35</v>
      </c>
      <c r="H129" s="1">
        <f>155.06+57.07</f>
        <v>212.13</v>
      </c>
      <c r="I129" s="1">
        <v>5</v>
      </c>
      <c r="J129" s="1">
        <v>10</v>
      </c>
      <c r="K129" s="5">
        <v>0</v>
      </c>
      <c r="L129" s="5">
        <v>15</v>
      </c>
      <c r="M129" s="1">
        <v>0</v>
      </c>
      <c r="N129" s="1">
        <v>24</v>
      </c>
      <c r="O129" s="1">
        <v>18.600000000000001</v>
      </c>
      <c r="P129" s="1">
        <v>17.899999999999999</v>
      </c>
      <c r="Q129" s="1">
        <v>15.1</v>
      </c>
      <c r="R129" s="1"/>
      <c r="S129" s="1">
        <v>9</v>
      </c>
      <c r="T129" s="1"/>
      <c r="U129" s="1">
        <v>107</v>
      </c>
      <c r="V129" s="1"/>
      <c r="W129" s="1">
        <v>230</v>
      </c>
      <c r="X129" s="1"/>
      <c r="Y129" s="1"/>
    </row>
    <row r="130" spans="1:26" ht="13" x14ac:dyDescent="0.15">
      <c r="A130" s="7">
        <v>42636</v>
      </c>
      <c r="B130" s="12">
        <v>20</v>
      </c>
      <c r="C130" s="12">
        <v>2</v>
      </c>
      <c r="D130" s="13" t="s">
        <v>31</v>
      </c>
      <c r="E130" s="13" t="s">
        <v>98</v>
      </c>
      <c r="F130" s="3" t="s">
        <v>33</v>
      </c>
      <c r="G130" s="1">
        <f>155.08+103.92</f>
        <v>259</v>
      </c>
      <c r="I130" s="1">
        <v>10</v>
      </c>
      <c r="K130" s="5">
        <v>50</v>
      </c>
      <c r="L130" s="17"/>
      <c r="M130" s="1">
        <v>18</v>
      </c>
      <c r="O130" s="1">
        <v>19.399999999999999</v>
      </c>
      <c r="P130" s="1">
        <v>19.899999999999999</v>
      </c>
      <c r="Q130" s="1">
        <v>18</v>
      </c>
      <c r="Y130" s="1"/>
    </row>
    <row r="131" spans="1:26" ht="13" x14ac:dyDescent="0.15">
      <c r="A131" s="7">
        <v>42636</v>
      </c>
      <c r="B131" s="14">
        <v>20</v>
      </c>
      <c r="C131" s="14">
        <v>2</v>
      </c>
      <c r="D131" s="18" t="s">
        <v>90</v>
      </c>
      <c r="E131" s="9" t="s">
        <v>103</v>
      </c>
      <c r="F131" s="3" t="s">
        <v>33</v>
      </c>
      <c r="G131" s="1">
        <v>157.44999999999999</v>
      </c>
      <c r="H131" s="1"/>
      <c r="I131" s="1">
        <v>8</v>
      </c>
      <c r="K131" s="5">
        <v>0</v>
      </c>
      <c r="L131" s="17"/>
      <c r="M131" s="1">
        <v>0</v>
      </c>
      <c r="O131" s="1">
        <v>17.600000000000001</v>
      </c>
      <c r="P131" s="1">
        <v>13.5</v>
      </c>
      <c r="Q131" s="1">
        <v>14.1</v>
      </c>
      <c r="Y131" s="1"/>
    </row>
    <row r="132" spans="1:26" ht="13" x14ac:dyDescent="0.15">
      <c r="A132" s="7">
        <v>42636</v>
      </c>
      <c r="B132" s="12">
        <v>20</v>
      </c>
      <c r="C132" s="12">
        <v>5</v>
      </c>
      <c r="D132" s="13" t="s">
        <v>56</v>
      </c>
      <c r="E132" s="13" t="s">
        <v>76</v>
      </c>
      <c r="F132" s="3" t="s">
        <v>50</v>
      </c>
      <c r="G132" s="1">
        <v>39.9</v>
      </c>
      <c r="H132" s="1">
        <f>34.71+137.22</f>
        <v>171.93</v>
      </c>
      <c r="I132" s="1">
        <v>5</v>
      </c>
      <c r="J132" s="1">
        <v>10</v>
      </c>
      <c r="K132" s="5">
        <v>0</v>
      </c>
      <c r="L132" s="5">
        <v>5</v>
      </c>
      <c r="M132" s="1">
        <v>0</v>
      </c>
      <c r="N132" s="1">
        <v>1</v>
      </c>
      <c r="O132" s="1">
        <v>15</v>
      </c>
      <c r="P132" s="1">
        <v>13.4</v>
      </c>
      <c r="Q132" s="1">
        <v>13.8</v>
      </c>
      <c r="R132" s="1"/>
      <c r="S132" s="1"/>
      <c r="T132" s="1"/>
      <c r="U132" s="1">
        <v>35</v>
      </c>
      <c r="V132" s="1"/>
      <c r="W132" s="1">
        <v>46</v>
      </c>
      <c r="X132" s="1"/>
      <c r="Y132" s="1"/>
    </row>
    <row r="133" spans="1:26" ht="13" x14ac:dyDescent="0.15">
      <c r="A133" s="7">
        <v>42636</v>
      </c>
      <c r="B133" s="14">
        <v>22</v>
      </c>
      <c r="C133" s="14">
        <v>9</v>
      </c>
      <c r="D133" s="9" t="s">
        <v>97</v>
      </c>
      <c r="E133" s="9" t="s">
        <v>101</v>
      </c>
      <c r="F133" s="3" t="s">
        <v>68</v>
      </c>
      <c r="G133" s="1">
        <f>155.09+20.65</f>
        <v>175.74</v>
      </c>
      <c r="I133" s="1">
        <v>8</v>
      </c>
      <c r="K133" s="5">
        <v>0</v>
      </c>
      <c r="L133" s="5"/>
      <c r="M133" s="1">
        <v>0</v>
      </c>
      <c r="O133" s="1">
        <v>14.7</v>
      </c>
      <c r="P133" s="1">
        <v>15.4</v>
      </c>
      <c r="Q133" s="1">
        <v>15.7</v>
      </c>
      <c r="R133" s="1"/>
      <c r="S133" s="1"/>
      <c r="T133" s="1">
        <v>40</v>
      </c>
      <c r="U133" s="1"/>
      <c r="V133" s="1">
        <v>74</v>
      </c>
      <c r="W133" s="1"/>
      <c r="X133" s="1"/>
      <c r="Y133" s="1"/>
    </row>
    <row r="134" spans="1:26" ht="13" x14ac:dyDescent="0.15">
      <c r="A134" s="7">
        <v>42636</v>
      </c>
      <c r="B134" s="14">
        <v>35</v>
      </c>
      <c r="C134" s="14">
        <v>3</v>
      </c>
      <c r="D134" s="9" t="s">
        <v>90</v>
      </c>
      <c r="E134" s="9" t="s">
        <v>77</v>
      </c>
      <c r="F134" s="3" t="s">
        <v>50</v>
      </c>
      <c r="G134" s="1">
        <f>80.97+150.07+68.81</f>
        <v>299.85000000000002</v>
      </c>
      <c r="I134" s="1">
        <v>10</v>
      </c>
      <c r="K134" s="5">
        <v>0</v>
      </c>
      <c r="L134" s="17"/>
      <c r="M134" s="1">
        <v>0</v>
      </c>
      <c r="O134" s="1">
        <v>12.8</v>
      </c>
      <c r="P134" s="1">
        <v>14.1</v>
      </c>
      <c r="Q134" s="1">
        <v>11.8</v>
      </c>
      <c r="R134" s="1"/>
      <c r="S134" s="1"/>
      <c r="T134" s="1">
        <v>21</v>
      </c>
      <c r="U134" s="1"/>
      <c r="V134" s="1">
        <v>32</v>
      </c>
      <c r="W134" s="1"/>
      <c r="X134" s="1"/>
      <c r="Y134" s="1"/>
    </row>
    <row r="135" spans="1:26" ht="13" x14ac:dyDescent="0.15">
      <c r="A135" s="7">
        <v>42636</v>
      </c>
      <c r="B135" s="12">
        <v>38</v>
      </c>
      <c r="C135" s="12">
        <v>7</v>
      </c>
      <c r="D135" s="13" t="s">
        <v>70</v>
      </c>
      <c r="E135" s="13" t="s">
        <v>71</v>
      </c>
      <c r="F135" s="3" t="s">
        <v>68</v>
      </c>
      <c r="G135" s="1">
        <v>143.22</v>
      </c>
      <c r="H135" s="1">
        <f>155.09+27.53</f>
        <v>182.62</v>
      </c>
      <c r="I135" s="1">
        <v>8</v>
      </c>
      <c r="J135" s="1">
        <v>9</v>
      </c>
      <c r="K135" s="5">
        <v>0</v>
      </c>
      <c r="L135" s="5">
        <v>1</v>
      </c>
      <c r="M135" s="1">
        <v>0</v>
      </c>
      <c r="N135" s="1">
        <v>2</v>
      </c>
      <c r="O135" s="1">
        <v>14.6</v>
      </c>
      <c r="P135" s="1">
        <v>13.9</v>
      </c>
      <c r="Q135" s="1">
        <v>14</v>
      </c>
      <c r="R135" s="1"/>
      <c r="S135" s="1"/>
      <c r="T135" s="1">
        <v>18</v>
      </c>
      <c r="U135" s="1">
        <v>203</v>
      </c>
      <c r="V135" s="1">
        <v>18</v>
      </c>
      <c r="W135" s="1">
        <v>448</v>
      </c>
      <c r="X135" s="1"/>
      <c r="Y135" s="1"/>
    </row>
    <row r="136" spans="1:26" ht="13" x14ac:dyDescent="0.15">
      <c r="A136" s="7">
        <v>42636</v>
      </c>
      <c r="B136" s="14">
        <v>38</v>
      </c>
      <c r="C136" s="14">
        <v>7</v>
      </c>
      <c r="D136" s="9" t="s">
        <v>56</v>
      </c>
      <c r="E136" s="18" t="s">
        <v>79</v>
      </c>
      <c r="F136" s="3" t="s">
        <v>33</v>
      </c>
      <c r="G136" s="1">
        <v>161.08000000000001</v>
      </c>
      <c r="H136" s="1">
        <f>155.1+85.15</f>
        <v>240.25</v>
      </c>
      <c r="I136" s="1">
        <v>10</v>
      </c>
      <c r="J136" s="1">
        <v>10</v>
      </c>
      <c r="K136" s="5">
        <v>2</v>
      </c>
      <c r="L136" s="5">
        <v>20</v>
      </c>
      <c r="M136" s="1">
        <v>0</v>
      </c>
      <c r="N136" s="1">
        <v>3</v>
      </c>
      <c r="O136" s="1">
        <v>19.7</v>
      </c>
      <c r="P136" s="1">
        <v>15.8</v>
      </c>
      <c r="Q136" s="1">
        <v>15.7</v>
      </c>
      <c r="R136" s="1"/>
      <c r="S136" s="1">
        <v>1</v>
      </c>
      <c r="T136" s="1"/>
      <c r="U136" s="1"/>
      <c r="V136" s="1"/>
      <c r="W136" s="1"/>
      <c r="X136" s="1"/>
    </row>
    <row r="137" spans="1:26" ht="13" x14ac:dyDescent="0.15">
      <c r="A137" s="7">
        <v>42636</v>
      </c>
      <c r="B137" s="14">
        <v>38</v>
      </c>
      <c r="C137" s="14">
        <v>7</v>
      </c>
      <c r="D137" s="13" t="s">
        <v>66</v>
      </c>
      <c r="E137" s="13" t="s">
        <v>73</v>
      </c>
      <c r="F137" s="3" t="s">
        <v>50</v>
      </c>
      <c r="G137" s="1">
        <v>73.12</v>
      </c>
      <c r="H137" s="1">
        <v>135.29</v>
      </c>
      <c r="I137" s="1">
        <v>6</v>
      </c>
      <c r="J137" s="1">
        <v>9</v>
      </c>
      <c r="K137" s="5">
        <v>60</v>
      </c>
      <c r="L137" s="5">
        <v>75</v>
      </c>
      <c r="M137" s="1">
        <v>16</v>
      </c>
      <c r="N137" s="1">
        <v>12</v>
      </c>
      <c r="O137" s="1">
        <v>12.2</v>
      </c>
      <c r="P137" s="1">
        <v>16.5</v>
      </c>
      <c r="Q137" s="1">
        <v>14.7</v>
      </c>
    </row>
    <row r="138" spans="1:26" ht="13" x14ac:dyDescent="0.15">
      <c r="A138" s="7">
        <v>42636</v>
      </c>
      <c r="B138" s="14">
        <v>38</v>
      </c>
      <c r="C138" s="14">
        <v>7</v>
      </c>
      <c r="D138" s="13" t="s">
        <v>31</v>
      </c>
      <c r="E138" s="13" t="s">
        <v>85</v>
      </c>
      <c r="F138" s="3" t="s">
        <v>89</v>
      </c>
      <c r="G138" s="1">
        <f>155.1+94.95</f>
        <v>250.05</v>
      </c>
      <c r="I138" s="1">
        <v>12</v>
      </c>
      <c r="K138" s="5">
        <v>20</v>
      </c>
      <c r="L138" s="17"/>
      <c r="M138" s="1">
        <v>4</v>
      </c>
      <c r="O138" s="1">
        <v>15.9</v>
      </c>
      <c r="P138" s="1">
        <v>15.3</v>
      </c>
      <c r="Q138" s="1">
        <v>13.9</v>
      </c>
      <c r="Y138" s="1"/>
    </row>
    <row r="139" spans="1:26" ht="13" x14ac:dyDescent="0.15">
      <c r="A139" s="7">
        <v>42636</v>
      </c>
      <c r="B139" s="14">
        <v>38</v>
      </c>
      <c r="C139" s="14">
        <v>7</v>
      </c>
      <c r="D139" s="13" t="s">
        <v>90</v>
      </c>
      <c r="E139" s="13" t="s">
        <v>91</v>
      </c>
      <c r="F139" s="3" t="s">
        <v>92</v>
      </c>
      <c r="G139" s="1">
        <v>129.94</v>
      </c>
      <c r="I139" s="1">
        <v>7</v>
      </c>
      <c r="K139" s="5">
        <v>2</v>
      </c>
      <c r="L139" s="17"/>
      <c r="M139" s="1">
        <v>3</v>
      </c>
      <c r="O139" s="1">
        <v>13.1</v>
      </c>
      <c r="P139" s="1">
        <v>12.7</v>
      </c>
      <c r="Q139" s="1">
        <v>12.3</v>
      </c>
      <c r="R139" s="1">
        <v>10</v>
      </c>
      <c r="S139" s="1"/>
      <c r="T139" s="1"/>
      <c r="U139" s="1"/>
      <c r="V139" s="1"/>
      <c r="W139" s="1"/>
      <c r="X139" s="1"/>
      <c r="Y139" s="1"/>
    </row>
    <row r="140" spans="1:26" ht="13" x14ac:dyDescent="0.15">
      <c r="A140" s="7">
        <v>42639</v>
      </c>
      <c r="B140" s="12">
        <v>13</v>
      </c>
      <c r="C140" s="12">
        <v>3</v>
      </c>
      <c r="D140" s="13" t="s">
        <v>66</v>
      </c>
      <c r="E140" s="13" t="s">
        <v>87</v>
      </c>
      <c r="F140" s="3" t="s">
        <v>89</v>
      </c>
      <c r="G140" s="1">
        <v>135.04</v>
      </c>
      <c r="H140" s="1">
        <v>151.66</v>
      </c>
      <c r="I140" s="1">
        <v>7</v>
      </c>
      <c r="J140" s="1">
        <v>7</v>
      </c>
      <c r="K140" s="5">
        <v>0</v>
      </c>
      <c r="L140" s="5">
        <v>30</v>
      </c>
      <c r="M140" s="1">
        <v>0</v>
      </c>
      <c r="N140" s="1">
        <v>3</v>
      </c>
      <c r="O140" s="1">
        <v>14</v>
      </c>
      <c r="P140" s="1">
        <v>14</v>
      </c>
      <c r="Q140" s="1">
        <v>15.2</v>
      </c>
    </row>
    <row r="141" spans="1:26" ht="13" x14ac:dyDescent="0.15">
      <c r="A141" s="7">
        <v>42639</v>
      </c>
      <c r="B141" s="12">
        <v>13</v>
      </c>
      <c r="C141" s="12">
        <v>3</v>
      </c>
      <c r="D141" s="13" t="s">
        <v>31</v>
      </c>
      <c r="E141" s="13" t="s">
        <v>32</v>
      </c>
      <c r="F141" s="3" t="s">
        <v>33</v>
      </c>
      <c r="G141" s="1">
        <f>155.1+146.54</f>
        <v>301.64</v>
      </c>
      <c r="I141" s="1">
        <v>10</v>
      </c>
      <c r="K141" s="5">
        <v>0</v>
      </c>
      <c r="L141" s="17"/>
      <c r="M141" s="1">
        <v>0</v>
      </c>
      <c r="O141" s="1">
        <v>16.5</v>
      </c>
      <c r="P141" s="1">
        <v>18.600000000000001</v>
      </c>
      <c r="Q141" s="1">
        <v>15.8</v>
      </c>
      <c r="R141" s="1">
        <v>2</v>
      </c>
      <c r="S141" s="1"/>
      <c r="X141" s="1"/>
      <c r="Y141" s="1"/>
    </row>
    <row r="142" spans="1:26" ht="13" x14ac:dyDescent="0.15">
      <c r="A142" s="7">
        <v>42639</v>
      </c>
      <c r="B142" s="12">
        <v>14</v>
      </c>
      <c r="C142" s="12">
        <v>1</v>
      </c>
      <c r="D142" s="13" t="s">
        <v>56</v>
      </c>
      <c r="E142" s="13" t="s">
        <v>93</v>
      </c>
      <c r="F142" s="3" t="s">
        <v>92</v>
      </c>
      <c r="G142" s="1">
        <f>155.09+97.15</f>
        <v>252.24</v>
      </c>
      <c r="I142" s="1">
        <v>10</v>
      </c>
      <c r="K142" s="5">
        <v>0</v>
      </c>
      <c r="L142" s="17"/>
      <c r="M142" s="1">
        <v>0</v>
      </c>
      <c r="O142" s="1">
        <v>14.8</v>
      </c>
      <c r="P142" s="1">
        <v>15.6</v>
      </c>
      <c r="Q142" s="1">
        <v>16.399999999999999</v>
      </c>
      <c r="T142" s="1">
        <v>23</v>
      </c>
      <c r="V142" s="1">
        <v>31</v>
      </c>
      <c r="Y142" s="1"/>
      <c r="Z142" s="1"/>
    </row>
    <row r="143" spans="1:26" ht="13" x14ac:dyDescent="0.15">
      <c r="A143" s="7">
        <v>42639</v>
      </c>
      <c r="B143" s="12">
        <v>16</v>
      </c>
      <c r="C143" s="12">
        <v>1</v>
      </c>
      <c r="D143" s="13" t="s">
        <v>47</v>
      </c>
      <c r="E143" s="13" t="s">
        <v>81</v>
      </c>
      <c r="F143" s="3" t="s">
        <v>68</v>
      </c>
      <c r="G143" s="1">
        <v>81.5</v>
      </c>
      <c r="H143" s="1">
        <f>153.41+24.1</f>
        <v>177.51</v>
      </c>
      <c r="I143" s="1">
        <v>7</v>
      </c>
      <c r="J143" s="1">
        <v>9</v>
      </c>
      <c r="K143" s="5">
        <v>0</v>
      </c>
      <c r="L143" s="5">
        <v>0</v>
      </c>
      <c r="M143" s="1">
        <v>0</v>
      </c>
      <c r="N143" s="1">
        <v>0</v>
      </c>
      <c r="O143" s="1">
        <v>15.6</v>
      </c>
      <c r="P143" s="1">
        <v>16.2</v>
      </c>
      <c r="Q143" s="1">
        <v>16.100000000000001</v>
      </c>
      <c r="R143" s="1"/>
      <c r="S143" s="1">
        <v>31</v>
      </c>
      <c r="X143" s="1"/>
    </row>
    <row r="144" spans="1:26" ht="13" x14ac:dyDescent="0.15">
      <c r="A144" s="7">
        <v>42639</v>
      </c>
      <c r="B144" s="14">
        <v>16</v>
      </c>
      <c r="C144" s="14">
        <v>1</v>
      </c>
      <c r="D144" s="9" t="s">
        <v>56</v>
      </c>
      <c r="E144" s="9" t="s">
        <v>99</v>
      </c>
      <c r="F144" s="3" t="s">
        <v>92</v>
      </c>
      <c r="G144" s="1">
        <v>121.5</v>
      </c>
      <c r="H144" s="1">
        <v>353.34</v>
      </c>
      <c r="I144" s="1">
        <v>7</v>
      </c>
      <c r="J144" s="1">
        <v>10</v>
      </c>
      <c r="K144" s="5">
        <v>0</v>
      </c>
      <c r="L144" s="5">
        <v>0</v>
      </c>
      <c r="M144" s="1">
        <v>0</v>
      </c>
      <c r="N144" s="1">
        <v>0</v>
      </c>
      <c r="O144" s="1">
        <v>16.2</v>
      </c>
      <c r="P144" s="1">
        <v>15.7</v>
      </c>
      <c r="Q144" s="1">
        <v>15.5</v>
      </c>
      <c r="T144" s="1">
        <v>11</v>
      </c>
      <c r="U144" s="1">
        <v>11</v>
      </c>
      <c r="V144" s="1">
        <v>15</v>
      </c>
      <c r="W144" s="1">
        <v>11</v>
      </c>
      <c r="Y144" s="1"/>
      <c r="Z144" s="1"/>
    </row>
    <row r="145" spans="1:25" ht="13" x14ac:dyDescent="0.15">
      <c r="A145" s="7">
        <v>42639</v>
      </c>
      <c r="B145" s="12">
        <v>16</v>
      </c>
      <c r="C145" s="12">
        <v>1</v>
      </c>
      <c r="D145" s="13" t="s">
        <v>66</v>
      </c>
      <c r="E145" s="13" t="s">
        <v>94</v>
      </c>
      <c r="F145" s="3" t="s">
        <v>33</v>
      </c>
      <c r="G145" s="1">
        <f>155.09+42.64</f>
        <v>197.73000000000002</v>
      </c>
      <c r="I145" s="1">
        <v>12</v>
      </c>
      <c r="K145" s="5">
        <v>0</v>
      </c>
      <c r="L145" s="17"/>
      <c r="M145" s="1">
        <v>0</v>
      </c>
      <c r="O145" s="1">
        <v>15.7</v>
      </c>
      <c r="P145" s="1">
        <v>16.100000000000001</v>
      </c>
      <c r="Q145" s="1">
        <v>17</v>
      </c>
      <c r="R145" s="1">
        <v>9</v>
      </c>
      <c r="S145" s="1"/>
      <c r="X145" s="1"/>
    </row>
    <row r="146" spans="1:25" ht="13" x14ac:dyDescent="0.15">
      <c r="A146" s="7">
        <v>42639</v>
      </c>
      <c r="B146" s="12">
        <v>16</v>
      </c>
      <c r="C146" s="12">
        <v>1</v>
      </c>
      <c r="D146" s="13" t="s">
        <v>97</v>
      </c>
      <c r="E146" s="13" t="s">
        <v>86</v>
      </c>
      <c r="F146" s="3" t="s">
        <v>89</v>
      </c>
      <c r="G146" s="1">
        <v>54.96</v>
      </c>
      <c r="H146" s="1">
        <v>212.51</v>
      </c>
      <c r="I146" s="1">
        <v>8</v>
      </c>
      <c r="J146" s="1">
        <v>12</v>
      </c>
      <c r="K146" s="5">
        <v>0</v>
      </c>
      <c r="L146" s="5">
        <v>6</v>
      </c>
      <c r="M146" s="1">
        <v>0</v>
      </c>
      <c r="N146" s="1">
        <v>4</v>
      </c>
      <c r="O146" s="1">
        <v>16.3</v>
      </c>
      <c r="P146" s="1">
        <v>13.7</v>
      </c>
      <c r="Q146" s="1">
        <v>15</v>
      </c>
      <c r="R146" s="1"/>
      <c r="S146" s="1">
        <v>1</v>
      </c>
      <c r="X146" s="1"/>
    </row>
    <row r="147" spans="1:25" ht="13" x14ac:dyDescent="0.15">
      <c r="A147" s="7">
        <v>42639</v>
      </c>
      <c r="B147" s="12">
        <v>18</v>
      </c>
      <c r="C147" s="12">
        <v>5</v>
      </c>
      <c r="D147" s="13" t="s">
        <v>47</v>
      </c>
      <c r="E147" s="13" t="s">
        <v>49</v>
      </c>
      <c r="F147" s="3" t="s">
        <v>50</v>
      </c>
      <c r="G147" s="1">
        <f>39.31+154.71+49.49</f>
        <v>243.51000000000002</v>
      </c>
      <c r="H147" s="1">
        <f>154.71+154.7+72.36</f>
        <v>381.77</v>
      </c>
      <c r="I147" s="1">
        <v>10</v>
      </c>
      <c r="J147" s="1">
        <v>10</v>
      </c>
      <c r="K147" s="5">
        <v>0</v>
      </c>
      <c r="L147" s="5">
        <v>30</v>
      </c>
      <c r="M147" s="1">
        <v>0</v>
      </c>
      <c r="N147" s="1">
        <v>16</v>
      </c>
      <c r="O147" s="1">
        <v>15.7</v>
      </c>
      <c r="P147" s="1">
        <v>13</v>
      </c>
      <c r="Q147" s="1">
        <v>12.2</v>
      </c>
      <c r="R147" s="1"/>
      <c r="S147" s="1"/>
      <c r="X147" s="1" t="s">
        <v>104</v>
      </c>
      <c r="Y147" s="1"/>
    </row>
    <row r="148" spans="1:25" ht="13" x14ac:dyDescent="0.15">
      <c r="A148" s="7">
        <v>42639</v>
      </c>
      <c r="B148" s="12">
        <v>18</v>
      </c>
      <c r="C148" s="12">
        <v>5</v>
      </c>
      <c r="D148" s="13" t="s">
        <v>66</v>
      </c>
      <c r="E148" s="13" t="s">
        <v>75</v>
      </c>
      <c r="F148" s="3" t="s">
        <v>50</v>
      </c>
      <c r="G148" s="1">
        <f>155.09+155.09+155.09+17.46</f>
        <v>482.72999999999996</v>
      </c>
      <c r="I148" s="1">
        <v>10</v>
      </c>
      <c r="K148" s="5">
        <v>0</v>
      </c>
      <c r="L148" s="17"/>
      <c r="M148" s="1">
        <v>14</v>
      </c>
      <c r="O148" s="1">
        <v>13.7</v>
      </c>
      <c r="P148" s="1">
        <v>13.6</v>
      </c>
      <c r="Q148" s="1">
        <v>12.1</v>
      </c>
      <c r="R148" s="1"/>
      <c r="S148" s="1"/>
      <c r="X148" s="1" t="s">
        <v>105</v>
      </c>
      <c r="Y148" s="1"/>
    </row>
    <row r="149" spans="1:25" ht="13" x14ac:dyDescent="0.15">
      <c r="A149" s="7">
        <v>42639</v>
      </c>
      <c r="B149" s="12">
        <v>18</v>
      </c>
      <c r="C149" s="12">
        <v>5</v>
      </c>
      <c r="D149" s="13" t="s">
        <v>31</v>
      </c>
      <c r="E149" s="13" t="s">
        <v>74</v>
      </c>
      <c r="F149" s="3" t="s">
        <v>50</v>
      </c>
      <c r="G149" s="1">
        <v>0</v>
      </c>
      <c r="H149" s="1">
        <f>87.08+27.08+34.03+33.08+44.15+32.23+48.34</f>
        <v>305.99</v>
      </c>
      <c r="I149" s="1">
        <v>0</v>
      </c>
      <c r="J149" s="1">
        <v>10</v>
      </c>
      <c r="K149" s="5">
        <v>0</v>
      </c>
      <c r="L149" s="5">
        <v>1</v>
      </c>
      <c r="M149" s="1">
        <v>0</v>
      </c>
      <c r="N149" s="1">
        <v>1</v>
      </c>
      <c r="O149" s="1">
        <v>14</v>
      </c>
      <c r="P149" s="1">
        <v>15</v>
      </c>
      <c r="Q149" s="1">
        <v>14.3</v>
      </c>
      <c r="R149" s="1">
        <v>1</v>
      </c>
      <c r="S149" s="1"/>
      <c r="X149" s="1"/>
    </row>
    <row r="150" spans="1:25" ht="13" x14ac:dyDescent="0.15">
      <c r="A150" s="7">
        <v>42639</v>
      </c>
      <c r="B150" s="14">
        <v>18</v>
      </c>
      <c r="C150" s="14">
        <v>5</v>
      </c>
      <c r="D150" s="9" t="s">
        <v>97</v>
      </c>
      <c r="E150" s="9" t="s">
        <v>88</v>
      </c>
      <c r="F150" s="3" t="s">
        <v>89</v>
      </c>
      <c r="G150" s="1">
        <v>155.08000000000001</v>
      </c>
      <c r="H150" s="1">
        <f>155.08+35.95</f>
        <v>191.03000000000003</v>
      </c>
      <c r="I150" s="1">
        <v>6</v>
      </c>
      <c r="J150" s="1">
        <v>10</v>
      </c>
      <c r="K150" s="5">
        <v>0</v>
      </c>
      <c r="L150" s="5">
        <v>0</v>
      </c>
      <c r="M150" s="1">
        <v>1</v>
      </c>
      <c r="N150" s="1">
        <v>1</v>
      </c>
      <c r="O150" s="1">
        <v>16.100000000000001</v>
      </c>
      <c r="P150" s="1">
        <v>17.5</v>
      </c>
      <c r="Q150" s="1">
        <v>16.3</v>
      </c>
      <c r="R150" s="1">
        <v>1</v>
      </c>
      <c r="S150" s="1"/>
      <c r="T150" s="1">
        <v>51</v>
      </c>
      <c r="V150" s="1">
        <v>97</v>
      </c>
      <c r="X150" s="1"/>
    </row>
    <row r="151" spans="1:25" ht="13" x14ac:dyDescent="0.15">
      <c r="A151" s="7">
        <v>42639</v>
      </c>
      <c r="B151" s="12">
        <v>18</v>
      </c>
      <c r="C151" s="12">
        <v>5</v>
      </c>
      <c r="D151" s="13" t="s">
        <v>95</v>
      </c>
      <c r="E151" s="13" t="s">
        <v>96</v>
      </c>
      <c r="F151" s="3" t="s">
        <v>92</v>
      </c>
      <c r="G151" s="1">
        <f>47.11+27.14+155.08+155.08</f>
        <v>384.41</v>
      </c>
      <c r="I151" s="1">
        <v>10</v>
      </c>
      <c r="K151" s="5">
        <v>0</v>
      </c>
      <c r="L151" s="17"/>
      <c r="M151" s="1">
        <v>0</v>
      </c>
      <c r="O151" s="1">
        <v>13.3</v>
      </c>
      <c r="P151" s="1">
        <v>16.899999999999999</v>
      </c>
      <c r="Q151" s="1">
        <v>15.4</v>
      </c>
      <c r="T151" s="1">
        <v>15</v>
      </c>
      <c r="V151" s="1">
        <v>16</v>
      </c>
      <c r="Y151" s="1"/>
    </row>
    <row r="152" spans="1:25" ht="13" x14ac:dyDescent="0.15">
      <c r="A152" s="7">
        <v>42639</v>
      </c>
      <c r="B152" s="12">
        <v>19</v>
      </c>
      <c r="C152" s="12">
        <v>9</v>
      </c>
      <c r="D152" s="13" t="s">
        <v>56</v>
      </c>
      <c r="E152" s="13" t="s">
        <v>57</v>
      </c>
      <c r="F152" s="3" t="s">
        <v>33</v>
      </c>
      <c r="G152" s="1">
        <f>16.04+155.08</f>
        <v>171.12</v>
      </c>
      <c r="H152" s="1">
        <f>43.62+155.08+148.81</f>
        <v>347.51</v>
      </c>
      <c r="I152" s="1">
        <v>8</v>
      </c>
      <c r="J152" s="1">
        <v>10</v>
      </c>
      <c r="K152" s="5">
        <v>0</v>
      </c>
      <c r="L152" s="5">
        <v>2</v>
      </c>
      <c r="M152" s="1">
        <v>0</v>
      </c>
      <c r="N152" s="1">
        <v>1</v>
      </c>
      <c r="O152" s="1">
        <v>16.8</v>
      </c>
      <c r="P152" s="1">
        <v>17.2</v>
      </c>
      <c r="Q152" s="1">
        <v>16</v>
      </c>
      <c r="R152" s="1"/>
      <c r="S152" s="1">
        <v>30</v>
      </c>
      <c r="X152" s="1"/>
      <c r="Y152" s="1"/>
    </row>
    <row r="153" spans="1:25" ht="13" x14ac:dyDescent="0.15">
      <c r="A153" s="7">
        <v>42639</v>
      </c>
      <c r="B153" s="12">
        <v>20</v>
      </c>
      <c r="C153" s="12">
        <v>2</v>
      </c>
      <c r="D153" s="13" t="s">
        <v>47</v>
      </c>
      <c r="E153" s="13" t="s">
        <v>80</v>
      </c>
      <c r="F153" s="3" t="s">
        <v>68</v>
      </c>
      <c r="G153" s="1">
        <v>63.25</v>
      </c>
      <c r="H153" s="1">
        <f>20.55+155.08+27.19</f>
        <v>202.82000000000002</v>
      </c>
      <c r="I153" s="1">
        <v>6</v>
      </c>
      <c r="J153" s="1">
        <v>10</v>
      </c>
      <c r="K153" s="5">
        <v>0</v>
      </c>
      <c r="L153" s="5">
        <v>75</v>
      </c>
      <c r="M153" s="1">
        <v>0</v>
      </c>
      <c r="N153" s="1">
        <v>9</v>
      </c>
      <c r="O153" s="1">
        <v>10.7</v>
      </c>
      <c r="P153" s="1">
        <v>17.3</v>
      </c>
      <c r="Q153" s="1">
        <v>14.9</v>
      </c>
      <c r="Y153" s="1"/>
    </row>
    <row r="154" spans="1:25" ht="13" x14ac:dyDescent="0.15">
      <c r="A154" s="7">
        <v>42639</v>
      </c>
      <c r="B154" s="12">
        <v>20</v>
      </c>
      <c r="C154" s="12">
        <v>2</v>
      </c>
      <c r="D154" s="13" t="s">
        <v>66</v>
      </c>
      <c r="E154" s="13" t="s">
        <v>67</v>
      </c>
      <c r="F154" s="3" t="s">
        <v>68</v>
      </c>
      <c r="G154" s="1">
        <v>42.13</v>
      </c>
      <c r="H154" s="1">
        <v>216.43</v>
      </c>
      <c r="I154" s="1">
        <v>5</v>
      </c>
      <c r="J154" s="1">
        <v>10</v>
      </c>
      <c r="K154" s="5">
        <v>0</v>
      </c>
      <c r="L154" s="5">
        <v>45</v>
      </c>
      <c r="M154" s="1">
        <v>0</v>
      </c>
      <c r="N154" s="1">
        <v>22</v>
      </c>
      <c r="O154" s="1">
        <v>17.100000000000001</v>
      </c>
      <c r="P154" s="1">
        <v>18.5</v>
      </c>
      <c r="Q154" s="1">
        <v>17.3</v>
      </c>
      <c r="R154" s="1"/>
      <c r="S154" s="1">
        <v>26</v>
      </c>
      <c r="X154" s="1" t="s">
        <v>106</v>
      </c>
      <c r="Y154" s="1"/>
    </row>
    <row r="155" spans="1:25" ht="13" x14ac:dyDescent="0.15">
      <c r="A155" s="7">
        <v>42639</v>
      </c>
      <c r="B155" s="12">
        <v>20</v>
      </c>
      <c r="C155" s="12">
        <v>2</v>
      </c>
      <c r="D155" s="13" t="s">
        <v>31</v>
      </c>
      <c r="E155" s="13" t="s">
        <v>98</v>
      </c>
      <c r="F155" s="3" t="s">
        <v>33</v>
      </c>
      <c r="G155" s="1">
        <f>154.7+105.08</f>
        <v>259.77999999999997</v>
      </c>
      <c r="I155" s="1">
        <v>10</v>
      </c>
      <c r="K155" s="5">
        <v>85</v>
      </c>
      <c r="L155" s="17"/>
      <c r="M155" s="1">
        <v>54</v>
      </c>
      <c r="O155" s="1">
        <v>17.600000000000001</v>
      </c>
      <c r="P155" s="1">
        <v>14.6</v>
      </c>
      <c r="Q155" s="1">
        <v>17.8</v>
      </c>
      <c r="R155" s="1">
        <v>9</v>
      </c>
      <c r="S155" s="1"/>
      <c r="X155" s="1"/>
    </row>
    <row r="156" spans="1:25" ht="13" x14ac:dyDescent="0.15">
      <c r="A156" s="7">
        <v>42639</v>
      </c>
      <c r="B156" s="14">
        <v>20</v>
      </c>
      <c r="C156" s="14">
        <v>2</v>
      </c>
      <c r="D156" s="9" t="s">
        <v>90</v>
      </c>
      <c r="E156" s="9" t="s">
        <v>103</v>
      </c>
      <c r="F156" s="3" t="s">
        <v>33</v>
      </c>
      <c r="G156" s="1">
        <v>158.27000000000001</v>
      </c>
      <c r="I156" s="1">
        <v>9</v>
      </c>
      <c r="K156" s="5">
        <v>0</v>
      </c>
      <c r="L156" s="17"/>
      <c r="M156" s="1">
        <v>0</v>
      </c>
      <c r="O156" s="1">
        <v>19.899999999999999</v>
      </c>
      <c r="P156" s="1">
        <v>14.6</v>
      </c>
      <c r="Q156" s="1">
        <v>16</v>
      </c>
      <c r="Y156" s="1"/>
    </row>
    <row r="157" spans="1:25" ht="13" x14ac:dyDescent="0.15">
      <c r="A157" s="7">
        <v>42639</v>
      </c>
      <c r="B157" s="12">
        <v>20</v>
      </c>
      <c r="C157" s="12">
        <v>5</v>
      </c>
      <c r="D157" s="13" t="s">
        <v>56</v>
      </c>
      <c r="E157" s="13" t="s">
        <v>76</v>
      </c>
      <c r="F157" s="3" t="s">
        <v>50</v>
      </c>
      <c r="G157" s="1">
        <v>39.979999999999997</v>
      </c>
      <c r="H157" s="1">
        <v>191.59</v>
      </c>
      <c r="I157" s="1">
        <v>6</v>
      </c>
      <c r="J157" s="1">
        <v>12</v>
      </c>
      <c r="K157" s="5">
        <v>0</v>
      </c>
      <c r="L157" s="5">
        <v>5</v>
      </c>
      <c r="M157" s="1">
        <v>0</v>
      </c>
      <c r="N157" s="1">
        <v>6</v>
      </c>
      <c r="O157" s="1">
        <v>15.1</v>
      </c>
      <c r="P157" s="1">
        <v>12.7</v>
      </c>
      <c r="Q157" s="1">
        <v>14.4</v>
      </c>
      <c r="Y157" s="1"/>
    </row>
    <row r="158" spans="1:25" ht="13" x14ac:dyDescent="0.15">
      <c r="A158" s="7">
        <v>42639</v>
      </c>
      <c r="B158" s="14">
        <v>22</v>
      </c>
      <c r="C158" s="14">
        <v>9</v>
      </c>
      <c r="D158" s="9" t="s">
        <v>97</v>
      </c>
      <c r="E158" s="9" t="s">
        <v>101</v>
      </c>
      <c r="F158" s="3" t="s">
        <v>68</v>
      </c>
      <c r="G158" s="1">
        <f>155.09+66.05</f>
        <v>221.14</v>
      </c>
      <c r="I158" s="1">
        <v>9</v>
      </c>
      <c r="K158" s="5">
        <v>0</v>
      </c>
      <c r="L158" s="17"/>
      <c r="M158" s="1">
        <v>0</v>
      </c>
      <c r="O158" s="1">
        <v>17.600000000000001</v>
      </c>
      <c r="P158" s="1">
        <v>18.3</v>
      </c>
      <c r="Q158" s="1">
        <v>19.7</v>
      </c>
      <c r="R158" s="1">
        <v>10</v>
      </c>
      <c r="S158" s="1"/>
      <c r="X158" s="1"/>
      <c r="Y158" s="1"/>
    </row>
    <row r="159" spans="1:25" ht="13" x14ac:dyDescent="0.15">
      <c r="A159" s="7">
        <v>42639</v>
      </c>
      <c r="B159" s="14">
        <v>35</v>
      </c>
      <c r="C159" s="14">
        <v>3</v>
      </c>
      <c r="D159" s="9" t="s">
        <v>90</v>
      </c>
      <c r="E159" s="9" t="s">
        <v>77</v>
      </c>
      <c r="F159" s="3" t="s">
        <v>50</v>
      </c>
      <c r="G159" s="1">
        <f>148.25+155.07</f>
        <v>303.32</v>
      </c>
      <c r="I159" s="1">
        <v>10</v>
      </c>
      <c r="K159" s="5">
        <v>50</v>
      </c>
      <c r="L159" s="17"/>
      <c r="M159" s="1">
        <v>3</v>
      </c>
      <c r="O159" s="1">
        <v>14</v>
      </c>
      <c r="P159" s="1">
        <v>14.8</v>
      </c>
      <c r="Q159" s="1">
        <v>13.4</v>
      </c>
      <c r="R159" s="1">
        <v>2</v>
      </c>
      <c r="S159" s="1"/>
      <c r="X159" s="1"/>
      <c r="Y159" s="1"/>
    </row>
    <row r="160" spans="1:25" ht="13" x14ac:dyDescent="0.15">
      <c r="A160" s="7">
        <v>42639</v>
      </c>
      <c r="B160" s="12">
        <v>38</v>
      </c>
      <c r="C160" s="12">
        <v>7</v>
      </c>
      <c r="D160" s="13" t="s">
        <v>70</v>
      </c>
      <c r="E160" s="13" t="s">
        <v>71</v>
      </c>
      <c r="F160" s="3" t="s">
        <v>68</v>
      </c>
      <c r="G160" s="1">
        <v>145.55000000000001</v>
      </c>
      <c r="H160" s="1">
        <f>155.03+35.84</f>
        <v>190.87</v>
      </c>
      <c r="I160" s="1">
        <v>9</v>
      </c>
      <c r="J160" s="1">
        <v>9</v>
      </c>
      <c r="K160" s="5">
        <v>0</v>
      </c>
      <c r="L160" s="5">
        <v>0</v>
      </c>
      <c r="M160" s="1">
        <v>0</v>
      </c>
      <c r="N160" s="1">
        <v>0</v>
      </c>
      <c r="O160" s="1">
        <v>17.399999999999999</v>
      </c>
      <c r="P160" s="1">
        <v>15.1</v>
      </c>
      <c r="Q160" s="1">
        <v>16.399999999999999</v>
      </c>
      <c r="R160" s="1">
        <v>2</v>
      </c>
      <c r="S160" s="1">
        <v>9</v>
      </c>
      <c r="U160" s="1">
        <f>93+51</f>
        <v>144</v>
      </c>
      <c r="W160" s="1">
        <f>196+96</f>
        <v>292</v>
      </c>
      <c r="X160" s="1"/>
      <c r="Y160" s="1"/>
    </row>
    <row r="161" spans="1:25" ht="13" x14ac:dyDescent="0.15">
      <c r="A161" s="7">
        <v>42639</v>
      </c>
      <c r="B161" s="14">
        <v>38</v>
      </c>
      <c r="C161" s="14">
        <v>7</v>
      </c>
      <c r="D161" s="9" t="s">
        <v>56</v>
      </c>
      <c r="E161" s="9" t="s">
        <v>79</v>
      </c>
      <c r="F161" s="3" t="s">
        <v>33</v>
      </c>
      <c r="G161" s="1">
        <f>155.07+7.83</f>
        <v>162.9</v>
      </c>
      <c r="H161" s="1">
        <f>155.1+90.37</f>
        <v>245.47</v>
      </c>
      <c r="I161" s="1">
        <v>10</v>
      </c>
      <c r="J161" s="1">
        <v>10</v>
      </c>
      <c r="K161" s="5">
        <v>40</v>
      </c>
      <c r="L161" s="5">
        <v>50</v>
      </c>
      <c r="M161" s="1">
        <v>6</v>
      </c>
      <c r="N161" s="1">
        <v>15</v>
      </c>
      <c r="O161" s="1">
        <v>16</v>
      </c>
      <c r="P161" s="1">
        <v>13.3</v>
      </c>
      <c r="Q161" s="1">
        <v>13.7</v>
      </c>
      <c r="R161" s="1">
        <v>3</v>
      </c>
      <c r="S161" s="1">
        <v>10</v>
      </c>
      <c r="X161" s="1" t="s">
        <v>107</v>
      </c>
    </row>
    <row r="162" spans="1:25" ht="13" x14ac:dyDescent="0.15">
      <c r="A162" s="7">
        <v>42639</v>
      </c>
      <c r="B162" s="14">
        <v>38</v>
      </c>
      <c r="C162" s="14">
        <v>7</v>
      </c>
      <c r="D162" s="13" t="s">
        <v>66</v>
      </c>
      <c r="E162" s="13" t="s">
        <v>73</v>
      </c>
      <c r="F162" s="3" t="s">
        <v>50</v>
      </c>
      <c r="G162" s="1">
        <v>75.12</v>
      </c>
      <c r="H162" s="1">
        <f>20.03+120.13</f>
        <v>140.16</v>
      </c>
      <c r="I162" s="1">
        <v>6</v>
      </c>
      <c r="J162" s="1">
        <v>9</v>
      </c>
      <c r="K162" s="5">
        <v>90</v>
      </c>
      <c r="L162" s="5">
        <v>85</v>
      </c>
      <c r="M162" s="1">
        <v>2</v>
      </c>
      <c r="N162" s="1">
        <v>17</v>
      </c>
      <c r="O162" s="1">
        <v>14.1</v>
      </c>
      <c r="P162" s="1">
        <v>16.100000000000001</v>
      </c>
      <c r="Q162" s="1">
        <v>17.8</v>
      </c>
      <c r="R162" s="1">
        <v>1</v>
      </c>
      <c r="S162" s="1">
        <v>9</v>
      </c>
      <c r="X162" s="1" t="s">
        <v>106</v>
      </c>
    </row>
    <row r="163" spans="1:25" ht="13" x14ac:dyDescent="0.15">
      <c r="A163" s="7">
        <v>42639</v>
      </c>
      <c r="B163" s="14">
        <v>38</v>
      </c>
      <c r="C163" s="14">
        <v>7</v>
      </c>
      <c r="D163" s="13" t="s">
        <v>31</v>
      </c>
      <c r="E163" s="13" t="s">
        <v>85</v>
      </c>
      <c r="F163" s="3" t="s">
        <v>89</v>
      </c>
      <c r="G163" s="1">
        <f>155+102.35</f>
        <v>257.35000000000002</v>
      </c>
      <c r="I163" s="1">
        <v>13</v>
      </c>
      <c r="K163" s="5">
        <v>95</v>
      </c>
      <c r="L163" s="17"/>
      <c r="M163" s="1">
        <v>20</v>
      </c>
      <c r="O163" s="1">
        <v>17.8</v>
      </c>
      <c r="P163" s="1">
        <v>16</v>
      </c>
      <c r="Q163" s="1">
        <v>15.8</v>
      </c>
      <c r="Y163" s="1"/>
    </row>
    <row r="164" spans="1:25" ht="13" x14ac:dyDescent="0.15">
      <c r="A164" s="7">
        <v>42639</v>
      </c>
      <c r="B164" s="14">
        <v>38</v>
      </c>
      <c r="C164" s="14">
        <v>7</v>
      </c>
      <c r="D164" s="13" t="s">
        <v>90</v>
      </c>
      <c r="E164" s="13" t="s">
        <v>91</v>
      </c>
      <c r="F164" s="3" t="s">
        <v>92</v>
      </c>
      <c r="G164" s="1">
        <v>131.21</v>
      </c>
      <c r="I164" s="1">
        <v>7</v>
      </c>
      <c r="K164" s="5">
        <v>40</v>
      </c>
      <c r="L164" s="17"/>
      <c r="M164" s="1">
        <v>23</v>
      </c>
      <c r="O164" s="1">
        <v>15.2</v>
      </c>
      <c r="P164" s="1">
        <v>17</v>
      </c>
      <c r="Q164" s="1">
        <v>15.3</v>
      </c>
      <c r="Y164" s="1"/>
    </row>
    <row r="165" spans="1:25" ht="13" x14ac:dyDescent="0.15">
      <c r="A165" s="7">
        <v>42641</v>
      </c>
      <c r="B165" s="12">
        <v>13</v>
      </c>
      <c r="C165" s="12">
        <v>3</v>
      </c>
      <c r="D165" s="13" t="s">
        <v>66</v>
      </c>
      <c r="E165" s="13" t="s">
        <v>87</v>
      </c>
      <c r="F165" s="3" t="s">
        <v>89</v>
      </c>
      <c r="G165" s="1">
        <v>139.44999999999999</v>
      </c>
      <c r="H165" s="1">
        <v>157.02000000000001</v>
      </c>
      <c r="I165" s="1">
        <v>8</v>
      </c>
      <c r="J165" s="1">
        <v>9</v>
      </c>
      <c r="K165" s="5">
        <v>0</v>
      </c>
      <c r="L165" s="5">
        <v>45</v>
      </c>
      <c r="M165" s="1">
        <v>0</v>
      </c>
      <c r="N165" s="1">
        <v>2</v>
      </c>
      <c r="O165" s="1">
        <v>12.5</v>
      </c>
      <c r="P165" s="1">
        <v>12.7</v>
      </c>
      <c r="Q165" s="1">
        <v>12.4</v>
      </c>
    </row>
    <row r="166" spans="1:25" ht="13" x14ac:dyDescent="0.15">
      <c r="A166" s="7">
        <v>42641</v>
      </c>
      <c r="B166" s="12">
        <v>13</v>
      </c>
      <c r="C166" s="12">
        <v>3</v>
      </c>
      <c r="D166" s="13" t="s">
        <v>31</v>
      </c>
      <c r="E166" s="13" t="s">
        <v>32</v>
      </c>
      <c r="F166" s="3" t="s">
        <v>33</v>
      </c>
      <c r="G166" s="1">
        <f>154.9+147.77</f>
        <v>302.67</v>
      </c>
      <c r="I166" s="1">
        <v>10</v>
      </c>
      <c r="K166" s="5">
        <v>0</v>
      </c>
      <c r="L166" s="17"/>
      <c r="M166" s="1">
        <v>0</v>
      </c>
      <c r="O166" s="1">
        <v>18.5</v>
      </c>
      <c r="P166" s="1">
        <v>18.899999999999999</v>
      </c>
      <c r="Q166" s="1">
        <v>20.3</v>
      </c>
      <c r="R166" s="1">
        <v>6</v>
      </c>
    </row>
    <row r="167" spans="1:25" ht="13" x14ac:dyDescent="0.15">
      <c r="A167" s="7">
        <v>42641</v>
      </c>
      <c r="B167" s="12">
        <v>14</v>
      </c>
      <c r="C167" s="12">
        <v>1</v>
      </c>
      <c r="D167" s="13" t="s">
        <v>56</v>
      </c>
      <c r="E167" s="13" t="s">
        <v>93</v>
      </c>
      <c r="F167" s="3" t="s">
        <v>92</v>
      </c>
      <c r="G167" s="1">
        <f>154.7+100.4</f>
        <v>255.1</v>
      </c>
      <c r="I167" s="1">
        <v>11</v>
      </c>
      <c r="K167" s="5">
        <v>6</v>
      </c>
      <c r="L167" s="17"/>
      <c r="M167" s="1">
        <v>0</v>
      </c>
      <c r="O167" s="1">
        <v>15.1</v>
      </c>
      <c r="P167" s="1">
        <v>16</v>
      </c>
      <c r="Q167" s="1">
        <v>12.9</v>
      </c>
    </row>
    <row r="168" spans="1:25" ht="13" x14ac:dyDescent="0.15">
      <c r="A168" s="7">
        <v>42641</v>
      </c>
      <c r="B168" s="12">
        <v>16</v>
      </c>
      <c r="C168" s="12">
        <v>1</v>
      </c>
      <c r="D168" s="13" t="s">
        <v>47</v>
      </c>
      <c r="E168" s="13" t="s">
        <v>81</v>
      </c>
      <c r="F168" s="3" t="s">
        <v>68</v>
      </c>
      <c r="G168" s="1">
        <v>85.27</v>
      </c>
      <c r="H168" s="1">
        <f>129.88+53.51</f>
        <v>183.39</v>
      </c>
      <c r="I168" s="1">
        <v>7</v>
      </c>
      <c r="J168" s="1">
        <v>9</v>
      </c>
      <c r="K168" s="5">
        <v>0</v>
      </c>
      <c r="L168" s="5">
        <v>0</v>
      </c>
      <c r="M168" s="1">
        <v>0</v>
      </c>
      <c r="N168" s="1">
        <v>0</v>
      </c>
      <c r="O168" s="1">
        <v>16.3</v>
      </c>
      <c r="P168" s="1">
        <v>16</v>
      </c>
      <c r="Q168" s="1">
        <v>17</v>
      </c>
      <c r="S168" s="1">
        <v>5</v>
      </c>
      <c r="X168" s="1" t="s">
        <v>108</v>
      </c>
    </row>
    <row r="169" spans="1:25" ht="13" x14ac:dyDescent="0.15">
      <c r="A169" s="7">
        <v>42641</v>
      </c>
      <c r="B169" s="14">
        <v>16</v>
      </c>
      <c r="C169" s="14">
        <v>1</v>
      </c>
      <c r="D169" s="9" t="s">
        <v>56</v>
      </c>
      <c r="E169" s="9" t="s">
        <v>99</v>
      </c>
      <c r="F169" s="3" t="s">
        <v>92</v>
      </c>
      <c r="G169" s="1">
        <v>121.67</v>
      </c>
      <c r="H169" s="1">
        <f>155.1+155.1+43.35</f>
        <v>353.55</v>
      </c>
      <c r="I169" s="1">
        <v>7</v>
      </c>
      <c r="J169" s="1">
        <v>10</v>
      </c>
      <c r="K169" s="5">
        <v>0</v>
      </c>
      <c r="L169" s="5">
        <v>0</v>
      </c>
      <c r="M169" s="1">
        <v>0</v>
      </c>
      <c r="N169" s="1">
        <v>0</v>
      </c>
      <c r="O169" s="1">
        <v>14.8</v>
      </c>
      <c r="P169" s="1">
        <v>15.9</v>
      </c>
      <c r="Q169" s="1">
        <v>15.3</v>
      </c>
    </row>
    <row r="170" spans="1:25" ht="13" x14ac:dyDescent="0.15">
      <c r="A170" s="7">
        <v>42641</v>
      </c>
      <c r="B170" s="12">
        <v>16</v>
      </c>
      <c r="C170" s="12">
        <v>1</v>
      </c>
      <c r="D170" s="13" t="s">
        <v>66</v>
      </c>
      <c r="E170" s="13" t="s">
        <v>94</v>
      </c>
      <c r="F170" s="3" t="s">
        <v>33</v>
      </c>
      <c r="G170" s="1">
        <f>155.07+52.23</f>
        <v>207.29999999999998</v>
      </c>
      <c r="I170" s="1">
        <v>13</v>
      </c>
      <c r="K170" s="5"/>
      <c r="L170" s="17"/>
      <c r="M170" s="1"/>
      <c r="O170" s="1">
        <v>12.7</v>
      </c>
      <c r="P170" s="1">
        <v>16</v>
      </c>
      <c r="Q170" s="1">
        <v>16.399999999999999</v>
      </c>
      <c r="X170" s="1" t="s">
        <v>109</v>
      </c>
    </row>
    <row r="171" spans="1:25" ht="13" x14ac:dyDescent="0.15">
      <c r="A171" s="7">
        <v>42641</v>
      </c>
      <c r="B171" s="12">
        <v>16</v>
      </c>
      <c r="C171" s="12">
        <v>1</v>
      </c>
      <c r="D171" s="13" t="s">
        <v>97</v>
      </c>
      <c r="E171" s="13" t="s">
        <v>86</v>
      </c>
      <c r="F171" s="3" t="s">
        <v>89</v>
      </c>
      <c r="G171" s="1">
        <v>55.84</v>
      </c>
      <c r="H171" s="1">
        <f>154.72+66.97</f>
        <v>221.69</v>
      </c>
      <c r="I171" s="1">
        <v>8</v>
      </c>
      <c r="J171" s="1">
        <v>12</v>
      </c>
      <c r="K171" s="5">
        <v>0</v>
      </c>
      <c r="L171" s="5">
        <v>6</v>
      </c>
      <c r="M171" s="1">
        <v>0</v>
      </c>
      <c r="N171" s="1">
        <v>1</v>
      </c>
      <c r="O171" s="1">
        <v>17.100000000000001</v>
      </c>
      <c r="P171" s="1">
        <v>15.2</v>
      </c>
      <c r="Q171" s="1">
        <v>16.2</v>
      </c>
      <c r="S171" s="1">
        <v>1</v>
      </c>
    </row>
    <row r="172" spans="1:25" ht="13" x14ac:dyDescent="0.15">
      <c r="A172" s="7">
        <v>42641</v>
      </c>
      <c r="B172" s="12">
        <v>18</v>
      </c>
      <c r="C172" s="12">
        <v>5</v>
      </c>
      <c r="D172" s="13" t="s">
        <v>47</v>
      </c>
      <c r="E172" s="13" t="s">
        <v>49</v>
      </c>
      <c r="F172" s="3" t="s">
        <v>50</v>
      </c>
      <c r="G172" s="1">
        <f>154.73+102.47</f>
        <v>257.2</v>
      </c>
      <c r="H172" s="1">
        <f>99.15+154.72+128.2</f>
        <v>382.07</v>
      </c>
      <c r="I172" s="1">
        <v>10</v>
      </c>
      <c r="J172" s="1">
        <v>10</v>
      </c>
      <c r="K172" s="5">
        <v>0</v>
      </c>
      <c r="L172" s="5">
        <v>40</v>
      </c>
      <c r="M172" s="1">
        <v>0</v>
      </c>
      <c r="N172" s="1">
        <v>6</v>
      </c>
      <c r="O172" s="1">
        <v>17.899999999999999</v>
      </c>
      <c r="P172" s="1">
        <v>18.7</v>
      </c>
      <c r="Q172" s="1">
        <v>16.899999999999999</v>
      </c>
      <c r="S172" s="1">
        <v>1</v>
      </c>
      <c r="X172" s="1" t="s">
        <v>110</v>
      </c>
    </row>
    <row r="173" spans="1:25" ht="13" x14ac:dyDescent="0.15">
      <c r="A173" s="7">
        <v>42641</v>
      </c>
      <c r="B173" s="12">
        <v>18</v>
      </c>
      <c r="C173" s="12">
        <v>5</v>
      </c>
      <c r="D173" s="13" t="s">
        <v>66</v>
      </c>
      <c r="E173" s="13" t="s">
        <v>75</v>
      </c>
      <c r="F173" s="3" t="s">
        <v>50</v>
      </c>
      <c r="G173" s="1">
        <f>22.51+155.09+155.09+155.09</f>
        <v>487.78</v>
      </c>
      <c r="I173" s="1">
        <v>10</v>
      </c>
      <c r="K173" s="5">
        <v>0</v>
      </c>
      <c r="L173" s="17"/>
      <c r="M173" s="1">
        <v>1</v>
      </c>
      <c r="O173" s="1">
        <v>11.5</v>
      </c>
      <c r="P173" s="1">
        <v>14.9</v>
      </c>
      <c r="Q173" s="1">
        <v>15.7</v>
      </c>
      <c r="R173" s="1"/>
      <c r="X173" s="1" t="s">
        <v>110</v>
      </c>
    </row>
    <row r="174" spans="1:25" ht="13" x14ac:dyDescent="0.15">
      <c r="A174" s="7">
        <v>42641</v>
      </c>
      <c r="B174" s="12">
        <v>18</v>
      </c>
      <c r="C174" s="12">
        <v>5</v>
      </c>
      <c r="D174" s="13" t="s">
        <v>31</v>
      </c>
      <c r="E174" s="13" t="s">
        <v>74</v>
      </c>
      <c r="F174" s="3" t="s">
        <v>50</v>
      </c>
      <c r="G174" s="1">
        <v>0</v>
      </c>
      <c r="H174" s="1">
        <f>109.49+66.81+52.65+79.28</f>
        <v>308.23</v>
      </c>
      <c r="I174" s="1">
        <v>0</v>
      </c>
      <c r="J174" s="1">
        <v>10</v>
      </c>
      <c r="K174" s="5">
        <v>0</v>
      </c>
      <c r="L174" s="5">
        <v>5</v>
      </c>
      <c r="M174" s="1">
        <v>0</v>
      </c>
      <c r="N174" s="1">
        <v>0</v>
      </c>
      <c r="O174" s="1">
        <v>16.8</v>
      </c>
      <c r="P174" s="1">
        <v>13.6</v>
      </c>
      <c r="Q174" s="1">
        <v>15.5</v>
      </c>
      <c r="R174" s="1"/>
      <c r="S174" s="1">
        <v>1</v>
      </c>
      <c r="X174" s="1" t="s">
        <v>110</v>
      </c>
    </row>
    <row r="175" spans="1:25" ht="13" x14ac:dyDescent="0.15">
      <c r="A175" s="7">
        <v>42641</v>
      </c>
      <c r="B175" s="14">
        <v>18</v>
      </c>
      <c r="C175" s="14">
        <v>5</v>
      </c>
      <c r="D175" s="9" t="s">
        <v>97</v>
      </c>
      <c r="E175" s="9" t="s">
        <v>88</v>
      </c>
      <c r="F175" s="3" t="s">
        <v>89</v>
      </c>
      <c r="G175" s="1">
        <f>155.09+3.76</f>
        <v>158.85</v>
      </c>
      <c r="H175" s="1">
        <v>191.05</v>
      </c>
      <c r="I175" s="1">
        <v>7</v>
      </c>
      <c r="J175" s="1">
        <v>11</v>
      </c>
      <c r="K175" s="5">
        <v>2</v>
      </c>
      <c r="L175" s="5">
        <v>0</v>
      </c>
      <c r="M175" s="1">
        <v>0</v>
      </c>
      <c r="N175" s="1">
        <v>0</v>
      </c>
      <c r="O175" s="1">
        <v>12.6</v>
      </c>
      <c r="P175" s="1">
        <v>15.2</v>
      </c>
      <c r="Q175" s="1">
        <v>15.2</v>
      </c>
      <c r="X175" s="1" t="s">
        <v>111</v>
      </c>
    </row>
    <row r="176" spans="1:25" ht="13" x14ac:dyDescent="0.15">
      <c r="A176" s="7">
        <v>42641</v>
      </c>
      <c r="B176" s="12">
        <v>18</v>
      </c>
      <c r="C176" s="12">
        <v>5</v>
      </c>
      <c r="D176" s="13" t="s">
        <v>95</v>
      </c>
      <c r="E176" s="13" t="s">
        <v>96</v>
      </c>
      <c r="F176" s="3" t="s">
        <v>92</v>
      </c>
      <c r="G176" s="1">
        <f>30.65+155.09+155.09+46.67</f>
        <v>387.50000000000006</v>
      </c>
      <c r="I176" s="1">
        <v>10</v>
      </c>
      <c r="K176" s="5">
        <v>4</v>
      </c>
      <c r="L176" s="17"/>
      <c r="M176" s="1">
        <v>1</v>
      </c>
      <c r="O176" s="1">
        <v>11.3</v>
      </c>
      <c r="P176" s="1">
        <v>12.6</v>
      </c>
      <c r="Q176" s="1">
        <v>13.6</v>
      </c>
      <c r="X176" s="1" t="s">
        <v>112</v>
      </c>
    </row>
    <row r="177" spans="1:24" ht="13" x14ac:dyDescent="0.15">
      <c r="A177" s="7">
        <v>42641</v>
      </c>
      <c r="B177" s="12">
        <v>19</v>
      </c>
      <c r="C177" s="12">
        <v>9</v>
      </c>
      <c r="D177" s="13" t="s">
        <v>56</v>
      </c>
      <c r="E177" s="13" t="s">
        <v>57</v>
      </c>
      <c r="F177" s="3" t="s">
        <v>33</v>
      </c>
      <c r="G177" s="1">
        <f>155.08+26.89</f>
        <v>181.97000000000003</v>
      </c>
      <c r="H177" s="1">
        <f>151.66+154.71+41.4</f>
        <v>347.77</v>
      </c>
      <c r="I177" s="1">
        <v>9</v>
      </c>
      <c r="J177" s="1">
        <v>10</v>
      </c>
      <c r="K177" s="5">
        <v>0</v>
      </c>
      <c r="L177" s="5">
        <v>0</v>
      </c>
      <c r="M177" s="1">
        <v>0</v>
      </c>
      <c r="N177" s="1">
        <v>0</v>
      </c>
      <c r="O177" s="1">
        <v>16.7</v>
      </c>
      <c r="P177" s="1">
        <v>15.4</v>
      </c>
      <c r="Q177" s="1">
        <v>16.600000000000001</v>
      </c>
      <c r="S177" s="1">
        <v>13</v>
      </c>
    </row>
    <row r="178" spans="1:24" ht="13" x14ac:dyDescent="0.15">
      <c r="A178" s="7">
        <v>42641</v>
      </c>
      <c r="B178" s="12">
        <v>20</v>
      </c>
      <c r="C178" s="12">
        <v>2</v>
      </c>
      <c r="D178" s="13" t="s">
        <v>47</v>
      </c>
      <c r="E178" s="13" t="s">
        <v>80</v>
      </c>
      <c r="F178" s="3" t="s">
        <v>68</v>
      </c>
      <c r="G178" s="1">
        <v>63.33</v>
      </c>
      <c r="H178" s="1">
        <f>56.6+148.39</f>
        <v>204.98999999999998</v>
      </c>
      <c r="I178" s="1">
        <v>6</v>
      </c>
      <c r="J178" s="1">
        <v>10</v>
      </c>
      <c r="K178" s="5">
        <v>0</v>
      </c>
      <c r="L178" s="5">
        <v>20</v>
      </c>
      <c r="M178" s="1">
        <v>0</v>
      </c>
      <c r="N178" s="1">
        <v>4</v>
      </c>
      <c r="O178" s="1">
        <v>15.2</v>
      </c>
      <c r="P178" s="1">
        <v>15.3</v>
      </c>
      <c r="Q178" s="1">
        <v>15</v>
      </c>
      <c r="S178" s="1">
        <v>3</v>
      </c>
      <c r="X178" s="1" t="s">
        <v>113</v>
      </c>
    </row>
    <row r="179" spans="1:24" ht="13" x14ac:dyDescent="0.15">
      <c r="A179" s="7">
        <v>42641</v>
      </c>
      <c r="B179" s="12">
        <v>20</v>
      </c>
      <c r="C179" s="12">
        <v>2</v>
      </c>
      <c r="D179" s="13" t="s">
        <v>66</v>
      </c>
      <c r="E179" s="13" t="s">
        <v>67</v>
      </c>
      <c r="F179" s="3" t="s">
        <v>68</v>
      </c>
      <c r="G179" s="1">
        <v>42.19</v>
      </c>
      <c r="H179" s="1">
        <f>46.44+73.51+97.03</f>
        <v>216.98000000000002</v>
      </c>
      <c r="I179" s="1">
        <v>5</v>
      </c>
      <c r="J179" s="1">
        <v>10</v>
      </c>
      <c r="K179" s="5">
        <v>0</v>
      </c>
      <c r="L179" s="5">
        <v>50</v>
      </c>
      <c r="M179" s="1">
        <v>0</v>
      </c>
      <c r="N179" s="1">
        <v>30</v>
      </c>
      <c r="O179" s="1">
        <v>18.8</v>
      </c>
      <c r="P179" s="1">
        <v>18.2</v>
      </c>
      <c r="Q179" s="1">
        <v>19.2</v>
      </c>
      <c r="S179" s="1">
        <v>40</v>
      </c>
      <c r="X179" s="1" t="s">
        <v>113</v>
      </c>
    </row>
    <row r="180" spans="1:24" ht="13" x14ac:dyDescent="0.15">
      <c r="A180" s="7">
        <v>42641</v>
      </c>
      <c r="B180" s="12">
        <v>20</v>
      </c>
      <c r="C180" s="12">
        <v>2</v>
      </c>
      <c r="D180" s="13" t="s">
        <v>31</v>
      </c>
      <c r="E180" s="13" t="s">
        <v>98</v>
      </c>
      <c r="F180" s="3" t="s">
        <v>33</v>
      </c>
      <c r="G180" s="1">
        <f>109.48+155.08</f>
        <v>264.56</v>
      </c>
      <c r="H180" s="1"/>
      <c r="I180" s="1">
        <v>10</v>
      </c>
      <c r="K180" s="5">
        <v>95</v>
      </c>
      <c r="L180" s="17"/>
      <c r="M180" s="1">
        <v>21</v>
      </c>
      <c r="O180" s="1">
        <v>15.7</v>
      </c>
      <c r="P180" s="1">
        <v>14.8</v>
      </c>
      <c r="Q180" s="1">
        <v>15.1</v>
      </c>
      <c r="R180" s="1">
        <v>23</v>
      </c>
    </row>
    <row r="181" spans="1:24" ht="13" x14ac:dyDescent="0.15">
      <c r="A181" s="7">
        <v>42641</v>
      </c>
      <c r="B181" s="14">
        <v>20</v>
      </c>
      <c r="C181" s="14">
        <v>2</v>
      </c>
      <c r="D181" s="9" t="s">
        <v>90</v>
      </c>
      <c r="E181" s="9" t="s">
        <v>103</v>
      </c>
      <c r="F181" s="3" t="s">
        <v>33</v>
      </c>
      <c r="G181" s="1">
        <f>122.95+43.57</f>
        <v>166.52</v>
      </c>
      <c r="I181" s="1">
        <v>9</v>
      </c>
      <c r="K181" s="5">
        <v>50</v>
      </c>
      <c r="L181" s="17"/>
      <c r="M181" s="1">
        <v>2</v>
      </c>
      <c r="O181" s="1">
        <v>14.2</v>
      </c>
      <c r="P181" s="1">
        <v>12</v>
      </c>
      <c r="Q181" s="1">
        <v>11.6</v>
      </c>
      <c r="R181" s="1"/>
    </row>
    <row r="182" spans="1:24" ht="13" x14ac:dyDescent="0.15">
      <c r="A182" s="7">
        <v>42641</v>
      </c>
      <c r="B182" s="12">
        <v>20</v>
      </c>
      <c r="C182" s="12">
        <v>5</v>
      </c>
      <c r="D182" s="13" t="s">
        <v>56</v>
      </c>
      <c r="E182" s="13" t="s">
        <v>76</v>
      </c>
      <c r="F182" s="3" t="s">
        <v>50</v>
      </c>
      <c r="G182" s="1">
        <v>47.89</v>
      </c>
      <c r="H182" s="1">
        <f>37.69+154.7+33.02</f>
        <v>225.41</v>
      </c>
      <c r="I182" s="1">
        <v>7</v>
      </c>
      <c r="J182" s="1">
        <v>13</v>
      </c>
      <c r="K182" s="5">
        <v>0</v>
      </c>
      <c r="L182" s="5">
        <v>20</v>
      </c>
      <c r="M182" s="1">
        <v>0</v>
      </c>
      <c r="N182" s="1">
        <v>2</v>
      </c>
      <c r="O182" s="1">
        <v>15.9</v>
      </c>
      <c r="P182" s="1">
        <v>15.4</v>
      </c>
      <c r="Q182" s="1">
        <v>15.9</v>
      </c>
      <c r="R182" s="1"/>
      <c r="S182" s="1">
        <v>8</v>
      </c>
    </row>
    <row r="183" spans="1:24" ht="13" x14ac:dyDescent="0.15">
      <c r="A183" s="7">
        <v>42641</v>
      </c>
      <c r="B183" s="14">
        <v>22</v>
      </c>
      <c r="C183" s="14">
        <v>9</v>
      </c>
      <c r="D183" s="9" t="s">
        <v>97</v>
      </c>
      <c r="E183" s="9" t="s">
        <v>101</v>
      </c>
      <c r="F183" s="3" t="s">
        <v>68</v>
      </c>
      <c r="G183" s="1">
        <f>154.6+99.37</f>
        <v>253.97</v>
      </c>
      <c r="I183" s="1">
        <v>10</v>
      </c>
      <c r="K183" s="5">
        <v>2</v>
      </c>
      <c r="L183" s="17"/>
      <c r="M183" s="1">
        <v>1</v>
      </c>
      <c r="O183" s="1">
        <v>18.7</v>
      </c>
      <c r="P183" s="1">
        <v>17.8</v>
      </c>
      <c r="Q183" s="1">
        <v>20.3</v>
      </c>
      <c r="R183" s="1">
        <v>3</v>
      </c>
      <c r="X183" s="1" t="s">
        <v>114</v>
      </c>
    </row>
    <row r="184" spans="1:24" ht="13" x14ac:dyDescent="0.15">
      <c r="A184" s="7">
        <v>42641</v>
      </c>
      <c r="B184" s="14">
        <v>24</v>
      </c>
      <c r="C184" s="14">
        <v>9</v>
      </c>
      <c r="D184" s="9" t="s">
        <v>97</v>
      </c>
      <c r="E184" s="9" t="s">
        <v>115</v>
      </c>
      <c r="F184" s="3" t="s">
        <v>33</v>
      </c>
      <c r="G184" s="1">
        <f>155.08+120.97</f>
        <v>276.05</v>
      </c>
      <c r="I184" s="1">
        <v>12</v>
      </c>
      <c r="K184" s="5">
        <v>0</v>
      </c>
      <c r="L184" s="17"/>
      <c r="M184" s="1">
        <v>0</v>
      </c>
      <c r="O184" s="1">
        <v>11.4</v>
      </c>
      <c r="P184" s="1">
        <v>13.1</v>
      </c>
      <c r="Q184" s="1">
        <v>12.7</v>
      </c>
      <c r="R184" s="1"/>
    </row>
    <row r="185" spans="1:24" ht="13" x14ac:dyDescent="0.15">
      <c r="A185" s="7">
        <v>42641</v>
      </c>
      <c r="B185" s="14">
        <v>35</v>
      </c>
      <c r="C185" s="14">
        <v>3</v>
      </c>
      <c r="D185" s="9" t="s">
        <v>90</v>
      </c>
      <c r="E185" s="9" t="s">
        <v>77</v>
      </c>
      <c r="F185" s="3" t="s">
        <v>50</v>
      </c>
      <c r="G185" s="1">
        <f>85.43+104.22+116.49</f>
        <v>306.14</v>
      </c>
      <c r="I185" s="1">
        <v>10</v>
      </c>
      <c r="K185" s="5">
        <v>80</v>
      </c>
      <c r="L185" s="17"/>
      <c r="M185" s="1">
        <v>5</v>
      </c>
      <c r="O185" s="1">
        <v>14.1</v>
      </c>
      <c r="P185" s="1">
        <v>16.5</v>
      </c>
      <c r="Q185" s="1">
        <v>14.4</v>
      </c>
      <c r="X185" s="1" t="s">
        <v>110</v>
      </c>
    </row>
    <row r="186" spans="1:24" ht="13" x14ac:dyDescent="0.15">
      <c r="A186" s="7">
        <v>42641</v>
      </c>
      <c r="B186" s="12">
        <v>38</v>
      </c>
      <c r="C186" s="12">
        <v>7</v>
      </c>
      <c r="D186" s="13" t="s">
        <v>70</v>
      </c>
      <c r="E186" s="13" t="s">
        <v>71</v>
      </c>
      <c r="F186" s="3" t="s">
        <v>68</v>
      </c>
      <c r="G186" s="1">
        <v>150.06</v>
      </c>
      <c r="H186" s="1">
        <f>42.18+155.1</f>
        <v>197.28</v>
      </c>
      <c r="I186" s="1">
        <v>10</v>
      </c>
      <c r="J186" s="1">
        <v>9</v>
      </c>
      <c r="K186" s="5">
        <v>0</v>
      </c>
      <c r="L186" s="5">
        <v>0</v>
      </c>
      <c r="M186" s="1">
        <v>0</v>
      </c>
      <c r="N186" s="1">
        <v>0</v>
      </c>
      <c r="O186" s="1">
        <v>14.6</v>
      </c>
      <c r="P186" s="1">
        <v>13.1</v>
      </c>
      <c r="Q186" s="1">
        <v>14.7</v>
      </c>
      <c r="R186" s="1"/>
      <c r="S186" s="1">
        <v>3</v>
      </c>
      <c r="X186" s="1" t="s">
        <v>113</v>
      </c>
    </row>
    <row r="187" spans="1:24" ht="13" x14ac:dyDescent="0.15">
      <c r="A187" s="7">
        <v>42641</v>
      </c>
      <c r="B187" s="14">
        <v>38</v>
      </c>
      <c r="C187" s="14">
        <v>7</v>
      </c>
      <c r="D187" s="9" t="s">
        <v>56</v>
      </c>
      <c r="E187" s="9" t="s">
        <v>79</v>
      </c>
      <c r="F187" s="3" t="s">
        <v>33</v>
      </c>
      <c r="G187" s="1">
        <f>155.1+8.37</f>
        <v>163.47</v>
      </c>
      <c r="H187" s="1">
        <f>24.84+35.39+40.67+65.94+78.98</f>
        <v>245.82</v>
      </c>
      <c r="I187" s="1">
        <v>10</v>
      </c>
      <c r="J187" s="1">
        <v>10</v>
      </c>
      <c r="K187" s="5">
        <v>50</v>
      </c>
      <c r="L187" s="5">
        <v>70</v>
      </c>
      <c r="M187" s="1">
        <v>0</v>
      </c>
      <c r="N187" s="1">
        <v>3</v>
      </c>
      <c r="O187" s="1">
        <v>18.3</v>
      </c>
      <c r="P187" s="1">
        <v>16.899999999999999</v>
      </c>
      <c r="Q187" s="1">
        <v>17.399999999999999</v>
      </c>
      <c r="R187" s="1">
        <v>3</v>
      </c>
      <c r="S187" s="1">
        <v>15</v>
      </c>
    </row>
    <row r="188" spans="1:24" ht="13" x14ac:dyDescent="0.15">
      <c r="A188" s="7">
        <v>42641</v>
      </c>
      <c r="B188" s="14">
        <v>38</v>
      </c>
      <c r="C188" s="14">
        <v>7</v>
      </c>
      <c r="D188" s="13" t="s">
        <v>66</v>
      </c>
      <c r="E188" s="13" t="s">
        <v>73</v>
      </c>
      <c r="F188" s="3" t="s">
        <v>50</v>
      </c>
      <c r="G188" s="1">
        <v>76.290000000000006</v>
      </c>
      <c r="H188" s="1">
        <f>30.05+110.43</f>
        <v>140.48000000000002</v>
      </c>
      <c r="I188" s="1">
        <v>7</v>
      </c>
      <c r="J188" s="1">
        <v>9</v>
      </c>
      <c r="K188" s="5">
        <v>90</v>
      </c>
      <c r="L188" s="5">
        <v>85</v>
      </c>
      <c r="M188" s="1">
        <v>5</v>
      </c>
      <c r="N188" s="1">
        <v>10</v>
      </c>
      <c r="O188" s="1">
        <v>18.100000000000001</v>
      </c>
      <c r="P188" s="1">
        <v>17.8</v>
      </c>
      <c r="Q188" s="1">
        <v>17.8</v>
      </c>
      <c r="R188" s="1">
        <v>1</v>
      </c>
      <c r="S188" s="1">
        <v>2</v>
      </c>
      <c r="X188" s="1" t="s">
        <v>110</v>
      </c>
    </row>
    <row r="189" spans="1:24" ht="13" x14ac:dyDescent="0.15">
      <c r="A189" s="7">
        <v>42641</v>
      </c>
      <c r="B189" s="14">
        <v>38</v>
      </c>
      <c r="C189" s="14">
        <v>7</v>
      </c>
      <c r="D189" s="13" t="s">
        <v>31</v>
      </c>
      <c r="E189" s="13" t="s">
        <v>85</v>
      </c>
      <c r="F189" s="3" t="s">
        <v>89</v>
      </c>
      <c r="G189" s="1">
        <v>271.43</v>
      </c>
      <c r="I189" s="1">
        <v>13</v>
      </c>
      <c r="K189" s="5">
        <v>40</v>
      </c>
      <c r="L189" s="17"/>
      <c r="M189" s="1">
        <v>1</v>
      </c>
      <c r="O189" s="1">
        <v>11.7</v>
      </c>
      <c r="P189" s="1">
        <v>11.8</v>
      </c>
      <c r="Q189" s="1">
        <v>14.1</v>
      </c>
    </row>
    <row r="190" spans="1:24" ht="13" x14ac:dyDescent="0.15">
      <c r="A190" s="7">
        <v>42641</v>
      </c>
      <c r="B190" s="14">
        <v>38</v>
      </c>
      <c r="C190" s="14">
        <v>7</v>
      </c>
      <c r="D190" s="13" t="s">
        <v>90</v>
      </c>
      <c r="E190" s="13" t="s">
        <v>91</v>
      </c>
      <c r="F190" s="3" t="s">
        <v>92</v>
      </c>
      <c r="G190" s="1">
        <v>135.65</v>
      </c>
      <c r="I190" s="1">
        <v>8</v>
      </c>
      <c r="K190" s="5">
        <v>80</v>
      </c>
      <c r="L190" s="17"/>
      <c r="M190" s="1">
        <v>23</v>
      </c>
      <c r="O190" s="1">
        <v>13.8</v>
      </c>
      <c r="P190" s="1">
        <v>12.8</v>
      </c>
      <c r="Q190" s="1">
        <v>11.8</v>
      </c>
    </row>
    <row r="191" spans="1:24" ht="13" x14ac:dyDescent="0.15">
      <c r="A191" s="7">
        <v>42643</v>
      </c>
      <c r="B191" s="12">
        <v>13</v>
      </c>
      <c r="C191" s="12">
        <v>3</v>
      </c>
      <c r="D191" s="13" t="s">
        <v>66</v>
      </c>
      <c r="E191" s="13" t="s">
        <v>87</v>
      </c>
      <c r="F191" s="3" t="s">
        <v>89</v>
      </c>
      <c r="G191" s="1">
        <v>139.96</v>
      </c>
      <c r="H191" s="1">
        <f>155.07+6.53</f>
        <v>161.6</v>
      </c>
      <c r="I191" s="1">
        <v>9</v>
      </c>
      <c r="J191" s="1">
        <v>10</v>
      </c>
      <c r="K191" s="5">
        <v>0</v>
      </c>
      <c r="L191" s="5">
        <v>50</v>
      </c>
      <c r="M191" s="1">
        <v>0</v>
      </c>
      <c r="N191" s="1">
        <v>0</v>
      </c>
      <c r="O191" s="1">
        <v>17</v>
      </c>
      <c r="P191" s="1">
        <v>16.600000000000001</v>
      </c>
      <c r="Q191" s="1">
        <v>15.4</v>
      </c>
      <c r="S191" s="1">
        <v>1</v>
      </c>
    </row>
    <row r="192" spans="1:24" ht="13" x14ac:dyDescent="0.15">
      <c r="A192" s="7">
        <v>42643</v>
      </c>
      <c r="B192" s="12">
        <v>13</v>
      </c>
      <c r="C192" s="12">
        <v>3</v>
      </c>
      <c r="D192" s="13" t="s">
        <v>31</v>
      </c>
      <c r="E192" s="13" t="s">
        <v>32</v>
      </c>
      <c r="F192" s="3" t="s">
        <v>33</v>
      </c>
      <c r="G192" s="1">
        <f>155.09+150.17</f>
        <v>305.26</v>
      </c>
      <c r="I192" s="1">
        <v>10</v>
      </c>
      <c r="K192" s="5">
        <v>0</v>
      </c>
      <c r="L192" s="17"/>
      <c r="M192" s="1">
        <v>0</v>
      </c>
      <c r="O192" s="1">
        <v>20.2</v>
      </c>
      <c r="P192" s="1">
        <v>21.9</v>
      </c>
      <c r="Q192" s="1">
        <v>20.6</v>
      </c>
      <c r="R192" s="1">
        <v>2</v>
      </c>
    </row>
    <row r="193" spans="1:19" ht="13" x14ac:dyDescent="0.15">
      <c r="A193" s="7">
        <v>42643</v>
      </c>
      <c r="B193" s="12">
        <v>14</v>
      </c>
      <c r="C193" s="12">
        <v>1</v>
      </c>
      <c r="D193" s="13" t="s">
        <v>56</v>
      </c>
      <c r="E193" s="13" t="s">
        <v>93</v>
      </c>
      <c r="F193" s="3" t="s">
        <v>92</v>
      </c>
      <c r="G193" s="1">
        <v>257.41000000000003</v>
      </c>
      <c r="I193" s="1">
        <v>11</v>
      </c>
      <c r="K193" s="5">
        <v>20</v>
      </c>
      <c r="L193" s="17"/>
      <c r="M193" s="1">
        <v>6</v>
      </c>
      <c r="O193" s="1">
        <v>15.6</v>
      </c>
      <c r="P193" s="1">
        <v>15.6</v>
      </c>
      <c r="Q193" s="1">
        <v>15</v>
      </c>
      <c r="R193" s="1">
        <v>6</v>
      </c>
    </row>
    <row r="194" spans="1:19" ht="13" x14ac:dyDescent="0.15">
      <c r="A194" s="7">
        <v>42643</v>
      </c>
      <c r="B194" s="12">
        <v>16</v>
      </c>
      <c r="C194" s="12">
        <v>1</v>
      </c>
      <c r="D194" s="13" t="s">
        <v>47</v>
      </c>
      <c r="E194" s="16" t="s">
        <v>81</v>
      </c>
      <c r="F194" s="3" t="s">
        <v>68</v>
      </c>
      <c r="G194" s="1">
        <f>8.52+39.83+39.85</f>
        <v>88.199999999999989</v>
      </c>
      <c r="H194" s="1">
        <f>26.2+8.48+155.1</f>
        <v>189.78</v>
      </c>
      <c r="I194" s="1">
        <v>8</v>
      </c>
      <c r="J194" s="1">
        <v>10</v>
      </c>
      <c r="K194" s="5">
        <v>0</v>
      </c>
      <c r="L194" s="5">
        <v>0</v>
      </c>
      <c r="M194" s="1">
        <v>0</v>
      </c>
      <c r="N194" s="1">
        <v>0</v>
      </c>
      <c r="O194" s="1">
        <v>19.7</v>
      </c>
      <c r="P194" s="1">
        <v>18.600000000000001</v>
      </c>
      <c r="Q194" s="1">
        <v>18.8</v>
      </c>
    </row>
    <row r="195" spans="1:19" ht="13" x14ac:dyDescent="0.15">
      <c r="A195" s="7">
        <v>42643</v>
      </c>
      <c r="B195" s="14">
        <v>16</v>
      </c>
      <c r="C195" s="14">
        <v>1</v>
      </c>
      <c r="D195" s="9" t="s">
        <v>56</v>
      </c>
      <c r="E195" s="18" t="s">
        <v>99</v>
      </c>
      <c r="F195" s="3" t="s">
        <v>92</v>
      </c>
      <c r="G195" s="1">
        <v>122.99</v>
      </c>
      <c r="H195" s="1">
        <f>155.09+155.09+45.78</f>
        <v>355.96000000000004</v>
      </c>
      <c r="I195" s="1">
        <v>7</v>
      </c>
      <c r="J195" s="1">
        <v>10</v>
      </c>
      <c r="K195" s="5">
        <v>0</v>
      </c>
      <c r="L195" s="5">
        <v>0</v>
      </c>
      <c r="M195" s="1">
        <v>0</v>
      </c>
      <c r="N195" s="1">
        <v>0</v>
      </c>
      <c r="O195" s="1">
        <v>17.7</v>
      </c>
      <c r="P195" s="1">
        <v>14.8</v>
      </c>
      <c r="Q195" s="1">
        <v>16.3</v>
      </c>
    </row>
    <row r="196" spans="1:19" ht="13" x14ac:dyDescent="0.15">
      <c r="A196" s="7">
        <v>42643</v>
      </c>
      <c r="B196" s="12">
        <v>16</v>
      </c>
      <c r="C196" s="12">
        <v>1</v>
      </c>
      <c r="D196" s="13" t="s">
        <v>97</v>
      </c>
      <c r="E196" s="13" t="s">
        <v>86</v>
      </c>
      <c r="F196" s="3" t="s">
        <v>89</v>
      </c>
      <c r="G196" s="1">
        <v>58.19</v>
      </c>
      <c r="H196" s="1">
        <f>154.71+73.51</f>
        <v>228.22000000000003</v>
      </c>
      <c r="I196" s="1">
        <v>8</v>
      </c>
      <c r="J196" s="1">
        <v>15</v>
      </c>
      <c r="K196" s="5">
        <v>0</v>
      </c>
      <c r="L196" s="5">
        <v>20</v>
      </c>
      <c r="M196" s="1">
        <v>0</v>
      </c>
      <c r="N196" s="1">
        <v>5</v>
      </c>
      <c r="O196" s="1">
        <v>19.7</v>
      </c>
      <c r="P196" s="1">
        <v>16.899999999999999</v>
      </c>
      <c r="Q196" s="1">
        <v>18.600000000000001</v>
      </c>
    </row>
    <row r="197" spans="1:19" ht="13" x14ac:dyDescent="0.15">
      <c r="A197" s="7">
        <v>42643</v>
      </c>
      <c r="B197" s="12">
        <v>18</v>
      </c>
      <c r="C197" s="12">
        <v>5</v>
      </c>
      <c r="D197" s="13" t="s">
        <v>47</v>
      </c>
      <c r="E197" s="13" t="s">
        <v>49</v>
      </c>
      <c r="F197" s="3" t="s">
        <v>50</v>
      </c>
      <c r="G197" s="1">
        <f>46.56+112.96+112.57</f>
        <v>272.08999999999997</v>
      </c>
      <c r="H197" s="1">
        <f>155.09+155.09+72.05</f>
        <v>382.23</v>
      </c>
      <c r="I197" s="1">
        <v>10</v>
      </c>
      <c r="J197" s="1">
        <v>10</v>
      </c>
      <c r="K197" s="5">
        <v>60</v>
      </c>
      <c r="L197" s="5">
        <v>55</v>
      </c>
      <c r="M197" s="1">
        <v>0</v>
      </c>
      <c r="N197" s="1">
        <v>5</v>
      </c>
      <c r="O197" s="1">
        <v>15.9</v>
      </c>
      <c r="P197" s="1">
        <v>17.399999999999999</v>
      </c>
      <c r="Q197" s="1">
        <v>20.2</v>
      </c>
      <c r="S197" s="1">
        <v>2</v>
      </c>
    </row>
    <row r="198" spans="1:19" ht="13" x14ac:dyDescent="0.15">
      <c r="A198" s="7">
        <v>42643</v>
      </c>
      <c r="B198" s="12">
        <v>18</v>
      </c>
      <c r="C198" s="12">
        <v>5</v>
      </c>
      <c r="D198" s="13" t="s">
        <v>66</v>
      </c>
      <c r="E198" s="13" t="s">
        <v>75</v>
      </c>
      <c r="F198" s="3" t="s">
        <v>50</v>
      </c>
      <c r="G198" s="1">
        <f>20.25+154.7+154.7+154.7+12.67</f>
        <v>497.02</v>
      </c>
      <c r="I198" s="1">
        <v>10</v>
      </c>
      <c r="K198" s="5">
        <v>15</v>
      </c>
      <c r="L198" s="17"/>
      <c r="M198" s="1">
        <v>0</v>
      </c>
      <c r="O198" s="1">
        <v>18</v>
      </c>
      <c r="P198" s="1">
        <v>16.3</v>
      </c>
      <c r="Q198" s="1">
        <v>17.600000000000001</v>
      </c>
    </row>
    <row r="199" spans="1:19" ht="13" x14ac:dyDescent="0.15">
      <c r="A199" s="7">
        <v>42643</v>
      </c>
      <c r="B199" s="12">
        <v>18</v>
      </c>
      <c r="C199" s="12">
        <v>5</v>
      </c>
      <c r="D199" s="13" t="s">
        <v>31</v>
      </c>
      <c r="E199" s="13" t="s">
        <v>74</v>
      </c>
      <c r="F199" s="3" t="s">
        <v>50</v>
      </c>
      <c r="G199" s="1">
        <v>0</v>
      </c>
      <c r="H199" s="1">
        <f>155.09+155.04</f>
        <v>310.13</v>
      </c>
      <c r="I199" s="1">
        <v>0</v>
      </c>
      <c r="J199" s="1">
        <v>10</v>
      </c>
      <c r="K199" s="5">
        <v>0</v>
      </c>
      <c r="L199" s="5">
        <v>10</v>
      </c>
      <c r="M199" s="1">
        <v>0</v>
      </c>
      <c r="N199" s="1">
        <v>1</v>
      </c>
      <c r="O199" s="1">
        <v>18.100000000000001</v>
      </c>
      <c r="P199" s="1">
        <v>18.2</v>
      </c>
      <c r="Q199" s="1">
        <v>17.5</v>
      </c>
      <c r="S199" s="1">
        <v>3</v>
      </c>
    </row>
    <row r="200" spans="1:19" ht="13" x14ac:dyDescent="0.15">
      <c r="A200" s="7">
        <v>42643</v>
      </c>
      <c r="B200" s="14">
        <v>18</v>
      </c>
      <c r="C200" s="14">
        <v>5</v>
      </c>
      <c r="D200" s="9" t="s">
        <v>97</v>
      </c>
      <c r="E200" s="9" t="s">
        <v>88</v>
      </c>
      <c r="F200" s="3" t="s">
        <v>89</v>
      </c>
      <c r="G200" s="1">
        <f>104.74+54.39</f>
        <v>159.13</v>
      </c>
      <c r="H200" s="1">
        <f>64.46+133.7</f>
        <v>198.15999999999997</v>
      </c>
      <c r="I200" s="1">
        <v>8</v>
      </c>
      <c r="J200" s="1">
        <v>11</v>
      </c>
      <c r="K200" s="5">
        <v>5</v>
      </c>
      <c r="L200" s="5">
        <v>6</v>
      </c>
      <c r="M200" s="1">
        <v>1</v>
      </c>
      <c r="N200" s="1">
        <v>0</v>
      </c>
      <c r="O200" s="1">
        <v>17.2</v>
      </c>
      <c r="P200" s="1">
        <v>18.100000000000001</v>
      </c>
      <c r="Q200" s="1">
        <v>17.3</v>
      </c>
    </row>
    <row r="201" spans="1:19" ht="13" x14ac:dyDescent="0.15">
      <c r="A201" s="7">
        <v>42643</v>
      </c>
      <c r="B201" s="12">
        <v>18</v>
      </c>
      <c r="C201" s="12">
        <v>5</v>
      </c>
      <c r="D201" s="13" t="s">
        <v>95</v>
      </c>
      <c r="E201" s="13" t="s">
        <v>96</v>
      </c>
      <c r="F201" s="3" t="s">
        <v>92</v>
      </c>
      <c r="G201" s="1">
        <f>32.53+155.1+155.09+46.98</f>
        <v>389.70000000000005</v>
      </c>
      <c r="I201" s="1">
        <v>10</v>
      </c>
      <c r="K201" s="5">
        <v>25</v>
      </c>
      <c r="L201" s="17"/>
      <c r="M201" s="1">
        <v>2</v>
      </c>
      <c r="O201" s="1">
        <v>17.399999999999999</v>
      </c>
      <c r="P201" s="1">
        <v>17.2</v>
      </c>
      <c r="Q201" s="1">
        <v>17.8</v>
      </c>
    </row>
    <row r="202" spans="1:19" ht="13" x14ac:dyDescent="0.15">
      <c r="A202" s="7">
        <v>42643</v>
      </c>
      <c r="B202" s="12">
        <v>19</v>
      </c>
      <c r="C202" s="12">
        <v>9</v>
      </c>
      <c r="D202" s="13" t="s">
        <v>56</v>
      </c>
      <c r="E202" s="13" t="s">
        <v>57</v>
      </c>
      <c r="F202" s="3" t="s">
        <v>33</v>
      </c>
      <c r="G202" s="1">
        <f>36.45+147.6</f>
        <v>184.05</v>
      </c>
      <c r="H202" s="1">
        <f>129.35+155.08+64.1</f>
        <v>348.53</v>
      </c>
      <c r="I202" s="1">
        <v>9</v>
      </c>
      <c r="J202" s="1">
        <v>10</v>
      </c>
      <c r="K202" s="5">
        <v>0</v>
      </c>
      <c r="L202" s="5">
        <v>0</v>
      </c>
      <c r="M202" s="1">
        <v>0</v>
      </c>
      <c r="N202" s="1">
        <v>0</v>
      </c>
      <c r="O202" s="1">
        <v>20.8</v>
      </c>
      <c r="P202" s="1">
        <v>18.600000000000001</v>
      </c>
      <c r="Q202" s="1">
        <v>19.8</v>
      </c>
      <c r="S202" s="1">
        <v>2</v>
      </c>
    </row>
    <row r="203" spans="1:19" ht="13" x14ac:dyDescent="0.15">
      <c r="A203" s="7">
        <v>42643</v>
      </c>
      <c r="B203" s="12">
        <v>20</v>
      </c>
      <c r="C203" s="12">
        <v>2</v>
      </c>
      <c r="D203" s="16" t="s">
        <v>47</v>
      </c>
      <c r="E203" s="16" t="s">
        <v>80</v>
      </c>
      <c r="F203" s="3" t="s">
        <v>68</v>
      </c>
      <c r="G203" s="1">
        <v>63.34</v>
      </c>
      <c r="H203" s="1">
        <f>21.45+27.41+61.08+72.18+29.17</f>
        <v>211.29000000000002</v>
      </c>
      <c r="I203" s="1">
        <v>6</v>
      </c>
      <c r="J203" s="1">
        <v>10</v>
      </c>
      <c r="K203" s="5">
        <v>0</v>
      </c>
      <c r="L203" s="5">
        <v>20</v>
      </c>
      <c r="M203" s="1">
        <v>0</v>
      </c>
      <c r="N203" s="1">
        <v>11</v>
      </c>
      <c r="O203" s="1">
        <v>19.399999999999999</v>
      </c>
      <c r="P203" s="1">
        <v>18.100000000000001</v>
      </c>
      <c r="Q203" s="1">
        <v>17.5</v>
      </c>
      <c r="S203" s="1">
        <v>19</v>
      </c>
    </row>
    <row r="204" spans="1:19" ht="13" x14ac:dyDescent="0.15">
      <c r="A204" s="7">
        <v>42643</v>
      </c>
      <c r="B204" s="12">
        <v>20</v>
      </c>
      <c r="C204" s="12">
        <v>2</v>
      </c>
      <c r="D204" s="16" t="s">
        <v>66</v>
      </c>
      <c r="E204" s="16" t="s">
        <v>67</v>
      </c>
      <c r="F204" s="3" t="s">
        <v>68</v>
      </c>
      <c r="G204" s="1">
        <v>42.5</v>
      </c>
      <c r="H204" s="1">
        <f>155.1+62.42</f>
        <v>217.51999999999998</v>
      </c>
      <c r="I204" s="1">
        <v>5</v>
      </c>
      <c r="J204" s="1">
        <v>10</v>
      </c>
      <c r="K204" s="5">
        <v>0</v>
      </c>
      <c r="L204" s="5">
        <v>50</v>
      </c>
      <c r="M204" s="1">
        <v>0</v>
      </c>
      <c r="N204" s="1">
        <v>19</v>
      </c>
      <c r="O204" s="1">
        <v>19.600000000000001</v>
      </c>
      <c r="P204" s="1">
        <v>18.5</v>
      </c>
      <c r="Q204" s="1">
        <v>19.5</v>
      </c>
      <c r="S204" s="1">
        <v>34</v>
      </c>
    </row>
    <row r="205" spans="1:19" ht="13" x14ac:dyDescent="0.15">
      <c r="A205" s="7">
        <v>42643</v>
      </c>
      <c r="B205" s="12">
        <v>20</v>
      </c>
      <c r="C205" s="12">
        <v>2</v>
      </c>
      <c r="D205" s="13" t="s">
        <v>31</v>
      </c>
      <c r="E205" s="13" t="s">
        <v>98</v>
      </c>
      <c r="F205" s="3" t="s">
        <v>33</v>
      </c>
      <c r="G205" s="1">
        <f>34.96+113.89+115.77</f>
        <v>264.62</v>
      </c>
      <c r="I205" s="1">
        <v>10</v>
      </c>
      <c r="K205" s="5">
        <v>50</v>
      </c>
      <c r="L205" s="17"/>
      <c r="M205" s="1">
        <v>9</v>
      </c>
      <c r="O205" s="1">
        <v>21.6</v>
      </c>
      <c r="P205" s="1">
        <v>18.600000000000001</v>
      </c>
      <c r="Q205" s="1">
        <v>19.2</v>
      </c>
      <c r="R205" s="1">
        <v>31</v>
      </c>
    </row>
    <row r="206" spans="1:19" ht="13" x14ac:dyDescent="0.15">
      <c r="A206" s="7">
        <v>42643</v>
      </c>
      <c r="B206" s="14">
        <v>20</v>
      </c>
      <c r="C206" s="14">
        <v>2</v>
      </c>
      <c r="D206" s="9" t="s">
        <v>90</v>
      </c>
      <c r="E206" s="9" t="s">
        <v>103</v>
      </c>
      <c r="F206" s="3" t="s">
        <v>33</v>
      </c>
      <c r="G206" s="1">
        <f>155.09+11.91</f>
        <v>167</v>
      </c>
      <c r="I206" s="1">
        <v>9</v>
      </c>
      <c r="K206" s="5">
        <v>70</v>
      </c>
      <c r="L206" s="17"/>
      <c r="M206" s="1">
        <v>1</v>
      </c>
      <c r="O206" s="1">
        <v>323</v>
      </c>
      <c r="P206" s="1">
        <v>20.6</v>
      </c>
      <c r="Q206" s="1">
        <v>19.5</v>
      </c>
    </row>
    <row r="207" spans="1:19" ht="13" x14ac:dyDescent="0.15">
      <c r="A207" s="7">
        <v>42643</v>
      </c>
      <c r="B207" s="12">
        <v>20</v>
      </c>
      <c r="C207" s="12">
        <v>5</v>
      </c>
      <c r="D207" s="13" t="s">
        <v>56</v>
      </c>
      <c r="E207" s="13" t="s">
        <v>76</v>
      </c>
      <c r="F207" s="3" t="s">
        <v>50</v>
      </c>
      <c r="G207" s="1">
        <v>47.93</v>
      </c>
      <c r="H207" s="1">
        <f>35.46+33.34+101.73+65.5</f>
        <v>236.03000000000003</v>
      </c>
      <c r="I207" s="1">
        <v>7</v>
      </c>
      <c r="J207" s="1">
        <v>14</v>
      </c>
      <c r="K207" s="5">
        <v>0</v>
      </c>
      <c r="L207" s="5">
        <v>30</v>
      </c>
      <c r="M207" s="1">
        <v>0</v>
      </c>
      <c r="N207" s="1">
        <v>0</v>
      </c>
      <c r="O207" s="1">
        <v>17.8</v>
      </c>
      <c r="P207" s="1">
        <v>19</v>
      </c>
      <c r="Q207" s="1">
        <v>17.899999999999999</v>
      </c>
    </row>
    <row r="208" spans="1:19" ht="13" x14ac:dyDescent="0.15">
      <c r="A208" s="7">
        <v>42643</v>
      </c>
      <c r="B208" s="14">
        <v>22</v>
      </c>
      <c r="C208" s="14">
        <v>9</v>
      </c>
      <c r="D208" s="9" t="s">
        <v>97</v>
      </c>
      <c r="E208" s="9" t="s">
        <v>101</v>
      </c>
      <c r="F208" s="3" t="s">
        <v>68</v>
      </c>
      <c r="G208" s="1">
        <f>155.07+103.26</f>
        <v>258.33</v>
      </c>
      <c r="I208" s="1">
        <v>11</v>
      </c>
      <c r="K208" s="5">
        <v>15</v>
      </c>
      <c r="L208" s="17"/>
      <c r="M208" s="1">
        <v>1</v>
      </c>
      <c r="O208" s="1">
        <v>14.4</v>
      </c>
      <c r="P208" s="1">
        <v>16.600000000000001</v>
      </c>
      <c r="Q208" s="1">
        <v>18</v>
      </c>
      <c r="R208" s="1">
        <v>1</v>
      </c>
    </row>
    <row r="209" spans="1:24" ht="13" x14ac:dyDescent="0.15">
      <c r="A209" s="7">
        <v>42643</v>
      </c>
      <c r="B209" s="14">
        <v>24</v>
      </c>
      <c r="C209" s="14">
        <v>9</v>
      </c>
      <c r="D209" s="9" t="s">
        <v>97</v>
      </c>
      <c r="E209" s="9" t="s">
        <v>115</v>
      </c>
      <c r="F209" s="3" t="s">
        <v>33</v>
      </c>
      <c r="G209" s="1">
        <f>127.51+155.08</f>
        <v>282.59000000000003</v>
      </c>
      <c r="I209" s="1">
        <v>12</v>
      </c>
      <c r="K209" s="5"/>
      <c r="L209" s="17"/>
      <c r="M209" s="1"/>
      <c r="O209" s="1">
        <v>18.8</v>
      </c>
      <c r="P209" s="1">
        <v>18.100000000000001</v>
      </c>
      <c r="Q209" s="1">
        <v>18.100000000000001</v>
      </c>
      <c r="X209" s="1" t="s">
        <v>116</v>
      </c>
    </row>
    <row r="210" spans="1:24" ht="13" x14ac:dyDescent="0.15">
      <c r="A210" s="7">
        <v>42643</v>
      </c>
      <c r="B210" s="14">
        <v>35</v>
      </c>
      <c r="C210" s="14">
        <v>3</v>
      </c>
      <c r="D210" s="9" t="s">
        <v>90</v>
      </c>
      <c r="E210" s="9" t="s">
        <v>77</v>
      </c>
      <c r="F210" s="3" t="s">
        <v>50</v>
      </c>
      <c r="G210" s="1">
        <f>155.09+155.09</f>
        <v>310.18</v>
      </c>
      <c r="I210" s="1">
        <v>10</v>
      </c>
      <c r="K210" s="5">
        <v>95</v>
      </c>
      <c r="L210" s="17"/>
      <c r="M210" s="1">
        <v>2</v>
      </c>
      <c r="O210" s="1">
        <v>18.2</v>
      </c>
      <c r="P210" s="1">
        <v>18.5</v>
      </c>
      <c r="Q210" s="1">
        <v>17.2</v>
      </c>
      <c r="R210" s="1">
        <v>2</v>
      </c>
    </row>
    <row r="211" spans="1:24" ht="13" x14ac:dyDescent="0.15">
      <c r="A211" s="7">
        <v>42643</v>
      </c>
      <c r="B211" s="12">
        <v>38</v>
      </c>
      <c r="C211" s="12">
        <v>7</v>
      </c>
      <c r="D211" s="13" t="s">
        <v>70</v>
      </c>
      <c r="E211" s="13" t="s">
        <v>71</v>
      </c>
      <c r="F211" s="3" t="s">
        <v>68</v>
      </c>
      <c r="G211" s="1">
        <f>17.88+64.41+71.49</f>
        <v>153.77999999999997</v>
      </c>
      <c r="H211" s="1">
        <f>9.72+27.04+154.71+7.64</f>
        <v>199.10999999999999</v>
      </c>
      <c r="I211" s="1">
        <v>10</v>
      </c>
      <c r="J211" s="1">
        <v>10</v>
      </c>
      <c r="K211" s="5">
        <v>0</v>
      </c>
      <c r="L211" s="5">
        <v>0</v>
      </c>
      <c r="M211" s="1">
        <v>0</v>
      </c>
      <c r="N211" s="1">
        <v>0</v>
      </c>
      <c r="O211" s="1">
        <v>16.2</v>
      </c>
      <c r="P211" s="1">
        <v>14.3</v>
      </c>
      <c r="Q211" s="1">
        <v>16.600000000000001</v>
      </c>
      <c r="S211" s="1">
        <v>24</v>
      </c>
    </row>
    <row r="212" spans="1:24" ht="13" x14ac:dyDescent="0.15">
      <c r="A212" s="7">
        <v>42643</v>
      </c>
      <c r="B212" s="14">
        <v>38</v>
      </c>
      <c r="C212" s="14">
        <v>7</v>
      </c>
      <c r="D212" s="9" t="s">
        <v>56</v>
      </c>
      <c r="E212" s="9" t="s">
        <v>79</v>
      </c>
      <c r="F212" s="3" t="s">
        <v>33</v>
      </c>
      <c r="G212" s="1">
        <f>154.71+9.46</f>
        <v>164.17000000000002</v>
      </c>
      <c r="H212" s="1">
        <f>63.06+154.71+29.12</f>
        <v>246.89000000000001</v>
      </c>
      <c r="I212" s="1">
        <v>10</v>
      </c>
      <c r="J212" s="1">
        <v>10</v>
      </c>
      <c r="K212" s="5">
        <v>85</v>
      </c>
      <c r="L212" s="5">
        <v>80</v>
      </c>
      <c r="M212" s="1">
        <v>0</v>
      </c>
      <c r="N212" s="1">
        <v>5</v>
      </c>
      <c r="O212" s="1">
        <v>20.2</v>
      </c>
      <c r="P212" s="1">
        <v>20.100000000000001</v>
      </c>
      <c r="Q212" s="1">
        <v>17.3</v>
      </c>
      <c r="R212" s="1">
        <v>5</v>
      </c>
      <c r="S212" s="1">
        <v>18</v>
      </c>
    </row>
    <row r="213" spans="1:24" ht="13" x14ac:dyDescent="0.15">
      <c r="A213" s="7">
        <v>42643</v>
      </c>
      <c r="B213" s="14">
        <v>38</v>
      </c>
      <c r="C213" s="14">
        <v>7</v>
      </c>
      <c r="D213" s="13" t="s">
        <v>66</v>
      </c>
      <c r="E213" s="13" t="s">
        <v>73</v>
      </c>
      <c r="F213" s="3" t="s">
        <v>50</v>
      </c>
      <c r="G213" s="1">
        <v>76.400000000000006</v>
      </c>
      <c r="H213" s="1">
        <f>125.57+27.53</f>
        <v>153.1</v>
      </c>
      <c r="I213" s="1">
        <v>7</v>
      </c>
      <c r="J213" s="1">
        <v>9</v>
      </c>
      <c r="K213" s="5">
        <v>90</v>
      </c>
      <c r="L213" s="5">
        <v>90</v>
      </c>
      <c r="M213" s="1">
        <v>0</v>
      </c>
      <c r="N213" s="1">
        <v>5</v>
      </c>
      <c r="O213" s="1">
        <v>18.7</v>
      </c>
      <c r="P213" s="1">
        <v>18.899999999999999</v>
      </c>
      <c r="Q213" s="1">
        <v>18.5</v>
      </c>
      <c r="R213" s="1">
        <v>1</v>
      </c>
      <c r="S213" s="1">
        <v>6</v>
      </c>
    </row>
    <row r="214" spans="1:24" ht="13" x14ac:dyDescent="0.15">
      <c r="A214" s="7">
        <v>42643</v>
      </c>
      <c r="B214" s="14">
        <v>38</v>
      </c>
      <c r="C214" s="14">
        <v>7</v>
      </c>
      <c r="D214" s="13" t="s">
        <v>31</v>
      </c>
      <c r="E214" s="13" t="s">
        <v>85</v>
      </c>
      <c r="F214" s="3" t="s">
        <v>89</v>
      </c>
      <c r="G214" s="1">
        <f>123.54+155.07</f>
        <v>278.61</v>
      </c>
      <c r="I214" s="1">
        <v>13</v>
      </c>
      <c r="K214" s="5">
        <v>90</v>
      </c>
      <c r="L214" s="17"/>
      <c r="M214" s="1">
        <v>5</v>
      </c>
      <c r="O214" s="1">
        <v>16.2</v>
      </c>
      <c r="P214" s="1">
        <v>17.2</v>
      </c>
      <c r="Q214" s="1">
        <v>16</v>
      </c>
      <c r="R214" s="1">
        <v>2</v>
      </c>
    </row>
    <row r="215" spans="1:24" ht="13" x14ac:dyDescent="0.15">
      <c r="A215" s="7">
        <v>42643</v>
      </c>
      <c r="B215" s="14">
        <v>38</v>
      </c>
      <c r="C215" s="14">
        <v>7</v>
      </c>
      <c r="D215" s="13" t="s">
        <v>90</v>
      </c>
      <c r="E215" s="13" t="s">
        <v>91</v>
      </c>
      <c r="F215" s="3" t="s">
        <v>92</v>
      </c>
      <c r="G215" s="1">
        <v>136.88999999999999</v>
      </c>
      <c r="I215" s="1">
        <v>8</v>
      </c>
      <c r="K215" s="5">
        <v>95</v>
      </c>
      <c r="L215" s="17"/>
      <c r="M215" s="1">
        <v>35</v>
      </c>
      <c r="O215" s="1">
        <v>18.100000000000001</v>
      </c>
      <c r="P215" s="1">
        <v>16.3</v>
      </c>
      <c r="Q215" s="1">
        <v>17.2</v>
      </c>
    </row>
    <row r="216" spans="1:24" ht="13" x14ac:dyDescent="0.15">
      <c r="A216" s="7">
        <v>42646</v>
      </c>
      <c r="B216" s="12">
        <v>13</v>
      </c>
      <c r="C216" s="12">
        <v>3</v>
      </c>
      <c r="D216" s="13" t="s">
        <v>66</v>
      </c>
      <c r="E216" s="13" t="s">
        <v>87</v>
      </c>
      <c r="F216" s="3" t="s">
        <v>89</v>
      </c>
      <c r="G216" s="1">
        <v>145.99</v>
      </c>
      <c r="H216" s="1">
        <f>154.4+14.32</f>
        <v>168.72</v>
      </c>
      <c r="I216" s="1">
        <v>9</v>
      </c>
      <c r="J216" s="1">
        <v>10</v>
      </c>
      <c r="K216" s="5">
        <v>0</v>
      </c>
      <c r="L216" s="5">
        <v>100</v>
      </c>
      <c r="M216" s="1">
        <v>0</v>
      </c>
      <c r="N216" s="1">
        <v>1</v>
      </c>
      <c r="O216" s="1">
        <v>14.5</v>
      </c>
      <c r="P216" s="1">
        <v>14.4</v>
      </c>
      <c r="Q216" s="1">
        <v>15.1</v>
      </c>
      <c r="R216" s="1"/>
      <c r="S216" s="1">
        <v>1</v>
      </c>
    </row>
    <row r="217" spans="1:24" ht="13" x14ac:dyDescent="0.15">
      <c r="A217" s="7">
        <v>42646</v>
      </c>
      <c r="B217" s="12">
        <v>13</v>
      </c>
      <c r="C217" s="12">
        <v>3</v>
      </c>
      <c r="D217" s="13" t="s">
        <v>31</v>
      </c>
      <c r="E217" s="13" t="s">
        <v>32</v>
      </c>
      <c r="F217" s="3" t="s">
        <v>33</v>
      </c>
      <c r="G217" s="1">
        <f>154.69+154.69</f>
        <v>309.38</v>
      </c>
      <c r="I217" s="1">
        <v>10</v>
      </c>
      <c r="K217" s="5">
        <v>50</v>
      </c>
      <c r="L217" s="17"/>
      <c r="M217" s="1">
        <v>0</v>
      </c>
      <c r="O217" s="1">
        <v>20.3</v>
      </c>
      <c r="P217" s="1">
        <v>20.7</v>
      </c>
      <c r="Q217" s="1">
        <v>20.399999999999999</v>
      </c>
      <c r="R217" s="1">
        <v>2</v>
      </c>
    </row>
    <row r="218" spans="1:24" ht="13" x14ac:dyDescent="0.15">
      <c r="A218" s="7">
        <v>42646</v>
      </c>
      <c r="B218" s="12">
        <v>14</v>
      </c>
      <c r="C218" s="12">
        <v>1</v>
      </c>
      <c r="D218" s="13" t="s">
        <v>56</v>
      </c>
      <c r="E218" s="13" t="s">
        <v>93</v>
      </c>
      <c r="F218" s="3" t="s">
        <v>92</v>
      </c>
      <c r="G218" s="1">
        <f>154.71+107.12</f>
        <v>261.83000000000004</v>
      </c>
      <c r="I218" s="1">
        <v>11</v>
      </c>
      <c r="K218" s="5">
        <v>60</v>
      </c>
      <c r="L218" s="17"/>
      <c r="M218" s="1">
        <v>6</v>
      </c>
      <c r="O218" s="1">
        <v>13.8</v>
      </c>
      <c r="P218" s="1">
        <v>14.4</v>
      </c>
      <c r="Q218" s="1">
        <v>12.2</v>
      </c>
      <c r="R218" s="1"/>
    </row>
    <row r="219" spans="1:24" ht="13" x14ac:dyDescent="0.15">
      <c r="A219" s="7">
        <v>42646</v>
      </c>
      <c r="B219" s="12">
        <v>16</v>
      </c>
      <c r="C219" s="12">
        <v>1</v>
      </c>
      <c r="D219" s="13" t="s">
        <v>47</v>
      </c>
      <c r="E219" s="13" t="s">
        <v>81</v>
      </c>
      <c r="F219" s="3" t="s">
        <v>68</v>
      </c>
      <c r="G219" s="1">
        <v>89.49</v>
      </c>
      <c r="H219" s="1">
        <f>23.44+29.26+138.16</f>
        <v>190.86</v>
      </c>
      <c r="I219" s="1">
        <v>8</v>
      </c>
      <c r="J219" s="1">
        <v>10</v>
      </c>
      <c r="K219" s="5">
        <v>0</v>
      </c>
      <c r="L219" s="5">
        <v>0</v>
      </c>
      <c r="M219" s="1">
        <v>0</v>
      </c>
      <c r="N219" s="1">
        <v>0</v>
      </c>
      <c r="O219" s="1">
        <v>16.600000000000001</v>
      </c>
      <c r="P219" s="1">
        <v>14.7</v>
      </c>
      <c r="Q219" s="1">
        <v>16.399999999999999</v>
      </c>
      <c r="R219" s="1"/>
      <c r="S219" s="1"/>
    </row>
    <row r="220" spans="1:24" ht="13" x14ac:dyDescent="0.15">
      <c r="A220" s="7">
        <v>42646</v>
      </c>
      <c r="B220" s="14">
        <v>16</v>
      </c>
      <c r="C220" s="14">
        <v>1</v>
      </c>
      <c r="D220" s="9" t="s">
        <v>56</v>
      </c>
      <c r="E220" s="9" t="s">
        <v>99</v>
      </c>
      <c r="F220" s="3" t="s">
        <v>92</v>
      </c>
      <c r="G220" s="1">
        <v>124.26</v>
      </c>
      <c r="H220" s="1">
        <f>48.18+48.18+52.85+71.67+52.04+29.8+36.28+16.97</f>
        <v>355.97</v>
      </c>
      <c r="I220" s="1">
        <v>7</v>
      </c>
      <c r="J220" s="1">
        <v>10</v>
      </c>
      <c r="K220" s="5">
        <v>30</v>
      </c>
      <c r="L220" s="5">
        <v>0</v>
      </c>
      <c r="M220" s="1">
        <v>2</v>
      </c>
      <c r="N220" s="1">
        <v>0</v>
      </c>
      <c r="O220" s="1">
        <v>14.5</v>
      </c>
      <c r="P220" s="1">
        <v>11.9</v>
      </c>
      <c r="Q220" s="1">
        <v>13.9</v>
      </c>
      <c r="R220" s="1"/>
      <c r="S220" s="1">
        <v>2</v>
      </c>
      <c r="T220" s="1">
        <v>2</v>
      </c>
      <c r="V220" s="1">
        <v>2</v>
      </c>
    </row>
    <row r="221" spans="1:24" ht="13" x14ac:dyDescent="0.15">
      <c r="A221" s="7">
        <v>42646</v>
      </c>
      <c r="B221" s="12">
        <v>16</v>
      </c>
      <c r="C221" s="12">
        <v>1</v>
      </c>
      <c r="D221" s="13" t="s">
        <v>97</v>
      </c>
      <c r="E221" s="13" t="s">
        <v>86</v>
      </c>
      <c r="F221" s="3" t="s">
        <v>89</v>
      </c>
      <c r="G221" s="1">
        <v>62.89</v>
      </c>
      <c r="H221" s="1">
        <f>154.7+73.96</f>
        <v>228.65999999999997</v>
      </c>
      <c r="I221" s="1">
        <v>8</v>
      </c>
      <c r="J221" s="1">
        <v>15</v>
      </c>
      <c r="K221" s="5">
        <v>0</v>
      </c>
      <c r="L221" s="5">
        <v>50</v>
      </c>
      <c r="M221" s="1">
        <v>0</v>
      </c>
      <c r="N221" s="1">
        <v>2</v>
      </c>
      <c r="O221" s="1">
        <v>17.5</v>
      </c>
      <c r="P221" s="1">
        <v>18.2</v>
      </c>
      <c r="Q221" s="1">
        <v>15.7</v>
      </c>
      <c r="R221" s="1"/>
      <c r="S221" s="1">
        <v>2</v>
      </c>
    </row>
    <row r="222" spans="1:24" ht="13" x14ac:dyDescent="0.15">
      <c r="A222" s="7">
        <v>42646</v>
      </c>
      <c r="B222" s="12">
        <v>18</v>
      </c>
      <c r="C222" s="12">
        <v>5</v>
      </c>
      <c r="D222" s="13" t="s">
        <v>47</v>
      </c>
      <c r="E222" s="13" t="s">
        <v>49</v>
      </c>
      <c r="F222" s="3" t="s">
        <v>50</v>
      </c>
      <c r="G222" s="1">
        <f>39.78+107.42+85.3+42.22</f>
        <v>274.72000000000003</v>
      </c>
      <c r="H222" s="1">
        <f>21.41+81.13+81.32+52.13+43.46+31.75+51.08+21.39</f>
        <v>383.66999999999996</v>
      </c>
      <c r="I222" s="1">
        <v>10</v>
      </c>
      <c r="J222" s="1">
        <v>10</v>
      </c>
      <c r="K222" s="5">
        <v>100</v>
      </c>
      <c r="L222" s="5">
        <v>80</v>
      </c>
      <c r="M222" s="1">
        <v>0</v>
      </c>
      <c r="N222" s="1">
        <v>1</v>
      </c>
      <c r="O222" s="1">
        <v>16.100000000000001</v>
      </c>
      <c r="P222" s="1">
        <v>17.100000000000001</v>
      </c>
      <c r="Q222" s="1">
        <v>14.6</v>
      </c>
    </row>
    <row r="223" spans="1:24" ht="13" x14ac:dyDescent="0.15">
      <c r="A223" s="7">
        <v>42646</v>
      </c>
      <c r="B223" s="12">
        <v>18</v>
      </c>
      <c r="C223" s="12">
        <v>5</v>
      </c>
      <c r="D223" s="13" t="s">
        <v>66</v>
      </c>
      <c r="E223" s="13" t="s">
        <v>75</v>
      </c>
      <c r="F223" s="3" t="s">
        <v>50</v>
      </c>
      <c r="G223" s="1">
        <f>155.1+155.1+155.1+37.38</f>
        <v>502.67999999999995</v>
      </c>
      <c r="I223" s="1">
        <v>11</v>
      </c>
      <c r="K223" s="5">
        <v>85</v>
      </c>
      <c r="L223" s="17"/>
      <c r="M223" s="1">
        <v>1</v>
      </c>
      <c r="O223" s="1">
        <v>13</v>
      </c>
      <c r="P223" s="1">
        <v>13.8</v>
      </c>
      <c r="Q223" s="1">
        <v>17.399999999999999</v>
      </c>
    </row>
    <row r="224" spans="1:24" ht="13" x14ac:dyDescent="0.15">
      <c r="A224" s="7">
        <v>42646</v>
      </c>
      <c r="B224" s="12">
        <v>18</v>
      </c>
      <c r="C224" s="12">
        <v>5</v>
      </c>
      <c r="D224" s="13" t="s">
        <v>31</v>
      </c>
      <c r="E224" s="13" t="s">
        <v>74</v>
      </c>
      <c r="F224" s="3" t="s">
        <v>50</v>
      </c>
      <c r="G224" s="1">
        <v>0</v>
      </c>
      <c r="H224" s="1">
        <f>155.08+155.08</f>
        <v>310.16000000000003</v>
      </c>
      <c r="I224" s="1">
        <v>0</v>
      </c>
      <c r="J224" s="1">
        <v>10</v>
      </c>
      <c r="K224" s="5">
        <v>0</v>
      </c>
      <c r="L224" s="5">
        <v>90</v>
      </c>
      <c r="M224" s="1">
        <v>0</v>
      </c>
      <c r="N224" s="1">
        <v>6</v>
      </c>
      <c r="O224" s="1">
        <v>14.3</v>
      </c>
      <c r="P224" s="1">
        <v>15.7</v>
      </c>
      <c r="Q224" s="1">
        <v>12.9</v>
      </c>
    </row>
    <row r="225" spans="1:19" ht="13" x14ac:dyDescent="0.15">
      <c r="A225" s="7">
        <v>42646</v>
      </c>
      <c r="B225" s="14">
        <v>18</v>
      </c>
      <c r="C225" s="14">
        <v>5</v>
      </c>
      <c r="D225" s="9" t="s">
        <v>97</v>
      </c>
      <c r="E225" s="9" t="s">
        <v>88</v>
      </c>
      <c r="F225" s="3" t="s">
        <v>89</v>
      </c>
      <c r="G225" s="1">
        <v>160.43</v>
      </c>
      <c r="H225" s="1">
        <f>155.02+51.01</f>
        <v>206.03</v>
      </c>
      <c r="I225" s="1">
        <v>8</v>
      </c>
      <c r="J225" s="1">
        <v>11</v>
      </c>
      <c r="K225" s="5">
        <v>2</v>
      </c>
      <c r="L225" s="5">
        <v>30</v>
      </c>
      <c r="M225" s="1">
        <v>1</v>
      </c>
      <c r="N225" s="1">
        <v>1</v>
      </c>
      <c r="O225" s="1">
        <v>18.5</v>
      </c>
      <c r="P225" s="1">
        <v>16.3</v>
      </c>
      <c r="Q225" s="1">
        <v>13.9</v>
      </c>
    </row>
    <row r="226" spans="1:19" ht="13" x14ac:dyDescent="0.15">
      <c r="A226" s="7">
        <v>42646</v>
      </c>
      <c r="B226" s="12">
        <v>18</v>
      </c>
      <c r="C226" s="12">
        <v>5</v>
      </c>
      <c r="D226" s="13" t="s">
        <v>95</v>
      </c>
      <c r="E226" s="13" t="s">
        <v>96</v>
      </c>
      <c r="F226" s="3" t="s">
        <v>92</v>
      </c>
      <c r="G226" s="1">
        <f>31.34+108.56+154.7+96.88</f>
        <v>391.48</v>
      </c>
      <c r="I226" s="1">
        <v>10</v>
      </c>
      <c r="K226" s="5">
        <v>30</v>
      </c>
      <c r="L226" s="17"/>
      <c r="M226" s="1">
        <v>3</v>
      </c>
      <c r="O226" s="1">
        <v>12.2</v>
      </c>
      <c r="P226" s="1">
        <v>15.8</v>
      </c>
      <c r="Q226" s="1">
        <v>14.6</v>
      </c>
      <c r="R226" s="1"/>
    </row>
    <row r="227" spans="1:19" ht="13" x14ac:dyDescent="0.15">
      <c r="A227" s="7">
        <v>42646</v>
      </c>
      <c r="B227" s="12">
        <v>19</v>
      </c>
      <c r="C227" s="12">
        <v>9</v>
      </c>
      <c r="D227" s="13" t="s">
        <v>56</v>
      </c>
      <c r="E227" s="13" t="s">
        <v>57</v>
      </c>
      <c r="F227" s="3" t="s">
        <v>33</v>
      </c>
      <c r="G227" s="1">
        <f>33.1+151.45</f>
        <v>184.54999999999998</v>
      </c>
      <c r="H227" s="1">
        <f>154.71+148.4+45.51</f>
        <v>348.62</v>
      </c>
      <c r="I227" s="1">
        <v>9</v>
      </c>
      <c r="J227" s="1">
        <v>10</v>
      </c>
      <c r="K227" s="5">
        <v>0</v>
      </c>
      <c r="L227" s="5">
        <v>75</v>
      </c>
      <c r="M227" s="1">
        <v>0</v>
      </c>
      <c r="N227" s="1">
        <v>0</v>
      </c>
      <c r="O227" s="1">
        <v>13.7</v>
      </c>
      <c r="P227" s="1">
        <v>14.5</v>
      </c>
      <c r="Q227" s="1">
        <v>14.4</v>
      </c>
      <c r="R227" s="1"/>
      <c r="S227" s="1">
        <v>4</v>
      </c>
    </row>
    <row r="228" spans="1:19" ht="13" x14ac:dyDescent="0.15">
      <c r="A228" s="7">
        <v>42646</v>
      </c>
      <c r="B228" s="12">
        <v>20</v>
      </c>
      <c r="C228" s="12">
        <v>2</v>
      </c>
      <c r="D228" s="13" t="s">
        <v>47</v>
      </c>
      <c r="E228" s="13" t="s">
        <v>80</v>
      </c>
      <c r="F228" s="3" t="s">
        <v>68</v>
      </c>
      <c r="G228" s="1">
        <f>31.34+33.92</f>
        <v>65.260000000000005</v>
      </c>
      <c r="H228" s="1">
        <f>31.77+30.17+150.93</f>
        <v>212.87</v>
      </c>
      <c r="I228" s="1">
        <v>6</v>
      </c>
      <c r="J228" s="1">
        <v>10</v>
      </c>
      <c r="K228" s="5">
        <v>0</v>
      </c>
      <c r="L228" s="5">
        <v>80</v>
      </c>
      <c r="M228" s="1">
        <v>0</v>
      </c>
      <c r="N228" s="1">
        <v>8</v>
      </c>
      <c r="O228" s="1">
        <v>14.2</v>
      </c>
      <c r="P228" s="1">
        <v>15</v>
      </c>
      <c r="Q228" s="1">
        <v>16.7</v>
      </c>
      <c r="R228" s="1"/>
      <c r="S228" s="1">
        <v>7</v>
      </c>
    </row>
    <row r="229" spans="1:19" ht="13" x14ac:dyDescent="0.15">
      <c r="A229" s="7">
        <v>42646</v>
      </c>
      <c r="B229" s="12">
        <v>20</v>
      </c>
      <c r="C229" s="12">
        <v>2</v>
      </c>
      <c r="D229" s="13" t="s">
        <v>66</v>
      </c>
      <c r="E229" s="13" t="s">
        <v>67</v>
      </c>
      <c r="F229" s="3" t="s">
        <v>68</v>
      </c>
      <c r="G229" s="1">
        <v>45.9</v>
      </c>
      <c r="H229" s="1">
        <f>82.94+135.07</f>
        <v>218.01</v>
      </c>
      <c r="I229" s="1">
        <v>5</v>
      </c>
      <c r="J229" s="1">
        <v>10</v>
      </c>
      <c r="K229" s="5">
        <v>0</v>
      </c>
      <c r="L229" s="5">
        <v>80</v>
      </c>
      <c r="M229" s="1">
        <v>0</v>
      </c>
      <c r="N229" s="1">
        <v>5</v>
      </c>
      <c r="O229" s="1">
        <v>15.5</v>
      </c>
      <c r="P229" s="1">
        <v>16.3</v>
      </c>
      <c r="Q229" s="1">
        <v>15.5</v>
      </c>
      <c r="S229" s="1">
        <v>55</v>
      </c>
    </row>
    <row r="230" spans="1:19" ht="13" x14ac:dyDescent="0.15">
      <c r="A230" s="7">
        <v>42646</v>
      </c>
      <c r="B230" s="12">
        <v>20</v>
      </c>
      <c r="C230" s="12">
        <v>2</v>
      </c>
      <c r="D230" s="13" t="s">
        <v>31</v>
      </c>
      <c r="E230" s="13" t="s">
        <v>98</v>
      </c>
      <c r="F230" s="3" t="s">
        <v>33</v>
      </c>
      <c r="G230" s="1">
        <f>155.08+113.26</f>
        <v>268.34000000000003</v>
      </c>
      <c r="I230" s="1">
        <v>10</v>
      </c>
      <c r="K230" s="5">
        <v>98</v>
      </c>
      <c r="L230" s="17"/>
      <c r="M230" s="1">
        <v>2</v>
      </c>
      <c r="O230" s="1">
        <v>13.6</v>
      </c>
      <c r="P230" s="1">
        <v>16.8</v>
      </c>
      <c r="Q230" s="1">
        <v>14.4</v>
      </c>
      <c r="R230" s="1">
        <v>1</v>
      </c>
    </row>
    <row r="231" spans="1:19" ht="13" x14ac:dyDescent="0.15">
      <c r="A231" s="7">
        <v>42646</v>
      </c>
      <c r="B231" s="14">
        <v>20</v>
      </c>
      <c r="C231" s="14">
        <v>2</v>
      </c>
      <c r="D231" s="9" t="s">
        <v>90</v>
      </c>
      <c r="E231" s="9" t="s">
        <v>103</v>
      </c>
      <c r="F231" s="3" t="s">
        <v>33</v>
      </c>
      <c r="G231" s="1">
        <f>154.7+14.35</f>
        <v>169.04999999999998</v>
      </c>
      <c r="I231" s="1">
        <v>9</v>
      </c>
      <c r="K231" s="5">
        <v>98</v>
      </c>
      <c r="L231" s="17"/>
      <c r="M231" s="1">
        <v>0</v>
      </c>
      <c r="O231" s="1">
        <v>16</v>
      </c>
      <c r="P231" s="1">
        <v>16.8</v>
      </c>
      <c r="Q231" s="1">
        <v>14.7</v>
      </c>
      <c r="R231" s="1"/>
    </row>
    <row r="232" spans="1:19" ht="13" x14ac:dyDescent="0.15">
      <c r="A232" s="7">
        <v>42646</v>
      </c>
      <c r="B232" s="12">
        <v>20</v>
      </c>
      <c r="C232" s="12">
        <v>5</v>
      </c>
      <c r="D232" s="13" t="s">
        <v>56</v>
      </c>
      <c r="E232" s="13" t="s">
        <v>76</v>
      </c>
      <c r="F232" s="3" t="s">
        <v>50</v>
      </c>
      <c r="G232" s="1">
        <v>48.48</v>
      </c>
      <c r="H232" s="1">
        <f>33.62+31.39+71.16+103.85</f>
        <v>240.01999999999998</v>
      </c>
      <c r="I232" s="1">
        <v>7</v>
      </c>
      <c r="J232" s="1">
        <v>14</v>
      </c>
      <c r="K232" s="5">
        <v>0</v>
      </c>
      <c r="L232" s="5">
        <v>30</v>
      </c>
      <c r="M232" s="1">
        <v>0</v>
      </c>
      <c r="N232" s="1">
        <v>0</v>
      </c>
      <c r="O232" s="1">
        <v>16.600000000000001</v>
      </c>
      <c r="P232" s="1">
        <v>15.4</v>
      </c>
      <c r="Q232" s="1">
        <v>15.4</v>
      </c>
      <c r="R232" s="1"/>
    </row>
    <row r="233" spans="1:19" ht="13" x14ac:dyDescent="0.15">
      <c r="A233" s="7">
        <v>42646</v>
      </c>
      <c r="B233" s="14">
        <v>22</v>
      </c>
      <c r="C233" s="14">
        <v>9</v>
      </c>
      <c r="D233" s="9" t="s">
        <v>97</v>
      </c>
      <c r="E233" s="9" t="s">
        <v>101</v>
      </c>
      <c r="F233" s="3" t="s">
        <v>68</v>
      </c>
      <c r="G233" s="1">
        <f>15.18+57.35+154.71+46.57</f>
        <v>273.81</v>
      </c>
      <c r="I233" s="1">
        <v>12</v>
      </c>
      <c r="K233" s="5">
        <v>20</v>
      </c>
      <c r="L233" s="17"/>
      <c r="M233" s="1">
        <v>1</v>
      </c>
      <c r="O233" s="1">
        <v>16.8</v>
      </c>
      <c r="P233" s="1">
        <v>14.9</v>
      </c>
      <c r="Q233" s="1">
        <v>14.9</v>
      </c>
      <c r="R233" s="1"/>
    </row>
    <row r="234" spans="1:19" ht="13" x14ac:dyDescent="0.15">
      <c r="A234" s="7">
        <v>42646</v>
      </c>
      <c r="B234" s="14">
        <v>24</v>
      </c>
      <c r="C234" s="14">
        <v>9</v>
      </c>
      <c r="D234" s="9" t="s">
        <v>97</v>
      </c>
      <c r="E234" s="9" t="s">
        <v>115</v>
      </c>
      <c r="F234" s="3" t="s">
        <v>33</v>
      </c>
      <c r="G234" s="1">
        <f>12.56+58.19+85.77+84.19+56.26</f>
        <v>296.96999999999997</v>
      </c>
      <c r="I234" s="1">
        <v>12</v>
      </c>
      <c r="K234" s="5"/>
      <c r="L234" s="17"/>
      <c r="M234" s="1"/>
      <c r="O234" s="1">
        <v>14.3</v>
      </c>
      <c r="P234" s="1">
        <v>14</v>
      </c>
      <c r="Q234" s="1">
        <v>14.9</v>
      </c>
      <c r="R234" s="1"/>
    </row>
    <row r="235" spans="1:19" ht="13" x14ac:dyDescent="0.15">
      <c r="A235" s="7">
        <v>42646</v>
      </c>
      <c r="B235" s="14">
        <v>35</v>
      </c>
      <c r="C235" s="14">
        <v>3</v>
      </c>
      <c r="D235" s="9" t="s">
        <v>90</v>
      </c>
      <c r="E235" s="9" t="s">
        <v>77</v>
      </c>
      <c r="F235" s="3" t="s">
        <v>50</v>
      </c>
      <c r="G235" s="1">
        <f>22.86+61.83+44.38+107.8+75.1</f>
        <v>311.97000000000003</v>
      </c>
      <c r="I235" s="1">
        <v>10</v>
      </c>
      <c r="K235" s="5">
        <v>60</v>
      </c>
      <c r="L235" s="17"/>
      <c r="M235" s="1">
        <v>2</v>
      </c>
      <c r="O235" s="1">
        <v>12.6</v>
      </c>
      <c r="P235" s="1">
        <v>14.9</v>
      </c>
      <c r="Q235" s="1">
        <v>16.3</v>
      </c>
      <c r="R235" s="1">
        <v>1</v>
      </c>
    </row>
    <row r="236" spans="1:19" ht="13" x14ac:dyDescent="0.15">
      <c r="A236" s="7">
        <v>42646</v>
      </c>
      <c r="B236" s="12">
        <v>38</v>
      </c>
      <c r="C236" s="12">
        <v>7</v>
      </c>
      <c r="D236" s="13" t="s">
        <v>70</v>
      </c>
      <c r="E236" s="13" t="s">
        <v>71</v>
      </c>
      <c r="F236" s="3" t="s">
        <v>68</v>
      </c>
      <c r="G236" s="1">
        <f>14.84+31.4+17.01+21.09+49.37+28.73</f>
        <v>162.44</v>
      </c>
      <c r="H236" s="1">
        <f>155.07+46.65</f>
        <v>201.72</v>
      </c>
      <c r="I236" s="1">
        <v>11</v>
      </c>
      <c r="J236" s="1">
        <v>10</v>
      </c>
      <c r="K236" s="5">
        <v>10</v>
      </c>
      <c r="L236" s="5">
        <v>5</v>
      </c>
      <c r="M236" s="1">
        <v>0</v>
      </c>
      <c r="N236" s="1">
        <v>0</v>
      </c>
      <c r="O236" s="1">
        <v>14.2</v>
      </c>
      <c r="P236" s="1">
        <v>12.4</v>
      </c>
      <c r="Q236" s="1">
        <v>11.8</v>
      </c>
      <c r="R236" s="1"/>
      <c r="S236" s="1">
        <v>8</v>
      </c>
    </row>
    <row r="237" spans="1:19" ht="13" x14ac:dyDescent="0.15">
      <c r="A237" s="7">
        <v>42646</v>
      </c>
      <c r="B237" s="14">
        <v>38</v>
      </c>
      <c r="C237" s="14">
        <v>7</v>
      </c>
      <c r="D237" s="9" t="s">
        <v>56</v>
      </c>
      <c r="E237" s="9" t="s">
        <v>79</v>
      </c>
      <c r="F237" s="3" t="s">
        <v>33</v>
      </c>
      <c r="G237" s="1">
        <f>110.29+57.24</f>
        <v>167.53</v>
      </c>
      <c r="H237" s="1">
        <f>25.69+155.1+67.07</f>
        <v>247.85999999999999</v>
      </c>
      <c r="I237" s="1">
        <v>10</v>
      </c>
      <c r="J237" s="1">
        <v>10</v>
      </c>
      <c r="K237" s="5">
        <v>50</v>
      </c>
      <c r="L237" s="5">
        <v>40</v>
      </c>
      <c r="M237" s="1">
        <v>5</v>
      </c>
      <c r="N237" s="1">
        <v>17</v>
      </c>
      <c r="O237" s="1">
        <v>18.5</v>
      </c>
      <c r="P237" s="1">
        <v>16.3</v>
      </c>
      <c r="Q237" s="1">
        <v>14</v>
      </c>
      <c r="R237" s="1">
        <v>4</v>
      </c>
      <c r="S237" s="1">
        <v>3</v>
      </c>
    </row>
    <row r="238" spans="1:19" ht="13" x14ac:dyDescent="0.15">
      <c r="A238" s="7">
        <v>42646</v>
      </c>
      <c r="B238" s="14">
        <v>38</v>
      </c>
      <c r="C238" s="14">
        <v>7</v>
      </c>
      <c r="D238" s="13" t="s">
        <v>66</v>
      </c>
      <c r="E238" s="13" t="s">
        <v>73</v>
      </c>
      <c r="F238" s="3" t="s">
        <v>50</v>
      </c>
      <c r="G238" s="1">
        <v>78.3</v>
      </c>
      <c r="H238" s="1">
        <f>127.88+25.92</f>
        <v>153.80000000000001</v>
      </c>
      <c r="I238" s="1">
        <v>7</v>
      </c>
      <c r="J238" s="1">
        <v>9</v>
      </c>
      <c r="K238" s="5">
        <v>95</v>
      </c>
      <c r="L238" s="5">
        <v>90</v>
      </c>
      <c r="M238" s="1">
        <v>2</v>
      </c>
      <c r="N238" s="1">
        <v>9</v>
      </c>
      <c r="O238" s="1">
        <v>17.2</v>
      </c>
      <c r="P238" s="1">
        <v>16.899999999999999</v>
      </c>
      <c r="Q238" s="1">
        <v>15.7</v>
      </c>
      <c r="R238" s="1">
        <v>0</v>
      </c>
      <c r="S238" s="1">
        <v>2</v>
      </c>
    </row>
    <row r="239" spans="1:19" ht="13" x14ac:dyDescent="0.15">
      <c r="A239" s="7">
        <v>42646</v>
      </c>
      <c r="B239" s="14">
        <v>38</v>
      </c>
      <c r="C239" s="14">
        <v>7</v>
      </c>
      <c r="D239" s="13" t="s">
        <v>31</v>
      </c>
      <c r="E239" s="13" t="s">
        <v>85</v>
      </c>
      <c r="F239" s="3" t="s">
        <v>89</v>
      </c>
      <c r="G239" s="1">
        <f>154.71+126.12</f>
        <v>280.83000000000004</v>
      </c>
      <c r="I239" s="1">
        <v>13</v>
      </c>
      <c r="K239" s="5">
        <v>60</v>
      </c>
      <c r="L239" s="17"/>
      <c r="M239" s="1">
        <v>2</v>
      </c>
      <c r="O239" s="1">
        <v>14.6</v>
      </c>
      <c r="P239" s="1">
        <v>16</v>
      </c>
      <c r="Q239" s="1">
        <v>15.8</v>
      </c>
      <c r="R239" s="1">
        <v>2</v>
      </c>
    </row>
    <row r="240" spans="1:19" ht="13" x14ac:dyDescent="0.15">
      <c r="A240" s="7">
        <v>42646</v>
      </c>
      <c r="B240" s="14">
        <v>38</v>
      </c>
      <c r="C240" s="14">
        <v>7</v>
      </c>
      <c r="D240" s="13" t="s">
        <v>90</v>
      </c>
      <c r="E240" s="13" t="s">
        <v>91</v>
      </c>
      <c r="F240" s="3" t="s">
        <v>92</v>
      </c>
      <c r="G240" s="1">
        <f>12.48+55.1+33.49+18.69+13.56+9.4</f>
        <v>142.72</v>
      </c>
      <c r="I240" s="1">
        <v>8</v>
      </c>
      <c r="K240" s="5">
        <v>95</v>
      </c>
      <c r="L240" s="5"/>
      <c r="M240" s="1">
        <v>5</v>
      </c>
      <c r="O240" s="1">
        <v>13.5</v>
      </c>
      <c r="P240" s="1">
        <v>14.6</v>
      </c>
      <c r="Q240" s="1">
        <v>12.7</v>
      </c>
      <c r="R240" s="1"/>
    </row>
    <row r="241" spans="1:24" ht="13" x14ac:dyDescent="0.15">
      <c r="A241" s="7">
        <v>42648</v>
      </c>
      <c r="B241" s="12">
        <v>13</v>
      </c>
      <c r="C241" s="12">
        <v>3</v>
      </c>
      <c r="D241" s="13" t="s">
        <v>66</v>
      </c>
      <c r="E241" s="13" t="s">
        <v>87</v>
      </c>
      <c r="F241" s="3" t="s">
        <v>89</v>
      </c>
      <c r="G241" s="1">
        <f>146.03+4.96</f>
        <v>150.99</v>
      </c>
      <c r="H241" s="1">
        <f>155.08+20.25</f>
        <v>175.33</v>
      </c>
      <c r="I241" s="1">
        <v>9</v>
      </c>
      <c r="J241" s="1">
        <v>10</v>
      </c>
      <c r="K241" s="5">
        <v>0</v>
      </c>
      <c r="L241" s="5">
        <v>100</v>
      </c>
      <c r="M241" s="1">
        <v>0</v>
      </c>
      <c r="N241" s="1">
        <v>1</v>
      </c>
      <c r="O241" s="1">
        <v>13.6</v>
      </c>
      <c r="P241" s="1">
        <v>12.2</v>
      </c>
      <c r="Q241" s="1">
        <v>13.6</v>
      </c>
      <c r="S241" s="1">
        <v>0</v>
      </c>
    </row>
    <row r="242" spans="1:24" ht="13" x14ac:dyDescent="0.15">
      <c r="A242" s="7">
        <v>42648</v>
      </c>
      <c r="B242" s="12">
        <v>13</v>
      </c>
      <c r="C242" s="12">
        <v>3</v>
      </c>
      <c r="D242" s="13" t="s">
        <v>31</v>
      </c>
      <c r="E242" s="13" t="s">
        <v>32</v>
      </c>
      <c r="F242" s="3" t="s">
        <v>33</v>
      </c>
      <c r="G242" s="1">
        <f>155.08+155.08</f>
        <v>310.16000000000003</v>
      </c>
      <c r="I242" s="1">
        <v>10</v>
      </c>
      <c r="K242" s="5">
        <v>90</v>
      </c>
      <c r="L242" s="17"/>
      <c r="M242" s="1">
        <v>0</v>
      </c>
      <c r="O242" s="1">
        <v>15.7</v>
      </c>
      <c r="P242" s="1">
        <v>13.6</v>
      </c>
      <c r="Q242" s="1">
        <v>14.7</v>
      </c>
      <c r="R242" s="1">
        <v>1</v>
      </c>
    </row>
    <row r="243" spans="1:24" ht="13" x14ac:dyDescent="0.15">
      <c r="A243" s="7">
        <v>42648</v>
      </c>
      <c r="B243" s="12">
        <v>14</v>
      </c>
      <c r="C243" s="12">
        <v>1</v>
      </c>
      <c r="D243" s="13" t="s">
        <v>56</v>
      </c>
      <c r="E243" s="13" t="s">
        <v>93</v>
      </c>
      <c r="F243" s="3" t="s">
        <v>92</v>
      </c>
      <c r="G243" s="1">
        <f>154.71+111.22</f>
        <v>265.93</v>
      </c>
      <c r="I243" s="1">
        <v>11</v>
      </c>
      <c r="K243" s="5">
        <v>85</v>
      </c>
      <c r="L243" s="17"/>
      <c r="M243" s="1">
        <v>7</v>
      </c>
      <c r="O243" s="1">
        <v>11.3</v>
      </c>
      <c r="P243" s="1">
        <v>14.1</v>
      </c>
      <c r="Q243" s="1">
        <v>13.3</v>
      </c>
      <c r="R243" s="1">
        <v>1</v>
      </c>
    </row>
    <row r="244" spans="1:24" ht="13" x14ac:dyDescent="0.15">
      <c r="A244" s="7">
        <v>42648</v>
      </c>
      <c r="B244" s="12">
        <v>16</v>
      </c>
      <c r="C244" s="12">
        <v>1</v>
      </c>
      <c r="D244" s="13" t="s">
        <v>47</v>
      </c>
      <c r="E244" s="13" t="s">
        <v>81</v>
      </c>
      <c r="F244" s="3" t="s">
        <v>68</v>
      </c>
      <c r="G244" s="1">
        <f>67.76+16.15+10.48</f>
        <v>94.39</v>
      </c>
      <c r="H244" s="1">
        <f>23.36+33.53+85.03+54.59</f>
        <v>196.51000000000002</v>
      </c>
      <c r="I244" s="1">
        <v>8</v>
      </c>
      <c r="J244" s="1">
        <v>10</v>
      </c>
      <c r="K244" s="5">
        <v>0</v>
      </c>
      <c r="L244" s="5">
        <v>0</v>
      </c>
      <c r="M244" s="1">
        <v>0</v>
      </c>
      <c r="N244" s="1">
        <v>0</v>
      </c>
      <c r="O244" s="1">
        <v>13.9</v>
      </c>
      <c r="P244" s="1">
        <v>14.4</v>
      </c>
      <c r="Q244" s="1">
        <v>14.4</v>
      </c>
    </row>
    <row r="245" spans="1:24" ht="13" x14ac:dyDescent="0.15">
      <c r="A245" s="7">
        <v>42648</v>
      </c>
      <c r="B245" s="14">
        <v>16</v>
      </c>
      <c r="C245" s="14">
        <v>1</v>
      </c>
      <c r="D245" s="9" t="s">
        <v>56</v>
      </c>
      <c r="E245" s="9" t="s">
        <v>99</v>
      </c>
      <c r="F245" s="3" t="s">
        <v>92</v>
      </c>
      <c r="G245" s="1">
        <v>124.49</v>
      </c>
      <c r="H245" s="1">
        <f>154.72+154.72+49.73</f>
        <v>359.17</v>
      </c>
      <c r="I245" s="1">
        <v>7</v>
      </c>
      <c r="J245" s="1">
        <v>10</v>
      </c>
      <c r="K245" s="5">
        <v>65</v>
      </c>
      <c r="L245" s="5">
        <v>0</v>
      </c>
      <c r="M245" s="1">
        <v>4</v>
      </c>
      <c r="N245" s="1">
        <v>0</v>
      </c>
      <c r="O245" s="1">
        <v>14.4</v>
      </c>
      <c r="P245" s="1">
        <v>14.2</v>
      </c>
      <c r="Q245" s="1">
        <v>13.6</v>
      </c>
    </row>
    <row r="246" spans="1:24" ht="13" x14ac:dyDescent="0.15">
      <c r="A246" s="7">
        <v>42648</v>
      </c>
      <c r="B246" s="12">
        <v>16</v>
      </c>
      <c r="C246" s="12">
        <v>1</v>
      </c>
      <c r="D246" s="13" t="s">
        <v>97</v>
      </c>
      <c r="E246" s="13" t="s">
        <v>86</v>
      </c>
      <c r="F246" s="3" t="s">
        <v>89</v>
      </c>
      <c r="G246" s="1">
        <v>65.760000000000005</v>
      </c>
      <c r="H246" s="1">
        <f>48.54+25.56+34.28+133.12</f>
        <v>241.5</v>
      </c>
      <c r="I246" s="1">
        <v>9</v>
      </c>
      <c r="J246" s="1">
        <v>15</v>
      </c>
      <c r="K246" s="5">
        <v>0</v>
      </c>
      <c r="L246" s="5">
        <v>100</v>
      </c>
      <c r="M246" s="1">
        <v>0</v>
      </c>
      <c r="N246" s="1">
        <v>6</v>
      </c>
      <c r="O246" s="1">
        <v>15.8</v>
      </c>
      <c r="P246" s="1">
        <v>15.4</v>
      </c>
      <c r="Q246" s="1">
        <v>14.2</v>
      </c>
      <c r="R246" s="1">
        <v>0</v>
      </c>
      <c r="S246" s="1">
        <v>6</v>
      </c>
    </row>
    <row r="247" spans="1:24" ht="13" x14ac:dyDescent="0.15">
      <c r="A247" s="7">
        <v>42648</v>
      </c>
      <c r="B247" s="12">
        <v>18</v>
      </c>
      <c r="C247" s="12">
        <v>5</v>
      </c>
      <c r="D247" s="13" t="s">
        <v>47</v>
      </c>
      <c r="E247" s="13" t="s">
        <v>49</v>
      </c>
      <c r="F247" s="3" t="s">
        <v>50</v>
      </c>
      <c r="G247" s="1">
        <f>43.37+108.56+34.18+88.88</f>
        <v>274.99</v>
      </c>
      <c r="H247" s="1">
        <f>18.21+81.33+46.41+41.85+121.42+56.17+21.73</f>
        <v>387.12</v>
      </c>
      <c r="I247" s="1">
        <v>10</v>
      </c>
      <c r="J247" s="1">
        <v>10</v>
      </c>
      <c r="K247" s="5">
        <v>100</v>
      </c>
      <c r="L247" s="5">
        <v>90</v>
      </c>
      <c r="M247" s="1">
        <v>0</v>
      </c>
      <c r="N247" s="1">
        <v>5</v>
      </c>
      <c r="O247" s="1">
        <v>12.6</v>
      </c>
      <c r="P247" s="1">
        <v>12.4</v>
      </c>
      <c r="Q247" s="1">
        <v>13.5</v>
      </c>
      <c r="R247" s="1">
        <v>0</v>
      </c>
      <c r="S247" s="1">
        <v>1</v>
      </c>
    </row>
    <row r="248" spans="1:24" ht="13" x14ac:dyDescent="0.15">
      <c r="A248" s="7">
        <v>42648</v>
      </c>
      <c r="B248" s="12">
        <v>18</v>
      </c>
      <c r="C248" s="12">
        <v>5</v>
      </c>
      <c r="D248" s="13" t="s">
        <v>66</v>
      </c>
      <c r="E248" s="13" t="s">
        <v>75</v>
      </c>
      <c r="F248" s="3" t="s">
        <v>50</v>
      </c>
      <c r="G248" s="1">
        <f>20.37+145.42+47.9+113.29+97.21+80.51</f>
        <v>504.7</v>
      </c>
      <c r="I248" s="1">
        <v>11</v>
      </c>
      <c r="K248" s="5">
        <v>90</v>
      </c>
      <c r="L248" s="17"/>
      <c r="M248" s="1">
        <v>2</v>
      </c>
      <c r="O248" s="1">
        <v>11.9</v>
      </c>
      <c r="P248" s="1">
        <v>12.3</v>
      </c>
      <c r="Q248" s="1">
        <v>15.3</v>
      </c>
      <c r="R248" s="1">
        <v>7</v>
      </c>
    </row>
    <row r="249" spans="1:24" ht="13" x14ac:dyDescent="0.15">
      <c r="A249" s="7">
        <v>42648</v>
      </c>
      <c r="B249" s="12">
        <v>18</v>
      </c>
      <c r="C249" s="12">
        <v>5</v>
      </c>
      <c r="D249" s="13" t="s">
        <v>31</v>
      </c>
      <c r="E249" s="13" t="s">
        <v>74</v>
      </c>
      <c r="F249" s="3" t="s">
        <v>50</v>
      </c>
      <c r="G249" s="1">
        <v>0</v>
      </c>
      <c r="H249" s="1">
        <f>29.25+155.1+132.33</f>
        <v>316.68</v>
      </c>
      <c r="I249" s="1">
        <v>0</v>
      </c>
      <c r="J249" s="1">
        <v>10</v>
      </c>
      <c r="K249" s="5">
        <v>0</v>
      </c>
      <c r="L249" s="5">
        <v>90</v>
      </c>
      <c r="M249" s="1">
        <v>0</v>
      </c>
      <c r="N249" s="1">
        <v>4</v>
      </c>
      <c r="O249" s="1">
        <v>15.2</v>
      </c>
      <c r="P249" s="1">
        <v>13.9</v>
      </c>
      <c r="Q249" s="1">
        <v>13.3</v>
      </c>
      <c r="R249" s="1"/>
      <c r="S249" s="1">
        <v>2</v>
      </c>
    </row>
    <row r="250" spans="1:24" ht="13" x14ac:dyDescent="0.15">
      <c r="A250" s="7">
        <v>42648</v>
      </c>
      <c r="B250" s="14">
        <v>18</v>
      </c>
      <c r="C250" s="14">
        <v>5</v>
      </c>
      <c r="D250" s="9" t="s">
        <v>97</v>
      </c>
      <c r="E250" s="9" t="s">
        <v>88</v>
      </c>
      <c r="F250" s="3" t="s">
        <v>89</v>
      </c>
      <c r="G250" s="1">
        <f>105.19+60.17</f>
        <v>165.36</v>
      </c>
      <c r="H250" s="1">
        <f>62.41+116.81+28.11</f>
        <v>207.32999999999998</v>
      </c>
      <c r="I250" s="1">
        <v>8</v>
      </c>
      <c r="J250" s="1">
        <v>11</v>
      </c>
      <c r="K250" s="5">
        <v>90</v>
      </c>
      <c r="L250" s="5">
        <v>50</v>
      </c>
      <c r="M250" s="1">
        <v>1</v>
      </c>
      <c r="N250" s="1">
        <v>0</v>
      </c>
      <c r="O250" s="1">
        <v>10.8</v>
      </c>
      <c r="P250" s="1">
        <v>13.1</v>
      </c>
      <c r="Q250" s="1">
        <v>11.8</v>
      </c>
      <c r="R250" s="1">
        <v>0</v>
      </c>
      <c r="S250" s="1">
        <v>0</v>
      </c>
    </row>
    <row r="251" spans="1:24" ht="13" x14ac:dyDescent="0.15">
      <c r="A251" s="7">
        <v>42648</v>
      </c>
      <c r="B251" s="12">
        <v>18</v>
      </c>
      <c r="C251" s="12">
        <v>5</v>
      </c>
      <c r="D251" s="13" t="s">
        <v>95</v>
      </c>
      <c r="E251" s="13" t="s">
        <v>96</v>
      </c>
      <c r="F251" s="3" t="s">
        <v>92</v>
      </c>
      <c r="G251" s="1">
        <f>32.37+106.22+59.19+41.7+43.1+84.88+28.11</f>
        <v>395.57000000000005</v>
      </c>
      <c r="I251" s="1">
        <v>10</v>
      </c>
      <c r="K251" s="5">
        <v>50</v>
      </c>
      <c r="L251" s="17"/>
      <c r="M251" s="1">
        <v>1</v>
      </c>
      <c r="O251" s="1">
        <v>12.1</v>
      </c>
      <c r="P251" s="1">
        <v>13.9</v>
      </c>
      <c r="Q251" s="1">
        <v>13.8</v>
      </c>
      <c r="R251" s="1">
        <v>0</v>
      </c>
    </row>
    <row r="252" spans="1:24" ht="13" x14ac:dyDescent="0.15">
      <c r="A252" s="7">
        <v>42648</v>
      </c>
      <c r="B252" s="12">
        <v>19</v>
      </c>
      <c r="C252" s="12">
        <v>9</v>
      </c>
      <c r="D252" s="13" t="s">
        <v>56</v>
      </c>
      <c r="E252" s="13" t="s">
        <v>57</v>
      </c>
      <c r="F252" s="3" t="s">
        <v>33</v>
      </c>
      <c r="G252" s="1">
        <f>32.58+31.37+39.3+86.8</f>
        <v>190.05</v>
      </c>
      <c r="H252" s="1">
        <f>43.74+72.86+86.49+49.08+102.84</f>
        <v>355.01</v>
      </c>
      <c r="I252" s="1">
        <v>9</v>
      </c>
      <c r="J252" s="1">
        <v>10</v>
      </c>
      <c r="K252" s="5">
        <v>0</v>
      </c>
      <c r="L252" s="5">
        <v>90</v>
      </c>
      <c r="M252" s="1">
        <v>0</v>
      </c>
      <c r="N252" s="1">
        <v>0</v>
      </c>
      <c r="O252" s="1">
        <v>11</v>
      </c>
      <c r="P252" s="1">
        <v>10</v>
      </c>
      <c r="Q252" s="1">
        <v>8.8000000000000007</v>
      </c>
      <c r="S252" s="1">
        <v>0</v>
      </c>
    </row>
    <row r="253" spans="1:24" ht="13" x14ac:dyDescent="0.15">
      <c r="A253" s="7">
        <v>42648</v>
      </c>
      <c r="B253" s="12">
        <v>20</v>
      </c>
      <c r="C253" s="12">
        <v>2</v>
      </c>
      <c r="D253" s="13" t="s">
        <v>47</v>
      </c>
      <c r="E253" s="13" t="s">
        <v>80</v>
      </c>
      <c r="F253" s="3" t="s">
        <v>68</v>
      </c>
      <c r="G253" s="1">
        <v>66.64</v>
      </c>
      <c r="H253" s="1">
        <v>272.52999999999997</v>
      </c>
      <c r="I253" s="1">
        <v>6</v>
      </c>
      <c r="J253" s="1">
        <v>10</v>
      </c>
      <c r="K253" s="5">
        <v>0</v>
      </c>
      <c r="L253" s="5">
        <v>85</v>
      </c>
      <c r="M253" s="1">
        <v>0</v>
      </c>
      <c r="N253" s="1">
        <v>0</v>
      </c>
      <c r="O253" s="1">
        <v>12</v>
      </c>
      <c r="P253" s="1">
        <v>9.6</v>
      </c>
      <c r="Q253" s="1">
        <v>11.5</v>
      </c>
      <c r="R253" s="1"/>
      <c r="S253" s="1">
        <v>7</v>
      </c>
      <c r="X253" s="1"/>
    </row>
    <row r="254" spans="1:24" ht="13" x14ac:dyDescent="0.15">
      <c r="A254" s="7">
        <v>42648</v>
      </c>
      <c r="B254" s="12">
        <v>20</v>
      </c>
      <c r="C254" s="12">
        <v>2</v>
      </c>
      <c r="D254" s="13" t="s">
        <v>66</v>
      </c>
      <c r="E254" s="13" t="s">
        <v>67</v>
      </c>
      <c r="F254" s="3" t="s">
        <v>68</v>
      </c>
      <c r="G254" s="1">
        <v>57.33</v>
      </c>
      <c r="H254" s="1">
        <f>154.7+71.02</f>
        <v>225.71999999999997</v>
      </c>
      <c r="I254" s="1">
        <v>5</v>
      </c>
      <c r="J254" s="1">
        <v>10</v>
      </c>
      <c r="K254" s="5">
        <v>0</v>
      </c>
      <c r="L254" s="5">
        <v>100</v>
      </c>
      <c r="M254" s="1">
        <v>0</v>
      </c>
      <c r="N254" s="1">
        <v>0</v>
      </c>
      <c r="O254" s="1">
        <v>12.1</v>
      </c>
      <c r="P254" s="1">
        <v>9.9</v>
      </c>
      <c r="Q254" s="1">
        <v>11</v>
      </c>
      <c r="S254" s="1">
        <v>4</v>
      </c>
      <c r="X254" s="1" t="s">
        <v>117</v>
      </c>
    </row>
    <row r="255" spans="1:24" ht="13" x14ac:dyDescent="0.15">
      <c r="A255" s="7">
        <v>42648</v>
      </c>
      <c r="B255" s="12">
        <v>20</v>
      </c>
      <c r="C255" s="12">
        <v>2</v>
      </c>
      <c r="D255" s="13" t="s">
        <v>31</v>
      </c>
      <c r="E255" s="13" t="s">
        <v>98</v>
      </c>
      <c r="F255" s="3" t="s">
        <v>33</v>
      </c>
      <c r="G255" s="1">
        <f>155.08+125.02</f>
        <v>280.10000000000002</v>
      </c>
      <c r="I255" s="1">
        <v>10</v>
      </c>
      <c r="K255" s="17"/>
      <c r="L255" s="17"/>
      <c r="O255" s="1">
        <v>12.7</v>
      </c>
      <c r="P255" s="1">
        <v>11.1</v>
      </c>
      <c r="Q255" s="1">
        <v>12.1</v>
      </c>
      <c r="X255" s="1" t="s">
        <v>118</v>
      </c>
    </row>
    <row r="256" spans="1:24" ht="13" x14ac:dyDescent="0.15">
      <c r="A256" s="7">
        <v>42648</v>
      </c>
      <c r="B256" s="14">
        <v>20</v>
      </c>
      <c r="C256" s="14">
        <v>2</v>
      </c>
      <c r="D256" s="9" t="s">
        <v>90</v>
      </c>
      <c r="E256" s="9" t="s">
        <v>103</v>
      </c>
      <c r="F256" s="3" t="s">
        <v>33</v>
      </c>
      <c r="G256" s="1">
        <f>62.56+67.06+43.9</f>
        <v>173.52</v>
      </c>
      <c r="I256" s="1">
        <v>9</v>
      </c>
      <c r="K256" s="17"/>
      <c r="L256" s="17"/>
      <c r="O256" s="1">
        <v>13.9</v>
      </c>
      <c r="P256" s="1">
        <v>13.8</v>
      </c>
      <c r="Q256" s="1">
        <v>13.6</v>
      </c>
      <c r="X256" s="1" t="s">
        <v>118</v>
      </c>
    </row>
    <row r="257" spans="1:24" ht="13" x14ac:dyDescent="0.15">
      <c r="A257" s="7">
        <v>42648</v>
      </c>
      <c r="B257" s="12">
        <v>20</v>
      </c>
      <c r="C257" s="12">
        <v>5</v>
      </c>
      <c r="D257" s="13" t="s">
        <v>56</v>
      </c>
      <c r="E257" s="13" t="s">
        <v>76</v>
      </c>
      <c r="F257" s="3" t="s">
        <v>50</v>
      </c>
      <c r="G257" s="1">
        <v>50.7</v>
      </c>
      <c r="H257" s="1">
        <f>35.46+29.74+14.47+58.98+44.35+45.82+16.31</f>
        <v>245.13</v>
      </c>
      <c r="I257" s="1">
        <v>7</v>
      </c>
      <c r="J257" s="1">
        <v>14</v>
      </c>
      <c r="K257" s="5">
        <v>0</v>
      </c>
      <c r="L257" s="5">
        <v>45</v>
      </c>
      <c r="M257" s="1">
        <v>0</v>
      </c>
      <c r="N257" s="1">
        <v>0</v>
      </c>
      <c r="O257" s="1">
        <v>14.6</v>
      </c>
      <c r="P257" s="1">
        <v>15.1</v>
      </c>
      <c r="Q257" s="1">
        <v>13.8</v>
      </c>
      <c r="R257" s="1">
        <v>0</v>
      </c>
      <c r="S257" s="1">
        <v>0</v>
      </c>
    </row>
    <row r="258" spans="1:24" ht="13" x14ac:dyDescent="0.15">
      <c r="A258" s="7">
        <v>42648</v>
      </c>
      <c r="B258" s="14">
        <v>22</v>
      </c>
      <c r="C258" s="14">
        <v>9</v>
      </c>
      <c r="D258" s="9" t="s">
        <v>97</v>
      </c>
      <c r="E258" s="9" t="s">
        <v>101</v>
      </c>
      <c r="F258" s="3" t="s">
        <v>68</v>
      </c>
      <c r="G258" s="1">
        <f>155.08+131.25</f>
        <v>286.33000000000004</v>
      </c>
      <c r="I258" s="1">
        <v>12</v>
      </c>
      <c r="K258" s="5">
        <v>30</v>
      </c>
      <c r="L258" s="17"/>
      <c r="M258" s="1">
        <v>2</v>
      </c>
      <c r="O258" s="1">
        <v>9.6999999999999993</v>
      </c>
      <c r="P258" s="1">
        <v>10.199999999999999</v>
      </c>
      <c r="Q258" s="1">
        <v>10.8</v>
      </c>
      <c r="R258" s="1">
        <v>0</v>
      </c>
    </row>
    <row r="259" spans="1:24" ht="13" x14ac:dyDescent="0.15">
      <c r="A259" s="7">
        <v>42648</v>
      </c>
      <c r="B259" s="14">
        <v>24</v>
      </c>
      <c r="C259" s="14">
        <v>9</v>
      </c>
      <c r="D259" s="9" t="s">
        <v>97</v>
      </c>
      <c r="E259" s="9" t="s">
        <v>115</v>
      </c>
      <c r="F259" s="3" t="s">
        <v>33</v>
      </c>
      <c r="G259" s="1">
        <f>155.08+142.13</f>
        <v>297.21000000000004</v>
      </c>
      <c r="I259" s="1">
        <v>12</v>
      </c>
      <c r="K259" s="5"/>
      <c r="L259" s="17"/>
      <c r="M259" s="1"/>
      <c r="O259" s="1">
        <v>12</v>
      </c>
      <c r="P259" s="1">
        <v>11.3</v>
      </c>
      <c r="Q259" s="1">
        <v>11.7</v>
      </c>
      <c r="R259" s="1"/>
    </row>
    <row r="260" spans="1:24" ht="13" x14ac:dyDescent="0.15">
      <c r="A260" s="7">
        <v>42648</v>
      </c>
      <c r="B260" s="14">
        <v>35</v>
      </c>
      <c r="C260" s="14">
        <v>3</v>
      </c>
      <c r="D260" s="9" t="s">
        <v>90</v>
      </c>
      <c r="E260" s="18" t="s">
        <v>77</v>
      </c>
      <c r="F260" s="3" t="s">
        <v>50</v>
      </c>
      <c r="G260" s="1">
        <f>154.69+154.69+6.84</f>
        <v>316.21999999999997</v>
      </c>
      <c r="I260" s="1">
        <v>10</v>
      </c>
      <c r="K260" s="5">
        <v>100</v>
      </c>
      <c r="L260" s="17"/>
      <c r="M260" s="1">
        <v>4</v>
      </c>
      <c r="O260" s="1">
        <v>13.5</v>
      </c>
      <c r="P260" s="1">
        <v>12.2</v>
      </c>
      <c r="Q260" s="1">
        <v>14.6</v>
      </c>
      <c r="R260" s="1">
        <v>6</v>
      </c>
    </row>
    <row r="261" spans="1:24" ht="13" x14ac:dyDescent="0.15">
      <c r="A261" s="7">
        <v>42648</v>
      </c>
      <c r="B261" s="12">
        <v>38</v>
      </c>
      <c r="C261" s="12">
        <v>7</v>
      </c>
      <c r="D261" s="13" t="s">
        <v>70</v>
      </c>
      <c r="E261" s="13" t="s">
        <v>71</v>
      </c>
      <c r="F261" s="3" t="s">
        <v>68</v>
      </c>
      <c r="G261" s="1">
        <f>18.48+17.92+27.56+22.35+78.72</f>
        <v>165.03</v>
      </c>
      <c r="H261" s="1">
        <f>36.96+37.82+40.32+32.35+30.33+27.04</f>
        <v>204.81999999999996</v>
      </c>
      <c r="I261" s="1">
        <v>11</v>
      </c>
      <c r="J261" s="1">
        <v>10</v>
      </c>
      <c r="K261" s="5">
        <v>0</v>
      </c>
      <c r="L261" s="5">
        <v>0</v>
      </c>
      <c r="M261" s="1">
        <v>0</v>
      </c>
      <c r="N261" s="1">
        <v>0</v>
      </c>
      <c r="O261" s="1">
        <v>10</v>
      </c>
      <c r="P261" s="1">
        <v>13.1</v>
      </c>
      <c r="Q261" s="1">
        <v>11</v>
      </c>
      <c r="R261" s="1">
        <v>0</v>
      </c>
      <c r="S261" s="1">
        <v>7</v>
      </c>
    </row>
    <row r="262" spans="1:24" ht="13" x14ac:dyDescent="0.15">
      <c r="A262" s="7">
        <v>42648</v>
      </c>
      <c r="B262" s="14">
        <v>38</v>
      </c>
      <c r="C262" s="14">
        <v>7</v>
      </c>
      <c r="D262" s="9" t="s">
        <v>56</v>
      </c>
      <c r="E262" s="9" t="s">
        <v>79</v>
      </c>
      <c r="F262" s="3" t="s">
        <v>33</v>
      </c>
      <c r="G262" s="1">
        <f>67.35+44.72+57.34</f>
        <v>169.41</v>
      </c>
      <c r="H262" s="1">
        <f>27.68+37.62+83.04+105.41</f>
        <v>253.75</v>
      </c>
      <c r="I262" s="1">
        <v>10</v>
      </c>
      <c r="J262" s="1">
        <v>10</v>
      </c>
      <c r="K262" s="5">
        <v>85</v>
      </c>
      <c r="L262" s="5">
        <v>95</v>
      </c>
      <c r="M262" s="1">
        <v>3</v>
      </c>
      <c r="N262" s="1">
        <v>1</v>
      </c>
      <c r="O262" s="1">
        <v>12.3</v>
      </c>
      <c r="P262" s="1">
        <v>13.4</v>
      </c>
      <c r="Q262" s="1">
        <v>11.1</v>
      </c>
      <c r="R262" s="1">
        <v>5</v>
      </c>
      <c r="S262" s="1">
        <v>6</v>
      </c>
    </row>
    <row r="263" spans="1:24" ht="13" x14ac:dyDescent="0.15">
      <c r="A263" s="7">
        <v>42648</v>
      </c>
      <c r="B263" s="14">
        <v>38</v>
      </c>
      <c r="C263" s="14">
        <v>7</v>
      </c>
      <c r="D263" s="13" t="s">
        <v>66</v>
      </c>
      <c r="E263" s="13" t="s">
        <v>73</v>
      </c>
      <c r="F263" s="3" t="s">
        <v>50</v>
      </c>
      <c r="G263" s="1">
        <v>87.1</v>
      </c>
      <c r="H263" s="1">
        <f>20.88+33.08+54.26+49.26</f>
        <v>157.47999999999999</v>
      </c>
      <c r="I263" s="1">
        <v>7</v>
      </c>
      <c r="J263" s="1">
        <v>9</v>
      </c>
      <c r="K263" s="5">
        <v>100</v>
      </c>
      <c r="L263" s="5">
        <v>100</v>
      </c>
      <c r="M263" s="1">
        <v>0</v>
      </c>
      <c r="N263" s="1">
        <v>5</v>
      </c>
      <c r="O263" s="1">
        <v>14.5</v>
      </c>
      <c r="P263" s="1">
        <v>13.9</v>
      </c>
      <c r="Q263" s="1">
        <v>14.2</v>
      </c>
      <c r="R263" s="1">
        <v>0</v>
      </c>
      <c r="S263" s="1">
        <v>3</v>
      </c>
    </row>
    <row r="264" spans="1:24" ht="13" x14ac:dyDescent="0.15">
      <c r="A264" s="7">
        <v>42648</v>
      </c>
      <c r="B264" s="14">
        <v>38</v>
      </c>
      <c r="C264" s="14">
        <v>7</v>
      </c>
      <c r="D264" s="13" t="s">
        <v>31</v>
      </c>
      <c r="E264" s="13" t="s">
        <v>85</v>
      </c>
      <c r="F264" s="3" t="s">
        <v>89</v>
      </c>
      <c r="G264" s="1">
        <f>58+73.82+29.27+122.46</f>
        <v>283.55</v>
      </c>
      <c r="I264" s="1">
        <v>13</v>
      </c>
      <c r="K264" s="5">
        <v>100</v>
      </c>
      <c r="L264" s="17"/>
      <c r="M264" s="1">
        <v>1</v>
      </c>
      <c r="O264" s="1">
        <v>14.1</v>
      </c>
      <c r="P264" s="1">
        <v>12</v>
      </c>
      <c r="Q264" s="1">
        <v>13.9</v>
      </c>
    </row>
    <row r="265" spans="1:24" ht="13" x14ac:dyDescent="0.15">
      <c r="A265" s="7">
        <v>42648</v>
      </c>
      <c r="B265" s="14">
        <v>38</v>
      </c>
      <c r="C265" s="14">
        <v>7</v>
      </c>
      <c r="D265" s="13" t="s">
        <v>90</v>
      </c>
      <c r="E265" s="13" t="s">
        <v>91</v>
      </c>
      <c r="F265" s="3" t="s">
        <v>92</v>
      </c>
      <c r="G265" s="1">
        <v>155.09</v>
      </c>
      <c r="I265" s="1">
        <v>8</v>
      </c>
      <c r="K265" s="5">
        <v>100</v>
      </c>
      <c r="L265" s="17"/>
      <c r="M265" s="1">
        <v>0</v>
      </c>
      <c r="O265" s="1">
        <v>15</v>
      </c>
      <c r="P265" s="1">
        <v>14.3</v>
      </c>
      <c r="Q265" s="1">
        <v>14.8</v>
      </c>
    </row>
    <row r="266" spans="1:24" ht="13" x14ac:dyDescent="0.15">
      <c r="A266" s="7">
        <v>42650</v>
      </c>
      <c r="B266" s="12">
        <v>13</v>
      </c>
      <c r="C266" s="12">
        <v>3</v>
      </c>
      <c r="D266" s="13" t="s">
        <v>31</v>
      </c>
      <c r="E266" s="13" t="s">
        <v>32</v>
      </c>
      <c r="F266" s="3" t="s">
        <v>33</v>
      </c>
      <c r="G266" s="1">
        <f>154.7+154.7+16.32</f>
        <v>325.71999999999997</v>
      </c>
      <c r="I266" s="1">
        <v>10</v>
      </c>
      <c r="K266" s="5">
        <v>65</v>
      </c>
      <c r="L266" s="17"/>
      <c r="M266" s="1">
        <v>0</v>
      </c>
      <c r="O266" s="1">
        <v>16.600000000000001</v>
      </c>
      <c r="P266" s="1">
        <v>15.6</v>
      </c>
      <c r="Q266" s="1">
        <v>17.399999999999999</v>
      </c>
      <c r="R266" s="1">
        <v>0</v>
      </c>
    </row>
    <row r="267" spans="1:24" ht="13" x14ac:dyDescent="0.15">
      <c r="A267" s="7">
        <v>42650</v>
      </c>
      <c r="B267" s="12">
        <v>14</v>
      </c>
      <c r="C267" s="12">
        <v>1</v>
      </c>
      <c r="D267" s="13" t="s">
        <v>56</v>
      </c>
      <c r="E267" s="13" t="s">
        <v>93</v>
      </c>
      <c r="F267" s="3" t="s">
        <v>92</v>
      </c>
      <c r="G267" s="1">
        <f>41.6+79.47+51.6+30.56+27.12+20.34+17.63</f>
        <v>268.32</v>
      </c>
      <c r="I267" s="1">
        <v>11</v>
      </c>
      <c r="K267" s="5">
        <v>95</v>
      </c>
      <c r="L267" s="17"/>
      <c r="M267" s="1">
        <v>3</v>
      </c>
      <c r="O267" s="1">
        <v>13.3</v>
      </c>
      <c r="P267" s="1">
        <v>13.7</v>
      </c>
      <c r="Q267" s="1">
        <v>13.3</v>
      </c>
    </row>
    <row r="268" spans="1:24" ht="13" x14ac:dyDescent="0.15">
      <c r="A268" s="7">
        <v>42650</v>
      </c>
      <c r="B268" s="12">
        <v>16</v>
      </c>
      <c r="C268" s="12">
        <v>1</v>
      </c>
      <c r="D268" s="13" t="s">
        <v>47</v>
      </c>
      <c r="E268" s="13" t="s">
        <v>81</v>
      </c>
      <c r="F268" s="3" t="s">
        <v>68</v>
      </c>
      <c r="G268" s="1">
        <f>45.25+23.06+15.02+8.13+3.31</f>
        <v>94.77</v>
      </c>
      <c r="H268" s="1">
        <f>24.69+31.52+87.29+21.15+35.93</f>
        <v>200.58</v>
      </c>
      <c r="I268" s="1">
        <v>8</v>
      </c>
      <c r="J268" s="1">
        <v>10</v>
      </c>
      <c r="K268" s="17"/>
      <c r="L268" s="17"/>
      <c r="O268" s="1">
        <v>11.9</v>
      </c>
      <c r="P268" s="1">
        <v>11</v>
      </c>
      <c r="Q268" s="1">
        <v>12.7</v>
      </c>
      <c r="X268" s="1" t="s">
        <v>119</v>
      </c>
    </row>
    <row r="269" spans="1:24" ht="13" x14ac:dyDescent="0.15">
      <c r="A269" s="7">
        <v>42650</v>
      </c>
      <c r="B269" s="14">
        <v>16</v>
      </c>
      <c r="C269" s="14">
        <v>1</v>
      </c>
      <c r="D269" s="9" t="s">
        <v>56</v>
      </c>
      <c r="E269" s="9" t="s">
        <v>99</v>
      </c>
      <c r="F269" s="3" t="s">
        <v>92</v>
      </c>
      <c r="G269" s="1">
        <f>38.8+38.53+24.58+15.36+13.21</f>
        <v>130.47999999999999</v>
      </c>
      <c r="H269" s="1">
        <f>154.7+154.7+51.66</f>
        <v>361.05999999999995</v>
      </c>
      <c r="I269" s="1">
        <v>7</v>
      </c>
      <c r="J269" s="1">
        <v>10</v>
      </c>
      <c r="K269" s="5">
        <v>80</v>
      </c>
      <c r="L269" s="5">
        <v>100</v>
      </c>
      <c r="M269" s="1">
        <v>6</v>
      </c>
      <c r="N269" s="1">
        <v>0</v>
      </c>
      <c r="O269" s="1">
        <v>11.6</v>
      </c>
      <c r="P269" s="1">
        <v>12.4</v>
      </c>
      <c r="Q269" s="1">
        <v>9.9</v>
      </c>
    </row>
    <row r="270" spans="1:24" ht="13" x14ac:dyDescent="0.15">
      <c r="A270" s="7">
        <v>42650</v>
      </c>
      <c r="B270" s="12">
        <v>16</v>
      </c>
      <c r="C270" s="12">
        <v>1</v>
      </c>
      <c r="D270" s="13" t="s">
        <v>97</v>
      </c>
      <c r="E270" s="13" t="s">
        <v>86</v>
      </c>
      <c r="F270" s="3" t="s">
        <v>89</v>
      </c>
      <c r="G270" s="1">
        <f>37.68+12.17+11.24+9.02</f>
        <v>70.11</v>
      </c>
      <c r="H270" s="1">
        <v>242.8</v>
      </c>
      <c r="I270" s="1">
        <v>9</v>
      </c>
      <c r="J270" s="1">
        <v>15</v>
      </c>
      <c r="K270" s="17"/>
      <c r="L270" s="5">
        <v>95</v>
      </c>
      <c r="N270" s="1">
        <v>4</v>
      </c>
      <c r="O270" s="1">
        <v>12.5</v>
      </c>
      <c r="P270" s="1">
        <v>13.7</v>
      </c>
      <c r="Q270" s="1">
        <v>11.4</v>
      </c>
      <c r="S270" s="1">
        <v>6</v>
      </c>
    </row>
    <row r="271" spans="1:24" ht="13" x14ac:dyDescent="0.15">
      <c r="A271" s="7">
        <v>42650</v>
      </c>
      <c r="B271" s="12">
        <v>18</v>
      </c>
      <c r="C271" s="12">
        <v>5</v>
      </c>
      <c r="D271" s="13" t="s">
        <v>47</v>
      </c>
      <c r="E271" s="13" t="s">
        <v>49</v>
      </c>
      <c r="F271" s="3" t="s">
        <v>50</v>
      </c>
      <c r="G271" s="1">
        <f>14.94+33.32+40.02+68.95+30.19+26.65+23.33+26.48+13.74</f>
        <v>277.62000000000006</v>
      </c>
      <c r="H271" s="1">
        <f>154.71+154.71+81.39</f>
        <v>390.81</v>
      </c>
      <c r="I271" s="1">
        <v>10</v>
      </c>
      <c r="J271" s="1">
        <v>10</v>
      </c>
      <c r="K271" s="5">
        <v>100</v>
      </c>
      <c r="L271" s="5">
        <v>90</v>
      </c>
      <c r="M271" s="1">
        <v>0</v>
      </c>
      <c r="N271" s="1">
        <v>0</v>
      </c>
      <c r="O271" s="1">
        <v>11.5</v>
      </c>
      <c r="P271" s="1">
        <v>11.6</v>
      </c>
      <c r="Q271" s="1">
        <v>11</v>
      </c>
    </row>
    <row r="272" spans="1:24" ht="13" x14ac:dyDescent="0.15">
      <c r="A272" s="7">
        <v>42650</v>
      </c>
      <c r="B272" s="12">
        <v>18</v>
      </c>
      <c r="C272" s="12">
        <v>5</v>
      </c>
      <c r="D272" s="13" t="s">
        <v>66</v>
      </c>
      <c r="E272" s="13" t="s">
        <v>75</v>
      </c>
      <c r="F272" s="3" t="s">
        <v>50</v>
      </c>
      <c r="G272" s="1">
        <f>20.26+40.59+108.23+44.33+46.05+63.26+52.59+44.51+64.59+34.48+7.65</f>
        <v>526.54000000000008</v>
      </c>
      <c r="I272" s="1">
        <v>11</v>
      </c>
      <c r="K272" s="5">
        <v>45</v>
      </c>
      <c r="L272" s="17"/>
      <c r="M272" s="1">
        <v>1</v>
      </c>
      <c r="O272" s="1">
        <v>12.8</v>
      </c>
      <c r="P272" s="1">
        <v>12.8</v>
      </c>
      <c r="Q272" s="1">
        <v>13.4</v>
      </c>
      <c r="R272" s="1">
        <v>1</v>
      </c>
    </row>
    <row r="273" spans="1:24" ht="13" x14ac:dyDescent="0.15">
      <c r="A273" s="7">
        <v>42650</v>
      </c>
      <c r="B273" s="12">
        <v>18</v>
      </c>
      <c r="C273" s="12">
        <v>5</v>
      </c>
      <c r="D273" s="13" t="s">
        <v>31</v>
      </c>
      <c r="E273" s="13" t="s">
        <v>74</v>
      </c>
      <c r="F273" s="3" t="s">
        <v>50</v>
      </c>
      <c r="G273" s="1">
        <v>0</v>
      </c>
      <c r="H273" s="1">
        <f>154.7+154.71+10.58</f>
        <v>319.98999999999995</v>
      </c>
      <c r="I273" s="1">
        <v>0</v>
      </c>
      <c r="J273" s="1">
        <v>10</v>
      </c>
      <c r="K273" s="5">
        <v>0</v>
      </c>
      <c r="L273" s="5">
        <v>75</v>
      </c>
      <c r="N273" s="1">
        <v>9</v>
      </c>
      <c r="O273" s="1">
        <v>11.6</v>
      </c>
      <c r="P273" s="1">
        <v>13.8</v>
      </c>
      <c r="Q273" s="1">
        <v>12.4</v>
      </c>
      <c r="S273" s="1">
        <v>3</v>
      </c>
    </row>
    <row r="274" spans="1:24" ht="13" x14ac:dyDescent="0.15">
      <c r="A274" s="7">
        <v>42650</v>
      </c>
      <c r="B274" s="14">
        <v>18</v>
      </c>
      <c r="C274" s="14">
        <v>5</v>
      </c>
      <c r="D274" s="9" t="s">
        <v>97</v>
      </c>
      <c r="E274" s="9" t="s">
        <v>88</v>
      </c>
      <c r="F274" s="3" t="s">
        <v>89</v>
      </c>
      <c r="G274" s="1">
        <f>31.59+70.5+38+16.7+10.46</f>
        <v>167.25</v>
      </c>
      <c r="H274" s="1">
        <f>86.68+83.75+49.98</f>
        <v>220.41</v>
      </c>
      <c r="I274" s="1">
        <v>8</v>
      </c>
      <c r="J274" s="1">
        <v>11</v>
      </c>
      <c r="K274" s="5">
        <v>15</v>
      </c>
      <c r="L274" s="5">
        <v>65</v>
      </c>
      <c r="M274" s="1">
        <v>0</v>
      </c>
      <c r="N274" s="1">
        <v>0</v>
      </c>
      <c r="O274" s="1">
        <v>12.2</v>
      </c>
      <c r="P274" s="1">
        <v>9.4</v>
      </c>
      <c r="Q274" s="1">
        <v>11.2</v>
      </c>
      <c r="R274" s="1">
        <v>0</v>
      </c>
      <c r="S274" s="1">
        <v>0</v>
      </c>
    </row>
    <row r="275" spans="1:24" ht="13" x14ac:dyDescent="0.15">
      <c r="A275" s="7">
        <v>42650</v>
      </c>
      <c r="B275" s="12">
        <v>18</v>
      </c>
      <c r="C275" s="12">
        <v>5</v>
      </c>
      <c r="D275" s="13" t="s">
        <v>95</v>
      </c>
      <c r="E275" s="13" t="s">
        <v>96</v>
      </c>
      <c r="F275" s="4" t="s">
        <v>92</v>
      </c>
      <c r="G275" s="1">
        <f>31.02+44.37+60.79+60.98+47.01+38.96+52.06+32.54+27.87</f>
        <v>395.6</v>
      </c>
      <c r="I275" s="1">
        <v>10</v>
      </c>
      <c r="K275" s="5">
        <v>95</v>
      </c>
      <c r="L275" s="17"/>
      <c r="M275" s="1">
        <v>6</v>
      </c>
      <c r="O275" s="1">
        <v>13.5</v>
      </c>
      <c r="P275" s="1">
        <v>13.5</v>
      </c>
      <c r="Q275" s="1">
        <v>12.7</v>
      </c>
      <c r="R275" s="1">
        <v>1</v>
      </c>
    </row>
    <row r="276" spans="1:24" ht="13" x14ac:dyDescent="0.15">
      <c r="A276" s="7">
        <v>42650</v>
      </c>
      <c r="B276" s="12">
        <v>19</v>
      </c>
      <c r="C276" s="12">
        <v>9</v>
      </c>
      <c r="D276" s="13" t="s">
        <v>56</v>
      </c>
      <c r="E276" s="13" t="s">
        <v>57</v>
      </c>
      <c r="F276" s="3" t="s">
        <v>33</v>
      </c>
      <c r="G276" s="1">
        <f>32.66+34.14+22.45+18.48+17.1+47.89+21.26</f>
        <v>193.98000000000002</v>
      </c>
      <c r="H276" s="1">
        <f>43.15+67.83+53.26+47.32+49.31+29.76+65.65+12.31</f>
        <v>368.59</v>
      </c>
      <c r="I276" s="1">
        <v>9</v>
      </c>
      <c r="J276" s="1">
        <v>10</v>
      </c>
      <c r="K276" s="17"/>
      <c r="L276" s="5">
        <v>100</v>
      </c>
      <c r="N276" s="1">
        <v>0</v>
      </c>
      <c r="O276" s="1">
        <v>14.8</v>
      </c>
      <c r="P276" s="1">
        <v>15.2</v>
      </c>
      <c r="Q276" s="1">
        <v>15.2</v>
      </c>
      <c r="S276" s="1">
        <v>0</v>
      </c>
    </row>
    <row r="277" spans="1:24" ht="13" x14ac:dyDescent="0.15">
      <c r="A277" s="7">
        <v>42650</v>
      </c>
      <c r="B277" s="12">
        <v>20</v>
      </c>
      <c r="C277" s="12">
        <v>2</v>
      </c>
      <c r="D277" s="13" t="s">
        <v>47</v>
      </c>
      <c r="E277" s="13" t="s">
        <v>80</v>
      </c>
      <c r="F277" s="3" t="s">
        <v>68</v>
      </c>
      <c r="G277" s="1">
        <v>72.38</v>
      </c>
      <c r="H277" s="1">
        <f>92.3+155+29.6</f>
        <v>276.90000000000003</v>
      </c>
      <c r="I277" s="1">
        <v>6</v>
      </c>
      <c r="J277" s="1">
        <v>10</v>
      </c>
      <c r="K277" s="17"/>
      <c r="L277" s="17"/>
      <c r="N277" s="1">
        <v>0</v>
      </c>
      <c r="O277" s="1">
        <v>12.1</v>
      </c>
      <c r="P277" s="1">
        <v>13.3</v>
      </c>
      <c r="Q277" s="1">
        <v>12.8</v>
      </c>
      <c r="S277" s="1">
        <v>0</v>
      </c>
      <c r="X277" s="1" t="s">
        <v>120</v>
      </c>
    </row>
    <row r="278" spans="1:24" ht="13" x14ac:dyDescent="0.15">
      <c r="A278" s="7">
        <v>42650</v>
      </c>
      <c r="B278" s="12">
        <v>20</v>
      </c>
      <c r="C278" s="12">
        <v>5</v>
      </c>
      <c r="D278" s="13" t="s">
        <v>56</v>
      </c>
      <c r="E278" s="13" t="s">
        <v>76</v>
      </c>
      <c r="F278" s="4" t="s">
        <v>50</v>
      </c>
      <c r="G278" s="1">
        <f>27.25+11.8+17.56</f>
        <v>56.61</v>
      </c>
      <c r="H278" s="1">
        <f>154.7+108.83</f>
        <v>263.52999999999997</v>
      </c>
      <c r="I278" s="1">
        <v>7</v>
      </c>
      <c r="J278" s="1">
        <v>14</v>
      </c>
      <c r="K278" s="17"/>
      <c r="L278" s="5">
        <v>40</v>
      </c>
      <c r="N278" s="1">
        <v>0</v>
      </c>
      <c r="O278" s="1">
        <v>12.8</v>
      </c>
      <c r="P278" s="1">
        <v>12.9</v>
      </c>
      <c r="Q278" s="1">
        <v>12.7</v>
      </c>
    </row>
    <row r="279" spans="1:24" ht="13" x14ac:dyDescent="0.15">
      <c r="A279" s="7">
        <v>42650</v>
      </c>
      <c r="B279" s="14">
        <v>22</v>
      </c>
      <c r="C279" s="14">
        <v>9</v>
      </c>
      <c r="D279" s="9" t="s">
        <v>97</v>
      </c>
      <c r="E279" s="9" t="s">
        <v>101</v>
      </c>
      <c r="F279" s="3" t="s">
        <v>68</v>
      </c>
      <c r="G279" s="1">
        <f>18.89+59.89+39.83+33.34+59+101.88</f>
        <v>312.83</v>
      </c>
      <c r="I279" s="1">
        <v>12</v>
      </c>
      <c r="K279" s="5">
        <v>75</v>
      </c>
      <c r="L279" s="17"/>
      <c r="M279" s="1">
        <v>2</v>
      </c>
      <c r="O279" s="1">
        <v>10.1</v>
      </c>
      <c r="P279" s="1">
        <v>12.4</v>
      </c>
      <c r="Q279" s="1">
        <v>12.7</v>
      </c>
      <c r="R279" s="1">
        <v>2</v>
      </c>
    </row>
    <row r="280" spans="1:24" ht="13" x14ac:dyDescent="0.15">
      <c r="A280" s="7">
        <v>42650</v>
      </c>
      <c r="B280" s="14">
        <v>24</v>
      </c>
      <c r="C280" s="14">
        <v>9</v>
      </c>
      <c r="D280" s="9" t="s">
        <v>97</v>
      </c>
      <c r="E280" s="9" t="s">
        <v>115</v>
      </c>
      <c r="F280" s="3" t="s">
        <v>33</v>
      </c>
      <c r="G280" s="1">
        <f>37.34+118.53+106.61+25.34+31.43+17.02</f>
        <v>336.27</v>
      </c>
      <c r="I280" s="1">
        <v>12</v>
      </c>
      <c r="K280" s="17"/>
      <c r="L280" s="17"/>
      <c r="O280" s="1">
        <v>14.4</v>
      </c>
      <c r="P280" s="1">
        <v>14.9</v>
      </c>
      <c r="Q280" s="1">
        <v>13.1</v>
      </c>
    </row>
    <row r="281" spans="1:24" ht="13" x14ac:dyDescent="0.15">
      <c r="A281" s="7">
        <v>42650</v>
      </c>
      <c r="B281" s="12">
        <v>38</v>
      </c>
      <c r="C281" s="12">
        <v>7</v>
      </c>
      <c r="D281" s="13" t="s">
        <v>70</v>
      </c>
      <c r="E281" s="13" t="s">
        <v>71</v>
      </c>
      <c r="F281" s="3" t="s">
        <v>68</v>
      </c>
      <c r="G281" s="1">
        <f>155+50.85</f>
        <v>205.85</v>
      </c>
      <c r="H281" s="1">
        <f>8.06+30.38+79.4+37.6+31.05+25.62</f>
        <v>212.11</v>
      </c>
      <c r="I281" s="1">
        <v>11</v>
      </c>
      <c r="J281" s="1">
        <v>10</v>
      </c>
      <c r="K281" s="5">
        <v>8</v>
      </c>
      <c r="L281" s="5">
        <v>50</v>
      </c>
      <c r="M281" s="1">
        <v>1</v>
      </c>
      <c r="N281" s="1">
        <v>0</v>
      </c>
      <c r="O281" s="1">
        <v>13</v>
      </c>
      <c r="P281" s="1">
        <v>11.8</v>
      </c>
      <c r="Q281" s="1">
        <v>15</v>
      </c>
      <c r="R281" s="1">
        <v>0</v>
      </c>
      <c r="S281" s="1">
        <v>14</v>
      </c>
      <c r="X281" s="1" t="s">
        <v>121</v>
      </c>
    </row>
    <row r="282" spans="1:24" ht="13" x14ac:dyDescent="0.15">
      <c r="A282" s="7">
        <v>42650</v>
      </c>
      <c r="B282" s="14">
        <v>38</v>
      </c>
      <c r="C282" s="14">
        <v>7</v>
      </c>
      <c r="D282" s="9" t="s">
        <v>56</v>
      </c>
      <c r="E282" s="9" t="s">
        <v>79</v>
      </c>
      <c r="F282" s="3" t="s">
        <v>33</v>
      </c>
      <c r="G282" s="1">
        <f>44.98+67.81+58.01</f>
        <v>170.79999999999998</v>
      </c>
      <c r="H282" s="1">
        <f>26.04+38.38+86.05+46.06+60.59</f>
        <v>257.12</v>
      </c>
      <c r="I282" s="1">
        <v>10</v>
      </c>
      <c r="J282" s="1">
        <v>10</v>
      </c>
      <c r="K282" s="5">
        <v>100</v>
      </c>
      <c r="L282" s="5">
        <v>100</v>
      </c>
      <c r="M282" s="1">
        <v>4</v>
      </c>
      <c r="N282" s="1">
        <v>4</v>
      </c>
      <c r="O282" s="1">
        <v>15.8</v>
      </c>
      <c r="P282" s="1">
        <v>19.3</v>
      </c>
      <c r="Q282" s="1">
        <v>16.8</v>
      </c>
      <c r="R282" s="1">
        <v>3</v>
      </c>
      <c r="S282" s="1">
        <v>6</v>
      </c>
    </row>
    <row r="283" spans="1:24" ht="13" x14ac:dyDescent="0.15">
      <c r="A283" s="7">
        <v>42650</v>
      </c>
      <c r="B283" s="14">
        <v>38</v>
      </c>
      <c r="C283" s="14">
        <v>7</v>
      </c>
      <c r="D283" s="13" t="s">
        <v>66</v>
      </c>
      <c r="E283" s="13" t="s">
        <v>73</v>
      </c>
      <c r="F283" s="3" t="s">
        <v>50</v>
      </c>
      <c r="G283" s="1">
        <f>12.47+37.7+15.3+13.59+8.27</f>
        <v>87.33</v>
      </c>
      <c r="H283" s="1">
        <f>18.41+34.8+27.68+31.22+20.87+25.09</f>
        <v>158.07</v>
      </c>
      <c r="I283" s="1">
        <v>7</v>
      </c>
      <c r="J283" s="1">
        <v>9</v>
      </c>
      <c r="K283" s="5">
        <v>100</v>
      </c>
      <c r="L283" s="5">
        <v>100</v>
      </c>
      <c r="M283" s="1">
        <v>0</v>
      </c>
      <c r="N283" s="1">
        <v>0</v>
      </c>
      <c r="O283" s="1">
        <v>12.6</v>
      </c>
      <c r="P283" s="1">
        <v>13.9</v>
      </c>
      <c r="Q283" s="1">
        <v>13.4</v>
      </c>
    </row>
    <row r="284" spans="1:24" ht="13" x14ac:dyDescent="0.15">
      <c r="A284" s="7">
        <v>42655</v>
      </c>
      <c r="B284" s="12">
        <v>13</v>
      </c>
      <c r="C284" s="12">
        <v>3</v>
      </c>
      <c r="D284" s="13" t="s">
        <v>31</v>
      </c>
      <c r="E284" s="13" t="s">
        <v>32</v>
      </c>
      <c r="F284" s="3" t="s">
        <v>33</v>
      </c>
      <c r="G284" s="1">
        <f>155.07+155.07+1.21</f>
        <v>311.34999999999997</v>
      </c>
      <c r="I284" s="1">
        <v>10</v>
      </c>
      <c r="K284" s="5">
        <v>70</v>
      </c>
      <c r="L284" s="17"/>
      <c r="M284" s="1">
        <v>0</v>
      </c>
      <c r="O284" s="1">
        <v>13.8</v>
      </c>
      <c r="P284" s="1">
        <v>17.100000000000001</v>
      </c>
      <c r="Q284" s="1">
        <v>16.2</v>
      </c>
      <c r="R284" s="1">
        <v>0</v>
      </c>
    </row>
    <row r="285" spans="1:24" ht="13" x14ac:dyDescent="0.15">
      <c r="A285" s="7">
        <v>42655</v>
      </c>
      <c r="B285" s="12">
        <v>14</v>
      </c>
      <c r="C285" s="12">
        <v>1</v>
      </c>
      <c r="D285" s="13" t="s">
        <v>56</v>
      </c>
      <c r="E285" s="13" t="s">
        <v>93</v>
      </c>
      <c r="F285" s="3" t="s">
        <v>92</v>
      </c>
      <c r="G285" s="4">
        <f>76.2+95.68+29.8+26.76+44.02</f>
        <v>272.45999999999998</v>
      </c>
      <c r="I285" s="1">
        <v>11</v>
      </c>
      <c r="K285" s="5">
        <v>100</v>
      </c>
      <c r="L285" s="17"/>
      <c r="M285" s="1">
        <v>4</v>
      </c>
      <c r="O285" s="1">
        <v>15</v>
      </c>
      <c r="P285" s="1">
        <v>15.4</v>
      </c>
      <c r="R285" s="1">
        <v>7</v>
      </c>
    </row>
    <row r="286" spans="1:24" ht="13" x14ac:dyDescent="0.15">
      <c r="A286" s="7">
        <v>42655</v>
      </c>
      <c r="B286" s="14">
        <v>16</v>
      </c>
      <c r="C286" s="14">
        <v>1</v>
      </c>
      <c r="D286" s="9" t="s">
        <v>56</v>
      </c>
      <c r="E286" s="9" t="s">
        <v>99</v>
      </c>
      <c r="F286" s="3" t="s">
        <v>92</v>
      </c>
      <c r="G286" s="1">
        <f>18.67+63.11+41.84+14.12</f>
        <v>137.74</v>
      </c>
      <c r="H286" s="1">
        <f>25.33+75.53+126.15+136.9</f>
        <v>363.90999999999997</v>
      </c>
      <c r="I286" s="1">
        <v>7</v>
      </c>
      <c r="J286" s="1">
        <v>11</v>
      </c>
      <c r="K286" s="5">
        <v>100</v>
      </c>
      <c r="L286" s="5">
        <v>100</v>
      </c>
      <c r="M286" s="1">
        <v>10</v>
      </c>
      <c r="N286" s="1">
        <v>2</v>
      </c>
      <c r="O286" s="1">
        <v>13.7</v>
      </c>
      <c r="P286" s="1">
        <v>13.6</v>
      </c>
      <c r="Q286" s="1">
        <v>12.2</v>
      </c>
      <c r="R286" s="1">
        <v>0</v>
      </c>
      <c r="S286" s="1">
        <v>0</v>
      </c>
    </row>
    <row r="287" spans="1:24" ht="13" x14ac:dyDescent="0.15">
      <c r="A287" s="7">
        <v>42655</v>
      </c>
      <c r="B287" s="12">
        <v>16</v>
      </c>
      <c r="C287" s="12">
        <v>1</v>
      </c>
      <c r="D287" s="13" t="s">
        <v>97</v>
      </c>
      <c r="E287" s="13" t="s">
        <v>86</v>
      </c>
      <c r="F287" s="3" t="s">
        <v>89</v>
      </c>
      <c r="G287" s="1">
        <f>29.04+21.43+24.13</f>
        <v>74.599999999999994</v>
      </c>
      <c r="H287" s="1">
        <f>46.05+57.95+70.01+73.23</f>
        <v>247.24</v>
      </c>
      <c r="I287" s="1">
        <v>9</v>
      </c>
      <c r="J287" s="1">
        <v>15</v>
      </c>
      <c r="K287" s="17"/>
      <c r="L287" s="17"/>
      <c r="O287" s="1">
        <v>13.7</v>
      </c>
      <c r="P287" s="1">
        <v>12.2</v>
      </c>
      <c r="Q287" s="1">
        <v>13.8</v>
      </c>
      <c r="X287" s="1" t="s">
        <v>122</v>
      </c>
    </row>
    <row r="288" spans="1:24" ht="13" x14ac:dyDescent="0.15">
      <c r="A288" s="7">
        <v>42655</v>
      </c>
      <c r="B288" s="12">
        <v>18</v>
      </c>
      <c r="C288" s="12">
        <v>5</v>
      </c>
      <c r="D288" s="13" t="s">
        <v>47</v>
      </c>
      <c r="E288" s="13" t="s">
        <v>49</v>
      </c>
      <c r="F288" s="3" t="s">
        <v>50</v>
      </c>
      <c r="G288" s="1">
        <f>45.97+155.07+86.65</f>
        <v>287.69</v>
      </c>
      <c r="H288" s="1">
        <f>101.7+155.07+155.07</f>
        <v>411.84</v>
      </c>
      <c r="I288" s="1">
        <v>11</v>
      </c>
      <c r="J288" s="1">
        <v>11</v>
      </c>
      <c r="K288" s="5">
        <v>100</v>
      </c>
      <c r="L288" s="5">
        <v>90</v>
      </c>
      <c r="M288" s="1">
        <v>0</v>
      </c>
      <c r="N288" s="1">
        <v>3</v>
      </c>
      <c r="O288" s="1">
        <v>16</v>
      </c>
      <c r="P288" s="1">
        <v>14.9</v>
      </c>
      <c r="Q288" s="1">
        <v>14</v>
      </c>
      <c r="R288" s="1" t="s">
        <v>123</v>
      </c>
      <c r="S288" s="1">
        <v>1</v>
      </c>
    </row>
    <row r="289" spans="1:24" ht="13" x14ac:dyDescent="0.15">
      <c r="A289" s="7">
        <v>42655</v>
      </c>
      <c r="B289" s="12">
        <v>18</v>
      </c>
      <c r="C289" s="12">
        <v>5</v>
      </c>
      <c r="D289" s="13" t="s">
        <v>66</v>
      </c>
      <c r="E289" s="13" t="s">
        <v>75</v>
      </c>
      <c r="F289" s="3" t="s">
        <v>50</v>
      </c>
      <c r="G289" s="1">
        <f>155.07+155.07+155.07+112.75</f>
        <v>577.96</v>
      </c>
      <c r="I289" s="1">
        <v>13</v>
      </c>
      <c r="K289" s="5">
        <v>45</v>
      </c>
      <c r="L289" s="17"/>
      <c r="M289" s="1">
        <v>3</v>
      </c>
      <c r="O289" s="1">
        <v>12.2</v>
      </c>
      <c r="P289" s="1">
        <v>13.3</v>
      </c>
      <c r="Q289" s="1">
        <v>14.1</v>
      </c>
      <c r="R289" s="1">
        <v>2</v>
      </c>
    </row>
    <row r="290" spans="1:24" ht="13" x14ac:dyDescent="0.15">
      <c r="A290" s="7">
        <v>42655</v>
      </c>
      <c r="B290" s="12">
        <v>18</v>
      </c>
      <c r="C290" s="12">
        <v>5</v>
      </c>
      <c r="D290" s="13" t="s">
        <v>31</v>
      </c>
      <c r="E290" s="13" t="s">
        <v>74</v>
      </c>
      <c r="F290" s="3" t="s">
        <v>50</v>
      </c>
      <c r="G290" s="1">
        <v>0</v>
      </c>
      <c r="H290" s="1">
        <f>89.44+155.07+155.07</f>
        <v>399.58</v>
      </c>
      <c r="I290" s="1">
        <v>0</v>
      </c>
      <c r="J290" s="1">
        <v>14</v>
      </c>
      <c r="K290" s="5"/>
      <c r="L290" s="5">
        <v>70</v>
      </c>
      <c r="M290" s="1"/>
      <c r="N290" s="1">
        <v>3</v>
      </c>
      <c r="O290" s="1">
        <v>14.5</v>
      </c>
      <c r="P290" s="1">
        <v>14.3</v>
      </c>
      <c r="Q290" s="1">
        <v>13.3</v>
      </c>
      <c r="R290" s="1"/>
      <c r="S290" s="1">
        <v>1</v>
      </c>
    </row>
    <row r="291" spans="1:24" ht="13" x14ac:dyDescent="0.15">
      <c r="A291" s="7">
        <v>42655</v>
      </c>
      <c r="B291" s="14">
        <v>18</v>
      </c>
      <c r="C291" s="14">
        <v>5</v>
      </c>
      <c r="D291" s="9" t="s">
        <v>97</v>
      </c>
      <c r="E291" s="9" t="s">
        <v>88</v>
      </c>
      <c r="F291" s="3" t="s">
        <v>89</v>
      </c>
      <c r="G291" s="1">
        <f>102.9+65.22</f>
        <v>168.12</v>
      </c>
      <c r="H291" s="1">
        <f>33.49+68.08+58.18+27.91+13.85+32.94</f>
        <v>234.45</v>
      </c>
      <c r="I291" s="1">
        <v>8</v>
      </c>
      <c r="J291" s="1">
        <v>11</v>
      </c>
      <c r="K291" s="5">
        <v>15</v>
      </c>
      <c r="L291" s="5">
        <v>60</v>
      </c>
      <c r="M291" s="1">
        <v>0</v>
      </c>
      <c r="N291" s="1">
        <v>2</v>
      </c>
      <c r="O291" s="1">
        <v>9.8000000000000007</v>
      </c>
      <c r="P291" s="1">
        <v>12.4</v>
      </c>
      <c r="Q291" s="1">
        <v>10.9</v>
      </c>
      <c r="R291" s="1">
        <v>0</v>
      </c>
      <c r="S291" s="1">
        <v>0</v>
      </c>
    </row>
    <row r="292" spans="1:24" ht="13" x14ac:dyDescent="0.15">
      <c r="A292" s="7">
        <v>42655</v>
      </c>
      <c r="B292" s="12">
        <v>18</v>
      </c>
      <c r="C292" s="12">
        <v>5</v>
      </c>
      <c r="D292" s="13" t="s">
        <v>95</v>
      </c>
      <c r="E292" s="13" t="s">
        <v>96</v>
      </c>
      <c r="F292" s="3" t="s">
        <v>92</v>
      </c>
      <c r="G292" s="1">
        <f>31.37+154.7+154.7+55.59</f>
        <v>396.36</v>
      </c>
      <c r="I292" s="1">
        <v>10</v>
      </c>
      <c r="K292" s="5">
        <v>100</v>
      </c>
      <c r="L292" s="17"/>
      <c r="M292" s="1">
        <v>10</v>
      </c>
      <c r="O292" s="1">
        <v>13.1</v>
      </c>
      <c r="P292" s="1">
        <v>13.7</v>
      </c>
      <c r="Q292" s="1">
        <v>16.100000000000001</v>
      </c>
    </row>
    <row r="293" spans="1:24" ht="13" x14ac:dyDescent="0.15">
      <c r="A293" s="7">
        <v>42655</v>
      </c>
      <c r="B293" s="12">
        <v>20</v>
      </c>
      <c r="C293" s="12">
        <v>5</v>
      </c>
      <c r="D293" s="13" t="s">
        <v>56</v>
      </c>
      <c r="E293" s="13" t="s">
        <v>76</v>
      </c>
      <c r="F293" s="3" t="s">
        <v>50</v>
      </c>
      <c r="G293" s="1">
        <f>26.42+11.53+19.3+7.76</f>
        <v>65.010000000000005</v>
      </c>
      <c r="H293" s="1">
        <f>30.51+32.37+117.1+40.29+30.03+41.2</f>
        <v>291.5</v>
      </c>
      <c r="I293" s="1">
        <v>7</v>
      </c>
      <c r="J293" s="1">
        <v>16</v>
      </c>
      <c r="K293" s="17"/>
      <c r="L293" s="5">
        <v>45</v>
      </c>
      <c r="N293" s="1">
        <v>0</v>
      </c>
      <c r="O293" s="1">
        <v>16.399999999999999</v>
      </c>
      <c r="P293" s="1">
        <v>14.8</v>
      </c>
      <c r="Q293" s="1">
        <v>15</v>
      </c>
    </row>
    <row r="294" spans="1:24" ht="13" x14ac:dyDescent="0.15">
      <c r="A294" s="7">
        <v>42655</v>
      </c>
      <c r="B294" s="14">
        <v>22</v>
      </c>
      <c r="C294" s="14">
        <v>9</v>
      </c>
      <c r="D294" s="9" t="s">
        <v>97</v>
      </c>
      <c r="E294" s="9" t="s">
        <v>101</v>
      </c>
      <c r="F294" s="3" t="s">
        <v>68</v>
      </c>
      <c r="G294" s="1">
        <f>16.2+56.3+69.78+89.63+98.41</f>
        <v>330.32</v>
      </c>
      <c r="I294" s="1">
        <v>13</v>
      </c>
      <c r="K294" s="5">
        <v>95</v>
      </c>
      <c r="L294" s="17"/>
      <c r="M294" s="1">
        <v>6</v>
      </c>
      <c r="O294" s="1">
        <v>11.8</v>
      </c>
      <c r="P294" s="1">
        <v>13.2</v>
      </c>
      <c r="Q294" s="1">
        <v>12.6</v>
      </c>
      <c r="R294" s="1">
        <v>4</v>
      </c>
    </row>
    <row r="295" spans="1:24" ht="13" x14ac:dyDescent="0.15">
      <c r="A295" s="7">
        <v>42655</v>
      </c>
      <c r="B295" s="14">
        <v>24</v>
      </c>
      <c r="C295" s="14">
        <v>9</v>
      </c>
      <c r="D295" s="9" t="s">
        <v>97</v>
      </c>
      <c r="E295" s="9" t="s">
        <v>115</v>
      </c>
      <c r="F295" s="3" t="s">
        <v>33</v>
      </c>
      <c r="G295" s="1">
        <f>155.07+155.07+54.74</f>
        <v>364.88</v>
      </c>
      <c r="I295" s="1">
        <v>14</v>
      </c>
      <c r="K295" s="5"/>
      <c r="L295" s="17"/>
      <c r="O295" s="1">
        <v>15.9</v>
      </c>
      <c r="P295" s="1">
        <v>13.9</v>
      </c>
      <c r="Q295" s="1">
        <v>14.4</v>
      </c>
    </row>
    <row r="296" spans="1:24" ht="13" x14ac:dyDescent="0.15">
      <c r="A296" s="7">
        <v>42655</v>
      </c>
      <c r="B296" s="12">
        <v>38</v>
      </c>
      <c r="C296" s="12">
        <v>7</v>
      </c>
      <c r="D296" s="13" t="s">
        <v>70</v>
      </c>
      <c r="E296" s="13" t="s">
        <v>71</v>
      </c>
      <c r="F296" s="3" t="s">
        <v>68</v>
      </c>
      <c r="G296" s="1">
        <f>155.07+57.51</f>
        <v>212.57999999999998</v>
      </c>
      <c r="H296" s="1">
        <f>61.6+17.59+155.08</f>
        <v>234.27</v>
      </c>
      <c r="I296" s="1">
        <v>11</v>
      </c>
      <c r="J296" s="1">
        <v>11</v>
      </c>
      <c r="K296" s="5">
        <v>20</v>
      </c>
      <c r="L296" s="17"/>
      <c r="M296" s="1">
        <v>0</v>
      </c>
      <c r="O296" s="1">
        <v>11</v>
      </c>
      <c r="P296" s="1">
        <v>12.1</v>
      </c>
      <c r="Q296" s="1">
        <v>11.6</v>
      </c>
      <c r="R296" s="1">
        <v>0</v>
      </c>
      <c r="X296" s="1" t="s">
        <v>124</v>
      </c>
    </row>
    <row r="297" spans="1:24" ht="13" x14ac:dyDescent="0.15">
      <c r="A297" s="7">
        <v>42657</v>
      </c>
      <c r="B297" s="12">
        <v>13</v>
      </c>
      <c r="C297" s="12">
        <v>3</v>
      </c>
      <c r="D297" s="13" t="s">
        <v>31</v>
      </c>
      <c r="E297" s="13" t="s">
        <v>32</v>
      </c>
      <c r="F297" s="3" t="s">
        <v>33</v>
      </c>
      <c r="G297" s="1">
        <f>19.8+74.29+41.47+73.5+22.56+29.53+35.94+21.77</f>
        <v>318.85999999999996</v>
      </c>
      <c r="I297" s="1">
        <v>10</v>
      </c>
      <c r="K297" s="5">
        <v>100</v>
      </c>
      <c r="L297" s="17"/>
      <c r="M297" s="1">
        <v>0</v>
      </c>
      <c r="O297" s="1">
        <v>21.2</v>
      </c>
      <c r="P297" s="1">
        <v>20.8</v>
      </c>
      <c r="Q297" s="1">
        <v>20.7</v>
      </c>
      <c r="R297" s="1">
        <v>0</v>
      </c>
    </row>
    <row r="298" spans="1:24" ht="13" x14ac:dyDescent="0.15">
      <c r="A298" s="7">
        <v>42657</v>
      </c>
      <c r="B298" s="12">
        <v>18</v>
      </c>
      <c r="C298" s="12">
        <v>5</v>
      </c>
      <c r="D298" s="13" t="s">
        <v>47</v>
      </c>
      <c r="E298" s="13" t="s">
        <v>49</v>
      </c>
      <c r="F298" s="3" t="s">
        <v>50</v>
      </c>
      <c r="G298" s="1">
        <f>40.89+72.56+60.39+51.28+93.63</f>
        <v>318.75</v>
      </c>
      <c r="H298" s="1">
        <f>100.49+134.91+77.24+52.54+86.59</f>
        <v>451.77</v>
      </c>
      <c r="I298" s="1">
        <v>12</v>
      </c>
      <c r="J298" s="1">
        <v>11</v>
      </c>
      <c r="K298" s="5">
        <v>100</v>
      </c>
      <c r="L298" s="5">
        <v>100</v>
      </c>
      <c r="N298" s="1">
        <v>0</v>
      </c>
      <c r="O298" s="1">
        <v>19.3</v>
      </c>
      <c r="P298" s="1">
        <v>18.8</v>
      </c>
      <c r="Q298" s="1">
        <v>18.600000000000001</v>
      </c>
      <c r="S298" s="1">
        <v>0</v>
      </c>
    </row>
    <row r="299" spans="1:24" ht="13" x14ac:dyDescent="0.15">
      <c r="A299" s="7">
        <v>42657</v>
      </c>
      <c r="B299" s="12">
        <v>18</v>
      </c>
      <c r="C299" s="12">
        <v>5</v>
      </c>
      <c r="D299" s="13" t="s">
        <v>66</v>
      </c>
      <c r="E299" s="13" t="s">
        <v>75</v>
      </c>
      <c r="F299" s="3" t="s">
        <v>50</v>
      </c>
      <c r="G299" s="1">
        <f>19.62+143.04+45.7+46.75+67.96+55.94+45.27+65.76+148.04+22.37</f>
        <v>660.44999999999993</v>
      </c>
      <c r="H299" s="1"/>
      <c r="I299" s="1">
        <v>13</v>
      </c>
      <c r="K299" s="5">
        <v>90</v>
      </c>
      <c r="L299" s="17"/>
      <c r="M299" s="1">
        <v>0</v>
      </c>
      <c r="O299" s="1">
        <v>17.5</v>
      </c>
      <c r="P299" s="1">
        <v>16.600000000000001</v>
      </c>
      <c r="Q299" s="1">
        <v>17</v>
      </c>
      <c r="R299" s="1">
        <v>0</v>
      </c>
    </row>
    <row r="300" spans="1:24" ht="13" x14ac:dyDescent="0.15">
      <c r="A300" s="7">
        <v>42657</v>
      </c>
      <c r="B300" s="12">
        <v>18</v>
      </c>
      <c r="C300" s="12">
        <v>5</v>
      </c>
      <c r="D300" s="13" t="s">
        <v>31</v>
      </c>
      <c r="E300" s="13" t="s">
        <v>74</v>
      </c>
      <c r="F300" s="3" t="s">
        <v>50</v>
      </c>
      <c r="G300" s="1">
        <v>0</v>
      </c>
      <c r="H300" s="1">
        <f>51.44+95.81+114.51+43.68+148.82+21.91</f>
        <v>476.17</v>
      </c>
      <c r="I300" s="1">
        <v>0</v>
      </c>
      <c r="J300" s="1">
        <v>14</v>
      </c>
      <c r="K300" s="17"/>
      <c r="L300" s="5">
        <v>95</v>
      </c>
      <c r="N300" s="1">
        <v>3</v>
      </c>
      <c r="O300" s="1">
        <v>17.5</v>
      </c>
      <c r="P300" s="1">
        <v>17.3</v>
      </c>
      <c r="Q300" s="1">
        <v>18.399999999999999</v>
      </c>
      <c r="S300" s="1">
        <v>0</v>
      </c>
    </row>
    <row r="301" spans="1:24" ht="13" x14ac:dyDescent="0.15">
      <c r="A301" s="7">
        <v>42657</v>
      </c>
      <c r="B301" s="14">
        <v>18</v>
      </c>
      <c r="C301" s="14">
        <v>5</v>
      </c>
      <c r="D301" s="9" t="s">
        <v>97</v>
      </c>
      <c r="E301" s="9" t="s">
        <v>88</v>
      </c>
      <c r="F301" s="3" t="s">
        <v>89</v>
      </c>
      <c r="G301" s="1">
        <f>30.64+72.54+52.6+32.28</f>
        <v>188.06</v>
      </c>
      <c r="H301" s="1">
        <f>90.75+154.71+30.19</f>
        <v>275.65000000000003</v>
      </c>
      <c r="I301" s="1">
        <v>9</v>
      </c>
      <c r="J301" s="1">
        <v>12</v>
      </c>
      <c r="K301" s="5">
        <v>40</v>
      </c>
      <c r="L301" s="5">
        <v>95</v>
      </c>
      <c r="M301" s="1">
        <v>2</v>
      </c>
      <c r="N301" s="1">
        <v>0</v>
      </c>
      <c r="O301" s="1">
        <v>18.5</v>
      </c>
      <c r="P301" s="1">
        <v>17.600000000000001</v>
      </c>
      <c r="Q301" s="1">
        <v>17.399999999999999</v>
      </c>
      <c r="R301" s="1">
        <v>0</v>
      </c>
      <c r="S301" s="1">
        <v>0</v>
      </c>
    </row>
    <row r="302" spans="1:24" ht="13" x14ac:dyDescent="0.15">
      <c r="A302" s="7">
        <v>42657</v>
      </c>
      <c r="B302" s="12">
        <v>20</v>
      </c>
      <c r="C302" s="12">
        <v>5</v>
      </c>
      <c r="D302" s="13" t="s">
        <v>56</v>
      </c>
      <c r="E302" s="13" t="s">
        <v>76</v>
      </c>
      <c r="F302" s="3" t="s">
        <v>50</v>
      </c>
      <c r="G302" s="1">
        <f>25.99+11.03+32.15</f>
        <v>69.169999999999987</v>
      </c>
      <c r="H302" s="1">
        <f>31.56+103.21+65.41+125.92</f>
        <v>326.09999999999997</v>
      </c>
      <c r="I302" s="1">
        <v>8</v>
      </c>
      <c r="J302" s="1">
        <v>16</v>
      </c>
      <c r="K302" s="17"/>
      <c r="L302" s="5">
        <v>95</v>
      </c>
      <c r="N302" s="1">
        <v>0</v>
      </c>
      <c r="O302" s="1">
        <v>17.2</v>
      </c>
      <c r="P302" s="1">
        <v>16.5</v>
      </c>
      <c r="Q302" s="1">
        <v>16.5</v>
      </c>
      <c r="S302" s="1">
        <v>0</v>
      </c>
    </row>
    <row r="303" spans="1:24" ht="13" x14ac:dyDescent="0.15">
      <c r="A303" s="7">
        <v>42657</v>
      </c>
      <c r="B303" s="14">
        <v>22</v>
      </c>
      <c r="C303" s="14">
        <v>9</v>
      </c>
      <c r="D303" s="9" t="s">
        <v>97</v>
      </c>
      <c r="E303" s="9" t="s">
        <v>101</v>
      </c>
      <c r="F303" s="3" t="s">
        <v>68</v>
      </c>
      <c r="G303" s="1">
        <f>14.12+58.83+70.04+90.99+111.85</f>
        <v>345.83000000000004</v>
      </c>
      <c r="I303" s="1">
        <v>14</v>
      </c>
      <c r="K303" s="5">
        <v>100</v>
      </c>
      <c r="L303" s="17"/>
      <c r="M303" s="1">
        <v>1</v>
      </c>
      <c r="O303" s="1">
        <v>18.7</v>
      </c>
      <c r="P303" s="1">
        <v>20</v>
      </c>
      <c r="Q303" s="1">
        <v>20.100000000000001</v>
      </c>
    </row>
    <row r="304" spans="1:24" ht="13" x14ac:dyDescent="0.15">
      <c r="A304" s="7">
        <v>42660</v>
      </c>
      <c r="B304" s="5">
        <v>18</v>
      </c>
      <c r="C304" s="5">
        <v>5</v>
      </c>
      <c r="D304" s="5" t="s">
        <v>66</v>
      </c>
      <c r="E304" s="5" t="s">
        <v>75</v>
      </c>
      <c r="F304" s="1" t="s">
        <v>50</v>
      </c>
      <c r="G304" s="1">
        <v>711.74</v>
      </c>
      <c r="H304" s="1"/>
      <c r="I304" s="1">
        <v>14</v>
      </c>
      <c r="K304" s="5">
        <v>95</v>
      </c>
      <c r="L304" s="17"/>
      <c r="M304" s="1">
        <v>1</v>
      </c>
      <c r="O304" s="1">
        <v>20.399999999999999</v>
      </c>
      <c r="P304" s="1">
        <v>19.2</v>
      </c>
      <c r="Q304" s="1">
        <v>19</v>
      </c>
      <c r="R304" s="1">
        <v>0</v>
      </c>
    </row>
    <row r="305" spans="1:24" ht="13" x14ac:dyDescent="0.15">
      <c r="A305" s="7">
        <v>42660</v>
      </c>
      <c r="B305" s="5">
        <v>18</v>
      </c>
      <c r="C305" s="5">
        <v>5</v>
      </c>
      <c r="D305" s="5" t="s">
        <v>31</v>
      </c>
      <c r="E305" s="5" t="s">
        <v>74</v>
      </c>
      <c r="F305" s="1" t="s">
        <v>50</v>
      </c>
      <c r="G305" s="1">
        <v>0</v>
      </c>
      <c r="H305" s="1">
        <v>531.19000000000005</v>
      </c>
      <c r="I305" s="1">
        <v>0</v>
      </c>
      <c r="J305" s="1">
        <v>14</v>
      </c>
      <c r="K305" s="17"/>
      <c r="L305" s="5">
        <v>95</v>
      </c>
      <c r="N305" s="1">
        <v>0</v>
      </c>
      <c r="O305" s="1">
        <v>15.7</v>
      </c>
      <c r="P305" s="1">
        <v>18.8</v>
      </c>
      <c r="Q305" s="1">
        <v>16.100000000000001</v>
      </c>
      <c r="S305" s="1">
        <v>0</v>
      </c>
    </row>
    <row r="306" spans="1:24" ht="13" x14ac:dyDescent="0.15">
      <c r="A306" s="7">
        <v>42660</v>
      </c>
      <c r="B306" s="5">
        <v>18</v>
      </c>
      <c r="C306" s="5">
        <v>5</v>
      </c>
      <c r="D306" s="5" t="s">
        <v>97</v>
      </c>
      <c r="E306" s="5" t="s">
        <v>88</v>
      </c>
      <c r="F306" s="1" t="s">
        <v>89</v>
      </c>
      <c r="G306" s="1">
        <f>154.71+46.41</f>
        <v>201.12</v>
      </c>
      <c r="H306" s="1">
        <v>284.38</v>
      </c>
      <c r="I306" s="1">
        <v>10</v>
      </c>
      <c r="J306" s="1">
        <v>12</v>
      </c>
      <c r="K306" s="5">
        <v>25</v>
      </c>
      <c r="L306" s="5">
        <v>100</v>
      </c>
      <c r="M306" s="1">
        <v>0</v>
      </c>
      <c r="N306" s="1">
        <v>0</v>
      </c>
      <c r="O306" s="1">
        <v>19.600000000000001</v>
      </c>
      <c r="P306" s="1">
        <v>17.899999999999999</v>
      </c>
      <c r="Q306" s="1">
        <v>18.8</v>
      </c>
      <c r="R306" s="1">
        <v>1</v>
      </c>
      <c r="S306" s="1">
        <v>0</v>
      </c>
    </row>
    <row r="307" spans="1:24" ht="13" x14ac:dyDescent="0.15">
      <c r="A307" s="7">
        <v>42660</v>
      </c>
      <c r="B307" s="5">
        <v>20</v>
      </c>
      <c r="C307" s="5">
        <v>5</v>
      </c>
      <c r="D307" s="5" t="s">
        <v>56</v>
      </c>
      <c r="E307" s="5" t="s">
        <v>76</v>
      </c>
      <c r="F307" s="1" t="s">
        <v>50</v>
      </c>
      <c r="G307" s="1">
        <v>78.180000000000007</v>
      </c>
      <c r="H307" s="1">
        <v>382.56</v>
      </c>
      <c r="I307" s="1">
        <v>9</v>
      </c>
      <c r="J307" s="1">
        <v>18</v>
      </c>
      <c r="K307" s="17"/>
      <c r="L307" s="5">
        <v>45</v>
      </c>
      <c r="N307" s="1">
        <v>0</v>
      </c>
      <c r="O307" s="1">
        <v>19.399999999999999</v>
      </c>
      <c r="P307" s="1">
        <v>18</v>
      </c>
      <c r="Q307" s="1">
        <v>18.3</v>
      </c>
      <c r="S307" s="1">
        <v>0</v>
      </c>
    </row>
    <row r="308" spans="1:24" ht="13" x14ac:dyDescent="0.15">
      <c r="A308" s="7">
        <v>42662</v>
      </c>
      <c r="B308" s="5">
        <v>18</v>
      </c>
      <c r="C308" s="5">
        <v>5</v>
      </c>
      <c r="D308" s="5" t="s">
        <v>66</v>
      </c>
      <c r="E308" s="5" t="s">
        <v>75</v>
      </c>
      <c r="F308" s="1" t="s">
        <v>50</v>
      </c>
      <c r="G308" s="1">
        <f>96.96+154.72+154.72+154.72+154.72</f>
        <v>715.84</v>
      </c>
      <c r="I308" s="1">
        <v>15</v>
      </c>
      <c r="K308" s="5">
        <v>60</v>
      </c>
      <c r="L308" s="17"/>
      <c r="M308" s="1">
        <v>0</v>
      </c>
      <c r="O308" s="1">
        <v>14.2</v>
      </c>
      <c r="P308" s="1">
        <v>14.9</v>
      </c>
      <c r="Q308" s="1">
        <v>14</v>
      </c>
      <c r="R308" s="1">
        <v>0</v>
      </c>
    </row>
    <row r="309" spans="1:24" ht="13" x14ac:dyDescent="0.15">
      <c r="A309" s="7">
        <v>42662</v>
      </c>
      <c r="B309" s="5">
        <v>18</v>
      </c>
      <c r="C309" s="5">
        <v>5</v>
      </c>
      <c r="D309" s="5" t="s">
        <v>31</v>
      </c>
      <c r="E309" s="5" t="s">
        <v>74</v>
      </c>
      <c r="F309" s="1" t="s">
        <v>50</v>
      </c>
      <c r="G309" s="1">
        <v>0</v>
      </c>
      <c r="H309" s="1">
        <f>154.71+154.71+154.71+72.56</f>
        <v>536.69000000000005</v>
      </c>
      <c r="I309" s="1">
        <v>0</v>
      </c>
      <c r="J309" s="1">
        <v>15</v>
      </c>
      <c r="K309" s="5"/>
      <c r="L309" s="5">
        <v>70</v>
      </c>
      <c r="M309" s="1">
        <v>0</v>
      </c>
      <c r="O309" s="1">
        <v>15</v>
      </c>
      <c r="P309" s="1">
        <v>15.4</v>
      </c>
      <c r="Q309" s="1">
        <v>14.9</v>
      </c>
      <c r="R309" s="1">
        <v>0</v>
      </c>
    </row>
    <row r="310" spans="1:24" ht="13" x14ac:dyDescent="0.15">
      <c r="A310" s="7">
        <v>42662</v>
      </c>
      <c r="B310" s="5">
        <v>18</v>
      </c>
      <c r="C310" s="5">
        <v>5</v>
      </c>
      <c r="D310" s="5" t="s">
        <v>97</v>
      </c>
      <c r="E310" s="5" t="s">
        <v>88</v>
      </c>
      <c r="F310" s="1" t="s">
        <v>89</v>
      </c>
      <c r="G310" s="1">
        <v>212.09</v>
      </c>
      <c r="H310" s="1">
        <f>33.59+70.57+81.12+100.43</f>
        <v>285.71000000000004</v>
      </c>
      <c r="I310" s="1">
        <v>11</v>
      </c>
      <c r="J310" s="1">
        <v>14</v>
      </c>
      <c r="K310" s="17"/>
      <c r="L310" s="5">
        <v>70</v>
      </c>
      <c r="N310" s="1">
        <v>0</v>
      </c>
      <c r="O310" s="1">
        <v>14.5</v>
      </c>
      <c r="P310" s="1">
        <v>12.2</v>
      </c>
      <c r="Q310" s="1">
        <v>12</v>
      </c>
      <c r="S310" s="1">
        <v>0</v>
      </c>
      <c r="X310" s="1">
        <v>43</v>
      </c>
    </row>
    <row r="311" spans="1:24" ht="13" x14ac:dyDescent="0.15">
      <c r="A311" s="7">
        <v>42662</v>
      </c>
      <c r="B311" s="5">
        <v>20</v>
      </c>
      <c r="C311" s="5">
        <v>5</v>
      </c>
      <c r="D311" s="5" t="s">
        <v>56</v>
      </c>
      <c r="E311" s="5" t="s">
        <v>76</v>
      </c>
      <c r="F311" s="1" t="s">
        <v>50</v>
      </c>
      <c r="G311" s="1">
        <v>80.77</v>
      </c>
      <c r="H311" s="1">
        <f>154.49+154.49+79.68</f>
        <v>388.66</v>
      </c>
      <c r="I311" s="1">
        <v>8</v>
      </c>
      <c r="J311" s="1">
        <v>18</v>
      </c>
      <c r="K311" s="17"/>
      <c r="L311" s="5">
        <v>50</v>
      </c>
      <c r="N311" s="1">
        <v>0</v>
      </c>
      <c r="O311" s="1">
        <v>15</v>
      </c>
      <c r="P311" s="1">
        <v>14.5</v>
      </c>
      <c r="Q311" s="1">
        <v>14.4</v>
      </c>
      <c r="S311" s="1">
        <v>0</v>
      </c>
    </row>
    <row r="312" spans="1:24" ht="13" x14ac:dyDescent="0.15">
      <c r="A312" s="7">
        <v>42664</v>
      </c>
      <c r="B312" s="5">
        <v>18</v>
      </c>
      <c r="C312" s="5">
        <v>5</v>
      </c>
      <c r="D312" s="5" t="s">
        <v>66</v>
      </c>
      <c r="E312" s="5" t="s">
        <v>75</v>
      </c>
      <c r="F312" s="1" t="s">
        <v>50</v>
      </c>
      <c r="G312" s="1">
        <f>154.71+154.71+154.71+154.71+130.12</f>
        <v>748.96</v>
      </c>
      <c r="I312" s="1">
        <v>10</v>
      </c>
      <c r="K312" s="5">
        <v>75</v>
      </c>
      <c r="L312" s="17"/>
      <c r="M312" s="1">
        <v>1</v>
      </c>
      <c r="O312" s="1">
        <v>14.6</v>
      </c>
      <c r="P312" s="1">
        <v>14.9</v>
      </c>
      <c r="Q312" s="1">
        <v>14.1</v>
      </c>
      <c r="R312" s="1">
        <v>0</v>
      </c>
    </row>
    <row r="313" spans="1:24" ht="13" x14ac:dyDescent="0.15">
      <c r="A313" s="7">
        <v>42664</v>
      </c>
      <c r="B313" s="5">
        <v>18</v>
      </c>
      <c r="C313" s="5">
        <v>5</v>
      </c>
      <c r="D313" s="5" t="s">
        <v>31</v>
      </c>
      <c r="E313" s="5" t="s">
        <v>74</v>
      </c>
      <c r="F313" s="1" t="s">
        <v>50</v>
      </c>
      <c r="G313" s="1">
        <v>0</v>
      </c>
      <c r="H313" s="1">
        <f>154.71+154.71+154.71+109.65</f>
        <v>573.78</v>
      </c>
      <c r="I313" s="1">
        <v>1</v>
      </c>
      <c r="J313" s="1">
        <v>10</v>
      </c>
      <c r="K313" s="17"/>
      <c r="L313" s="5">
        <v>85</v>
      </c>
      <c r="N313" s="1">
        <v>0</v>
      </c>
      <c r="O313" s="1">
        <v>12.8</v>
      </c>
      <c r="P313" s="1">
        <v>13.9</v>
      </c>
      <c r="Q313" s="1">
        <v>14.1</v>
      </c>
      <c r="R313" s="1"/>
      <c r="S313" s="1">
        <v>0</v>
      </c>
    </row>
    <row r="314" spans="1:24" ht="13" x14ac:dyDescent="0.15">
      <c r="A314" s="7">
        <v>42664</v>
      </c>
      <c r="B314" s="5">
        <v>18</v>
      </c>
      <c r="C314" s="5">
        <v>5</v>
      </c>
      <c r="D314" s="5" t="s">
        <v>97</v>
      </c>
      <c r="E314" s="5" t="s">
        <v>88</v>
      </c>
      <c r="F314" s="1" t="s">
        <v>89</v>
      </c>
      <c r="G314" s="1">
        <f>100.92+117.53</f>
        <v>218.45</v>
      </c>
      <c r="H314" s="1">
        <f>154.71+133.46</f>
        <v>288.17</v>
      </c>
      <c r="I314" s="1">
        <v>10</v>
      </c>
      <c r="J314" s="1">
        <v>14</v>
      </c>
      <c r="K314" s="17"/>
      <c r="L314" s="5">
        <v>90</v>
      </c>
      <c r="O314" s="1">
        <v>14.3</v>
      </c>
      <c r="P314" s="1">
        <v>12.1</v>
      </c>
      <c r="Q314" s="1">
        <v>14.7</v>
      </c>
      <c r="R314" s="1">
        <v>0</v>
      </c>
    </row>
    <row r="315" spans="1:24" ht="13" x14ac:dyDescent="0.15">
      <c r="A315" s="7">
        <v>42664</v>
      </c>
      <c r="B315" s="5">
        <v>20</v>
      </c>
      <c r="C315" s="5">
        <v>5</v>
      </c>
      <c r="D315" s="5" t="s">
        <v>56</v>
      </c>
      <c r="E315" s="5" t="s">
        <v>76</v>
      </c>
      <c r="F315" s="1" t="s">
        <v>50</v>
      </c>
      <c r="G315" s="1">
        <v>81.569999999999993</v>
      </c>
      <c r="H315" s="1">
        <f>154.72+154.55+111.38</f>
        <v>420.65</v>
      </c>
      <c r="I315" s="1">
        <v>10</v>
      </c>
      <c r="J315" s="1">
        <v>20</v>
      </c>
      <c r="K315" s="17"/>
      <c r="L315" s="5">
        <v>85</v>
      </c>
      <c r="N315" s="1">
        <v>0</v>
      </c>
      <c r="O315" s="1">
        <v>12.4</v>
      </c>
      <c r="P315" s="1">
        <v>13.5</v>
      </c>
      <c r="Q315" s="1">
        <v>13.5</v>
      </c>
      <c r="R315" s="1">
        <v>0</v>
      </c>
    </row>
    <row r="316" spans="1:24" ht="13" x14ac:dyDescent="0.15">
      <c r="A316" s="7">
        <v>42667</v>
      </c>
      <c r="B316" s="5">
        <v>18</v>
      </c>
      <c r="C316" s="5">
        <v>5</v>
      </c>
      <c r="D316" s="5" t="s">
        <v>66</v>
      </c>
      <c r="E316" s="5" t="s">
        <v>75</v>
      </c>
      <c r="F316" s="1" t="s">
        <v>50</v>
      </c>
      <c r="G316" s="1">
        <f>19.54+142.81+154.72+154.7+154.71+125.36</f>
        <v>751.84</v>
      </c>
      <c r="I316" s="1">
        <v>16</v>
      </c>
      <c r="K316" s="5">
        <v>75</v>
      </c>
      <c r="L316" s="17"/>
      <c r="M316" s="1">
        <v>0</v>
      </c>
      <c r="O316" s="1">
        <v>14.1</v>
      </c>
      <c r="P316" s="1">
        <v>15.2</v>
      </c>
      <c r="Q316" s="1">
        <v>14.8</v>
      </c>
      <c r="R316" s="1">
        <v>0</v>
      </c>
    </row>
    <row r="317" spans="1:24" ht="13" x14ac:dyDescent="0.15">
      <c r="A317" s="7">
        <v>42667</v>
      </c>
      <c r="B317" s="5">
        <v>18</v>
      </c>
      <c r="C317" s="5">
        <v>5</v>
      </c>
      <c r="D317" s="5" t="s">
        <v>31</v>
      </c>
      <c r="E317" s="5" t="s">
        <v>74</v>
      </c>
      <c r="F317" s="1" t="s">
        <v>50</v>
      </c>
      <c r="G317" s="1">
        <v>0</v>
      </c>
      <c r="H317" s="1">
        <f>112.05+154.45+154.45+154.45</f>
        <v>575.4</v>
      </c>
      <c r="I317" s="1">
        <v>1</v>
      </c>
      <c r="J317" s="1">
        <v>16</v>
      </c>
      <c r="K317" s="17"/>
      <c r="L317" s="5">
        <v>85</v>
      </c>
      <c r="N317" s="1">
        <v>0</v>
      </c>
      <c r="O317" s="1">
        <v>15.3</v>
      </c>
      <c r="P317" s="1">
        <v>14.7</v>
      </c>
      <c r="Q317" s="1">
        <v>14.4</v>
      </c>
      <c r="S317" s="1">
        <v>0</v>
      </c>
    </row>
    <row r="318" spans="1:24" ht="13" x14ac:dyDescent="0.15">
      <c r="A318" s="7">
        <v>42667</v>
      </c>
      <c r="B318" s="5">
        <v>18</v>
      </c>
      <c r="C318" s="5">
        <v>5</v>
      </c>
      <c r="D318" s="5" t="s">
        <v>97</v>
      </c>
      <c r="E318" s="5" t="s">
        <v>88</v>
      </c>
      <c r="F318" s="1" t="s">
        <v>89</v>
      </c>
      <c r="G318" s="1">
        <f>154.71+69.66</f>
        <v>224.37</v>
      </c>
      <c r="H318" s="1">
        <f>117.51+154.61+31.55</f>
        <v>303.67</v>
      </c>
      <c r="I318" s="1">
        <v>10</v>
      </c>
      <c r="J318" s="1">
        <v>14</v>
      </c>
      <c r="K318" s="17"/>
      <c r="L318" s="5">
        <v>90</v>
      </c>
      <c r="N318" s="1">
        <v>0</v>
      </c>
      <c r="O318" s="1">
        <v>15.7</v>
      </c>
      <c r="P318" s="1">
        <v>14.4</v>
      </c>
      <c r="Q318" s="1">
        <v>13.1</v>
      </c>
      <c r="S318" s="1">
        <v>0</v>
      </c>
      <c r="X318" s="1">
        <v>43</v>
      </c>
    </row>
    <row r="319" spans="1:24" ht="13" x14ac:dyDescent="0.15">
      <c r="A319" s="7">
        <v>42667</v>
      </c>
      <c r="B319" s="5">
        <v>20</v>
      </c>
      <c r="C319" s="5">
        <v>5</v>
      </c>
      <c r="D319" s="5" t="s">
        <v>56</v>
      </c>
      <c r="E319" s="5" t="s">
        <v>76</v>
      </c>
      <c r="F319" s="1" t="s">
        <v>50</v>
      </c>
      <c r="G319" s="1">
        <v>83.33</v>
      </c>
      <c r="H319" s="1">
        <f>33.44+154.71+154.71+91.58</f>
        <v>434.44</v>
      </c>
      <c r="I319" s="1">
        <v>10</v>
      </c>
      <c r="J319" s="1">
        <v>21</v>
      </c>
      <c r="K319" s="17"/>
      <c r="L319" s="5">
        <v>85</v>
      </c>
      <c r="N319" s="1">
        <v>0</v>
      </c>
      <c r="O319" s="1">
        <v>15.9</v>
      </c>
      <c r="P319" s="1">
        <v>14.1</v>
      </c>
      <c r="Q319" s="1">
        <v>16.600000000000001</v>
      </c>
      <c r="S319" s="1">
        <v>0</v>
      </c>
    </row>
    <row r="320" spans="1:24" ht="13" x14ac:dyDescent="0.15">
      <c r="A320" s="7">
        <v>42669</v>
      </c>
      <c r="B320" s="5">
        <v>18</v>
      </c>
      <c r="C320" s="5">
        <v>5</v>
      </c>
      <c r="D320" s="5" t="s">
        <v>66</v>
      </c>
      <c r="E320" s="5" t="s">
        <v>75</v>
      </c>
      <c r="F320" s="1" t="s">
        <v>50</v>
      </c>
      <c r="G320" s="1">
        <f>154.45+154.45+154.45+154.45+145.28</f>
        <v>763.07999999999993</v>
      </c>
      <c r="I320" s="1">
        <v>10</v>
      </c>
      <c r="K320" s="5">
        <v>70</v>
      </c>
      <c r="L320" s="17"/>
      <c r="M320" s="1">
        <v>0</v>
      </c>
      <c r="O320" s="1">
        <v>16.100000000000001</v>
      </c>
      <c r="P320" s="1">
        <v>17.8</v>
      </c>
      <c r="Q320" s="1">
        <v>16.600000000000001</v>
      </c>
      <c r="R320" s="1">
        <v>0</v>
      </c>
    </row>
    <row r="321" spans="1:19" ht="13" x14ac:dyDescent="0.15">
      <c r="A321" s="7">
        <v>42669</v>
      </c>
      <c r="B321" s="5">
        <v>18</v>
      </c>
      <c r="C321" s="5">
        <v>5</v>
      </c>
      <c r="D321" s="5" t="s">
        <v>31</v>
      </c>
      <c r="E321" s="5" t="s">
        <v>74</v>
      </c>
      <c r="F321" s="1" t="s">
        <v>50</v>
      </c>
      <c r="G321" s="1">
        <v>0</v>
      </c>
      <c r="H321" s="1">
        <f>154.7+154.67+154.63+114.6</f>
        <v>578.6</v>
      </c>
      <c r="I321" s="1">
        <v>2</v>
      </c>
      <c r="J321" s="1">
        <v>10</v>
      </c>
      <c r="K321" s="17"/>
      <c r="L321" s="5">
        <v>75</v>
      </c>
      <c r="N321" s="1">
        <v>0</v>
      </c>
      <c r="O321" s="1">
        <v>15.8</v>
      </c>
      <c r="P321" s="1">
        <v>15.7</v>
      </c>
      <c r="Q321" s="1">
        <v>17</v>
      </c>
      <c r="S321" s="1">
        <v>0</v>
      </c>
    </row>
    <row r="322" spans="1:19" ht="13" x14ac:dyDescent="0.15">
      <c r="A322" s="7">
        <v>42669</v>
      </c>
      <c r="B322" s="5">
        <v>18</v>
      </c>
      <c r="C322" s="5">
        <v>5</v>
      </c>
      <c r="D322" s="5" t="s">
        <v>97</v>
      </c>
      <c r="E322" s="5" t="s">
        <v>88</v>
      </c>
      <c r="F322" s="1" t="s">
        <v>89</v>
      </c>
      <c r="G322" s="1">
        <f>105.37+35.67+19.47+20.07+57.36</f>
        <v>237.94</v>
      </c>
      <c r="H322" s="1">
        <f>31.65+101.21+51.94+12.92+11.54+38.17+26.56+24.62+30.38</f>
        <v>328.98999999999995</v>
      </c>
      <c r="I322" s="1">
        <v>10</v>
      </c>
      <c r="J322" s="1">
        <v>14</v>
      </c>
      <c r="K322" s="17"/>
      <c r="L322" s="5">
        <v>100</v>
      </c>
      <c r="N322" s="1">
        <v>0</v>
      </c>
      <c r="O322" s="1">
        <v>15.6</v>
      </c>
      <c r="P322" s="1">
        <v>16.100000000000001</v>
      </c>
      <c r="Q322" s="1">
        <v>15.3</v>
      </c>
      <c r="S322" s="1">
        <v>0</v>
      </c>
    </row>
    <row r="323" spans="1:19" ht="13" x14ac:dyDescent="0.15">
      <c r="A323" s="7">
        <v>42669</v>
      </c>
      <c r="B323" s="5">
        <v>20</v>
      </c>
      <c r="C323" s="5">
        <v>5</v>
      </c>
      <c r="D323" s="5" t="s">
        <v>56</v>
      </c>
      <c r="E323" s="5" t="s">
        <v>76</v>
      </c>
      <c r="F323" s="1" t="s">
        <v>50</v>
      </c>
      <c r="G323" s="1">
        <f>24.13+11.84+9.6+13.59+29.42</f>
        <v>88.58</v>
      </c>
      <c r="H323" s="1">
        <f>34.63+32.58+73.93+46.35+20.79+43.6+26+77.4+28.27+105.8</f>
        <v>489.34999999999997</v>
      </c>
      <c r="I323" s="1">
        <v>10</v>
      </c>
      <c r="J323" s="1">
        <v>24</v>
      </c>
      <c r="K323" s="17"/>
      <c r="L323" s="5">
        <v>100</v>
      </c>
      <c r="N323" s="1">
        <v>0</v>
      </c>
      <c r="O323" s="1">
        <v>17.600000000000001</v>
      </c>
      <c r="P323" s="1">
        <v>15.2</v>
      </c>
      <c r="Q323" s="1">
        <v>17.100000000000001</v>
      </c>
      <c r="S323" s="1">
        <v>0</v>
      </c>
    </row>
    <row r="324" spans="1:19" ht="13" x14ac:dyDescent="0.15">
      <c r="A324" s="7">
        <v>42671</v>
      </c>
      <c r="B324" s="5">
        <v>18</v>
      </c>
      <c r="C324" s="5">
        <v>5</v>
      </c>
      <c r="D324" s="5" t="s">
        <v>66</v>
      </c>
      <c r="E324" s="5" t="s">
        <v>75</v>
      </c>
      <c r="F324" s="1" t="s">
        <v>50</v>
      </c>
      <c r="G324" s="1">
        <f>20.3+146.15+89.44+67.53+99.47+63.67+121.58+124.42+52.33</f>
        <v>784.89</v>
      </c>
      <c r="I324" s="1">
        <v>11</v>
      </c>
      <c r="K324" s="5">
        <v>70</v>
      </c>
      <c r="L324" s="17"/>
      <c r="M324" s="1">
        <v>0</v>
      </c>
      <c r="O324" s="1">
        <v>14.1</v>
      </c>
      <c r="P324" s="1">
        <v>15.2</v>
      </c>
      <c r="Q324" s="1">
        <v>13.6</v>
      </c>
      <c r="R324" s="1">
        <v>0</v>
      </c>
    </row>
    <row r="325" spans="1:19" ht="13" x14ac:dyDescent="0.15">
      <c r="A325" s="7">
        <v>42671</v>
      </c>
      <c r="B325" s="5">
        <v>18</v>
      </c>
      <c r="C325" s="5">
        <v>5</v>
      </c>
      <c r="D325" s="5" t="s">
        <v>31</v>
      </c>
      <c r="E325" s="5" t="s">
        <v>74</v>
      </c>
      <c r="F325" s="1" t="s">
        <v>50</v>
      </c>
      <c r="G325" s="1">
        <v>0</v>
      </c>
      <c r="H325" s="1">
        <f>50.16+96.44+114.86+42.75+113.83+76.64+55.98+42.63</f>
        <v>593.29</v>
      </c>
      <c r="I325" s="1">
        <v>2</v>
      </c>
      <c r="J325" s="1">
        <v>11</v>
      </c>
      <c r="K325" s="17"/>
      <c r="L325" s="5">
        <v>80</v>
      </c>
      <c r="N325" s="1">
        <v>0</v>
      </c>
      <c r="O325" s="1">
        <v>13.8</v>
      </c>
      <c r="P325" s="1">
        <v>12.3</v>
      </c>
      <c r="Q325" s="1">
        <v>12.9</v>
      </c>
      <c r="S325" s="1">
        <v>0</v>
      </c>
    </row>
    <row r="326" spans="1:19" ht="13" x14ac:dyDescent="0.15">
      <c r="A326" s="7">
        <v>42674</v>
      </c>
      <c r="B326" s="5">
        <v>18</v>
      </c>
      <c r="C326" s="5">
        <v>5</v>
      </c>
      <c r="D326" s="5" t="s">
        <v>66</v>
      </c>
      <c r="E326" s="5" t="s">
        <v>75</v>
      </c>
      <c r="F326" s="1" t="s">
        <v>50</v>
      </c>
      <c r="G326" s="1">
        <f>154.72+154.72+154.72+154.72+154.72</f>
        <v>773.6</v>
      </c>
      <c r="I326" s="1">
        <v>11</v>
      </c>
      <c r="K326" s="5">
        <v>70</v>
      </c>
      <c r="L326" s="17"/>
      <c r="M326" s="1">
        <v>0</v>
      </c>
      <c r="O326" s="1">
        <v>16.5</v>
      </c>
      <c r="P326" s="1">
        <v>15.8</v>
      </c>
      <c r="Q326" s="1">
        <v>16.8</v>
      </c>
      <c r="R326" s="1">
        <v>0</v>
      </c>
    </row>
    <row r="327" spans="1:19" ht="13" x14ac:dyDescent="0.15">
      <c r="A327" s="7">
        <v>42674</v>
      </c>
      <c r="B327" s="5">
        <v>18</v>
      </c>
      <c r="C327" s="5">
        <v>5</v>
      </c>
      <c r="D327" s="5" t="s">
        <v>31</v>
      </c>
      <c r="E327" s="5" t="s">
        <v>74</v>
      </c>
      <c r="F327" s="1" t="s">
        <v>50</v>
      </c>
      <c r="G327" s="1">
        <v>0</v>
      </c>
      <c r="H327" s="1">
        <f>136.82+154.72+154.72+154.72</f>
        <v>600.98</v>
      </c>
      <c r="I327" s="1">
        <v>2</v>
      </c>
      <c r="J327" s="1">
        <v>13</v>
      </c>
      <c r="K327" s="17"/>
      <c r="L327" s="5">
        <v>80</v>
      </c>
      <c r="N327" s="1">
        <v>0</v>
      </c>
      <c r="O327" s="1">
        <v>17.8</v>
      </c>
      <c r="P327" s="1">
        <v>15.8</v>
      </c>
      <c r="Q327" s="1">
        <v>15.9</v>
      </c>
      <c r="S327" s="1">
        <v>0</v>
      </c>
    </row>
    <row r="328" spans="1:19" ht="13" x14ac:dyDescent="0.15">
      <c r="A328" s="7">
        <v>42676</v>
      </c>
      <c r="B328" s="5">
        <v>18</v>
      </c>
      <c r="C328" s="5">
        <v>5</v>
      </c>
      <c r="D328" s="5" t="s">
        <v>66</v>
      </c>
      <c r="E328" s="5" t="s">
        <v>75</v>
      </c>
      <c r="F328" s="1" t="s">
        <v>50</v>
      </c>
      <c r="G328" s="1">
        <f>34.72+154.72+154.72+154.72+154.72+154.72</f>
        <v>808.32</v>
      </c>
      <c r="I328" s="1">
        <v>12</v>
      </c>
      <c r="K328" s="5">
        <v>70</v>
      </c>
      <c r="L328" s="17"/>
      <c r="M328" s="1">
        <v>0</v>
      </c>
      <c r="O328" s="1">
        <v>16.899999999999999</v>
      </c>
      <c r="P328" s="1">
        <v>15</v>
      </c>
      <c r="Q328" s="1">
        <v>16.5</v>
      </c>
      <c r="R328" s="1">
        <v>0</v>
      </c>
    </row>
    <row r="329" spans="1:19" ht="13" x14ac:dyDescent="0.15">
      <c r="A329" s="7">
        <v>42676</v>
      </c>
      <c r="B329" s="5">
        <v>18</v>
      </c>
      <c r="C329" s="5">
        <v>5</v>
      </c>
      <c r="D329" s="5" t="s">
        <v>31</v>
      </c>
      <c r="E329" s="5" t="s">
        <v>74</v>
      </c>
      <c r="F329" s="1" t="s">
        <v>50</v>
      </c>
      <c r="G329" s="1">
        <v>0</v>
      </c>
      <c r="H329" s="1">
        <f>23.15+154.72+154.72+154.72+154.72</f>
        <v>642.03000000000009</v>
      </c>
      <c r="I329" s="1">
        <v>3</v>
      </c>
      <c r="J329" s="1">
        <v>14</v>
      </c>
      <c r="K329" s="17"/>
      <c r="L329" s="5">
        <v>80</v>
      </c>
      <c r="N329" s="1">
        <v>1</v>
      </c>
      <c r="O329" s="1">
        <v>17.399999999999999</v>
      </c>
      <c r="P329" s="1">
        <v>17.7</v>
      </c>
      <c r="Q329" s="1">
        <v>16.899999999999999</v>
      </c>
      <c r="S329" s="1">
        <v>0</v>
      </c>
    </row>
    <row r="330" spans="1:19" ht="13" x14ac:dyDescent="0.15">
      <c r="A330" s="7">
        <v>42678</v>
      </c>
      <c r="B330" s="5">
        <v>18</v>
      </c>
      <c r="C330" s="5">
        <v>5</v>
      </c>
      <c r="D330" s="5" t="s">
        <v>66</v>
      </c>
      <c r="E330" s="5" t="s">
        <v>75</v>
      </c>
      <c r="F330" s="1" t="s">
        <v>50</v>
      </c>
      <c r="G330" s="1">
        <f>18.04+154.68+154.68+154.68+154.68+154.68+42.71</f>
        <v>834.15000000000009</v>
      </c>
      <c r="I330" s="1">
        <v>12</v>
      </c>
      <c r="K330" s="5">
        <v>100</v>
      </c>
      <c r="L330" s="17"/>
      <c r="M330" s="1">
        <v>0</v>
      </c>
      <c r="O330" s="1">
        <v>15.4</v>
      </c>
      <c r="P330" s="1">
        <v>16.7</v>
      </c>
      <c r="Q330" s="1">
        <v>14.6</v>
      </c>
      <c r="R330" s="1">
        <v>0</v>
      </c>
    </row>
    <row r="331" spans="1:19" ht="13" x14ac:dyDescent="0.15">
      <c r="A331" s="7">
        <v>42678</v>
      </c>
      <c r="B331" s="5">
        <v>18</v>
      </c>
      <c r="C331" s="5">
        <v>5</v>
      </c>
      <c r="D331" s="5" t="s">
        <v>31</v>
      </c>
      <c r="E331" s="5" t="s">
        <v>74</v>
      </c>
      <c r="F331" s="1" t="s">
        <v>50</v>
      </c>
      <c r="G331" s="1">
        <v>0</v>
      </c>
      <c r="H331" s="1">
        <f>154.72+154.72+154.72+154.72+68.59</f>
        <v>687.47</v>
      </c>
      <c r="I331" s="1">
        <v>3</v>
      </c>
      <c r="J331" s="1">
        <v>16</v>
      </c>
      <c r="K331" s="17"/>
      <c r="L331" s="5">
        <v>100</v>
      </c>
      <c r="N331" s="1">
        <v>0</v>
      </c>
      <c r="O331" s="1">
        <v>14.3</v>
      </c>
      <c r="P331" s="1">
        <v>14.3</v>
      </c>
      <c r="Q331" s="1">
        <v>16</v>
      </c>
      <c r="S331" s="1">
        <v>0</v>
      </c>
    </row>
    <row r="332" spans="1:19" ht="13" x14ac:dyDescent="0.15">
      <c r="B332" s="17"/>
      <c r="C332" s="17"/>
      <c r="D332" s="17"/>
      <c r="E332" s="17"/>
      <c r="K332" s="17"/>
      <c r="L332" s="17"/>
    </row>
    <row r="333" spans="1:19" ht="13" x14ac:dyDescent="0.15">
      <c r="B333" s="17"/>
      <c r="C333" s="17"/>
      <c r="D333" s="17"/>
      <c r="E333" s="17"/>
      <c r="K333" s="17"/>
      <c r="L333" s="17"/>
    </row>
    <row r="334" spans="1:19" ht="13" x14ac:dyDescent="0.15">
      <c r="B334" s="17"/>
      <c r="C334" s="17"/>
      <c r="D334" s="17"/>
      <c r="E334" s="17"/>
      <c r="K334" s="17"/>
      <c r="L334" s="17"/>
    </row>
    <row r="335" spans="1:19" ht="13" x14ac:dyDescent="0.15">
      <c r="B335" s="17"/>
      <c r="C335" s="17"/>
      <c r="D335" s="17"/>
      <c r="E335" s="17"/>
      <c r="K335" s="17"/>
      <c r="L335" s="17"/>
    </row>
    <row r="336" spans="1:19" ht="13" x14ac:dyDescent="0.15">
      <c r="B336" s="17"/>
      <c r="C336" s="17"/>
      <c r="D336" s="17"/>
      <c r="E336" s="17"/>
      <c r="K336" s="17"/>
      <c r="L336" s="17"/>
    </row>
    <row r="337" spans="2:12" ht="13" x14ac:dyDescent="0.15">
      <c r="B337" s="17"/>
      <c r="C337" s="17"/>
      <c r="D337" s="17"/>
      <c r="E337" s="17"/>
      <c r="K337" s="17"/>
      <c r="L337" s="17"/>
    </row>
    <row r="338" spans="2:12" ht="13" x14ac:dyDescent="0.15">
      <c r="B338" s="17"/>
      <c r="C338" s="17"/>
      <c r="D338" s="17"/>
      <c r="E338" s="17"/>
      <c r="K338" s="17"/>
      <c r="L338" s="17"/>
    </row>
    <row r="339" spans="2:12" ht="13" x14ac:dyDescent="0.15">
      <c r="K339" s="17"/>
      <c r="L339" s="17"/>
    </row>
    <row r="340" spans="2:12" ht="13" x14ac:dyDescent="0.15">
      <c r="K340" s="17"/>
      <c r="L340" s="17"/>
    </row>
    <row r="341" spans="2:12" ht="13" x14ac:dyDescent="0.15">
      <c r="K341" s="17"/>
      <c r="L341" s="17"/>
    </row>
    <row r="342" spans="2:12" ht="13" x14ac:dyDescent="0.15">
      <c r="K342" s="17"/>
      <c r="L342" s="17"/>
    </row>
    <row r="343" spans="2:12" ht="13" x14ac:dyDescent="0.15">
      <c r="K343" s="17"/>
      <c r="L343" s="17"/>
    </row>
    <row r="344" spans="2:12" ht="13" x14ac:dyDescent="0.15">
      <c r="K344" s="17"/>
      <c r="L344" s="17"/>
    </row>
    <row r="345" spans="2:12" ht="13" x14ac:dyDescent="0.15">
      <c r="K345" s="17"/>
      <c r="L345" s="17"/>
    </row>
    <row r="346" spans="2:12" ht="13" x14ac:dyDescent="0.15">
      <c r="K346" s="17"/>
      <c r="L346" s="17"/>
    </row>
    <row r="347" spans="2:12" ht="13" x14ac:dyDescent="0.15">
      <c r="K347" s="17"/>
      <c r="L347" s="17"/>
    </row>
    <row r="348" spans="2:12" ht="13" x14ac:dyDescent="0.15">
      <c r="K348" s="17"/>
      <c r="L348" s="17"/>
    </row>
    <row r="349" spans="2:12" ht="13" x14ac:dyDescent="0.15">
      <c r="K349" s="17"/>
      <c r="L349" s="17"/>
    </row>
    <row r="350" spans="2:12" ht="13" x14ac:dyDescent="0.15">
      <c r="K350" s="17"/>
      <c r="L350" s="17"/>
    </row>
    <row r="351" spans="2:12" ht="13" x14ac:dyDescent="0.15">
      <c r="K351" s="17"/>
      <c r="L351" s="17"/>
    </row>
    <row r="352" spans="2:12" ht="13" x14ac:dyDescent="0.15">
      <c r="K352" s="17"/>
      <c r="L352" s="17"/>
    </row>
    <row r="353" spans="11:12" ht="13" x14ac:dyDescent="0.15">
      <c r="K353" s="17"/>
      <c r="L353" s="17"/>
    </row>
    <row r="354" spans="11:12" ht="13" x14ac:dyDescent="0.15">
      <c r="K354" s="17"/>
      <c r="L354" s="17"/>
    </row>
    <row r="355" spans="11:12" ht="13" x14ac:dyDescent="0.15">
      <c r="K355" s="17"/>
      <c r="L355" s="17"/>
    </row>
    <row r="356" spans="11:12" ht="13" x14ac:dyDescent="0.15">
      <c r="K356" s="17"/>
      <c r="L356" s="17"/>
    </row>
    <row r="357" spans="11:12" ht="13" x14ac:dyDescent="0.15">
      <c r="K357" s="17"/>
      <c r="L357" s="17"/>
    </row>
    <row r="358" spans="11:12" ht="13" x14ac:dyDescent="0.15">
      <c r="K358" s="17"/>
      <c r="L358" s="17"/>
    </row>
    <row r="359" spans="11:12" ht="13" x14ac:dyDescent="0.15">
      <c r="K359" s="17"/>
      <c r="L359" s="17"/>
    </row>
    <row r="360" spans="11:12" ht="13" x14ac:dyDescent="0.15">
      <c r="K360" s="17"/>
      <c r="L360" s="17"/>
    </row>
    <row r="361" spans="11:12" ht="13" x14ac:dyDescent="0.15">
      <c r="K361" s="17"/>
      <c r="L361" s="17"/>
    </row>
    <row r="362" spans="11:12" ht="13" x14ac:dyDescent="0.15">
      <c r="K362" s="17"/>
      <c r="L362" s="17"/>
    </row>
    <row r="363" spans="11:12" ht="13" x14ac:dyDescent="0.15">
      <c r="K363" s="17"/>
      <c r="L363" s="17"/>
    </row>
    <row r="364" spans="11:12" ht="13" x14ac:dyDescent="0.15">
      <c r="K364" s="17"/>
      <c r="L364" s="17"/>
    </row>
    <row r="365" spans="11:12" ht="13" x14ac:dyDescent="0.15">
      <c r="K365" s="17"/>
      <c r="L365" s="17"/>
    </row>
    <row r="366" spans="11:12" ht="13" x14ac:dyDescent="0.15">
      <c r="K366" s="17"/>
      <c r="L366" s="17"/>
    </row>
    <row r="367" spans="11:12" ht="13" x14ac:dyDescent="0.15">
      <c r="K367" s="17"/>
      <c r="L367" s="17"/>
    </row>
    <row r="368" spans="11:12" ht="13" x14ac:dyDescent="0.15">
      <c r="K368" s="17"/>
      <c r="L368" s="17"/>
    </row>
    <row r="369" spans="11:12" ht="13" x14ac:dyDescent="0.15">
      <c r="K369" s="17"/>
      <c r="L369" s="17"/>
    </row>
    <row r="370" spans="11:12" ht="13" x14ac:dyDescent="0.15">
      <c r="K370" s="17"/>
      <c r="L370" s="17"/>
    </row>
    <row r="371" spans="11:12" ht="13" x14ac:dyDescent="0.15">
      <c r="K371" s="17"/>
      <c r="L371" s="17"/>
    </row>
    <row r="372" spans="11:12" ht="13" x14ac:dyDescent="0.15">
      <c r="K372" s="17"/>
      <c r="L372" s="17"/>
    </row>
    <row r="373" spans="11:12" ht="13" x14ac:dyDescent="0.15">
      <c r="K373" s="17"/>
      <c r="L373" s="17"/>
    </row>
    <row r="374" spans="11:12" ht="13" x14ac:dyDescent="0.15">
      <c r="K374" s="17"/>
      <c r="L374" s="17"/>
    </row>
    <row r="375" spans="11:12" ht="13" x14ac:dyDescent="0.15">
      <c r="K375" s="17"/>
      <c r="L375" s="17"/>
    </row>
    <row r="376" spans="11:12" ht="13" x14ac:dyDescent="0.15">
      <c r="K376" s="17"/>
      <c r="L376" s="17"/>
    </row>
    <row r="377" spans="11:12" ht="13" x14ac:dyDescent="0.15">
      <c r="K377" s="17"/>
      <c r="L377" s="17"/>
    </row>
    <row r="378" spans="11:12" ht="13" x14ac:dyDescent="0.15">
      <c r="K378" s="17"/>
      <c r="L378" s="17"/>
    </row>
    <row r="379" spans="11:12" ht="13" x14ac:dyDescent="0.15">
      <c r="K379" s="17"/>
      <c r="L379" s="17"/>
    </row>
    <row r="380" spans="11:12" ht="13" x14ac:dyDescent="0.15">
      <c r="K380" s="17"/>
      <c r="L380" s="17"/>
    </row>
    <row r="381" spans="11:12" ht="13" x14ac:dyDescent="0.15">
      <c r="K381" s="17"/>
      <c r="L381" s="17"/>
    </row>
    <row r="382" spans="11:12" ht="13" x14ac:dyDescent="0.15">
      <c r="K382" s="17"/>
      <c r="L382" s="17"/>
    </row>
    <row r="383" spans="11:12" ht="13" x14ac:dyDescent="0.15">
      <c r="K383" s="17"/>
      <c r="L383" s="17"/>
    </row>
    <row r="384" spans="11:12" ht="13" x14ac:dyDescent="0.15">
      <c r="K384" s="17"/>
      <c r="L384" s="17"/>
    </row>
    <row r="385" spans="11:12" ht="13" x14ac:dyDescent="0.15">
      <c r="K385" s="17"/>
      <c r="L385" s="17"/>
    </row>
    <row r="386" spans="11:12" ht="13" x14ac:dyDescent="0.15">
      <c r="K386" s="17"/>
      <c r="L386" s="17"/>
    </row>
    <row r="387" spans="11:12" ht="13" x14ac:dyDescent="0.15">
      <c r="K387" s="17"/>
      <c r="L387" s="17"/>
    </row>
    <row r="388" spans="11:12" ht="13" x14ac:dyDescent="0.15">
      <c r="K388" s="17"/>
      <c r="L388" s="17"/>
    </row>
    <row r="389" spans="11:12" ht="13" x14ac:dyDescent="0.15">
      <c r="K389" s="17"/>
      <c r="L389" s="17"/>
    </row>
    <row r="390" spans="11:12" ht="13" x14ac:dyDescent="0.15">
      <c r="K390" s="17"/>
      <c r="L390" s="17"/>
    </row>
    <row r="391" spans="11:12" ht="13" x14ac:dyDescent="0.15">
      <c r="K391" s="17"/>
      <c r="L391" s="17"/>
    </row>
    <row r="392" spans="11:12" ht="13" x14ac:dyDescent="0.15">
      <c r="K392" s="17"/>
      <c r="L392" s="17"/>
    </row>
    <row r="393" spans="11:12" ht="13" x14ac:dyDescent="0.15">
      <c r="K393" s="17"/>
      <c r="L393" s="17"/>
    </row>
    <row r="394" spans="11:12" ht="13" x14ac:dyDescent="0.15">
      <c r="K394" s="17"/>
      <c r="L394" s="17"/>
    </row>
    <row r="395" spans="11:12" ht="13" x14ac:dyDescent="0.15">
      <c r="K395" s="17"/>
      <c r="L395" s="17"/>
    </row>
    <row r="396" spans="11:12" ht="13" x14ac:dyDescent="0.15">
      <c r="K396" s="17"/>
      <c r="L396" s="17"/>
    </row>
    <row r="397" spans="11:12" ht="13" x14ac:dyDescent="0.15">
      <c r="K397" s="17"/>
      <c r="L397" s="17"/>
    </row>
    <row r="398" spans="11:12" ht="13" x14ac:dyDescent="0.15">
      <c r="K398" s="17"/>
      <c r="L398" s="17"/>
    </row>
    <row r="399" spans="11:12" ht="13" x14ac:dyDescent="0.15">
      <c r="K399" s="17"/>
      <c r="L399" s="17"/>
    </row>
    <row r="400" spans="11:12" ht="13" x14ac:dyDescent="0.15">
      <c r="K400" s="17"/>
      <c r="L400" s="17"/>
    </row>
    <row r="401" spans="11:12" ht="13" x14ac:dyDescent="0.15">
      <c r="K401" s="17"/>
      <c r="L401" s="17"/>
    </row>
    <row r="402" spans="11:12" ht="13" x14ac:dyDescent="0.15">
      <c r="K402" s="17"/>
      <c r="L402" s="17"/>
    </row>
    <row r="403" spans="11:12" ht="13" x14ac:dyDescent="0.15">
      <c r="K403" s="17"/>
      <c r="L403" s="17"/>
    </row>
    <row r="404" spans="11:12" ht="13" x14ac:dyDescent="0.15">
      <c r="K404" s="17"/>
      <c r="L404" s="17"/>
    </row>
    <row r="405" spans="11:12" ht="13" x14ac:dyDescent="0.15">
      <c r="K405" s="17"/>
      <c r="L405" s="17"/>
    </row>
    <row r="406" spans="11:12" ht="13" x14ac:dyDescent="0.15">
      <c r="K406" s="17"/>
      <c r="L406" s="17"/>
    </row>
    <row r="407" spans="11:12" ht="13" x14ac:dyDescent="0.15">
      <c r="K407" s="17"/>
      <c r="L407" s="17"/>
    </row>
    <row r="408" spans="11:12" ht="13" x14ac:dyDescent="0.15">
      <c r="K408" s="17"/>
      <c r="L408" s="17"/>
    </row>
    <row r="409" spans="11:12" ht="13" x14ac:dyDescent="0.15">
      <c r="K409" s="17"/>
      <c r="L409" s="17"/>
    </row>
    <row r="410" spans="11:12" ht="13" x14ac:dyDescent="0.15">
      <c r="K410" s="17"/>
      <c r="L410" s="17"/>
    </row>
    <row r="411" spans="11:12" ht="13" x14ac:dyDescent="0.15">
      <c r="K411" s="17"/>
      <c r="L411" s="17"/>
    </row>
    <row r="412" spans="11:12" ht="13" x14ac:dyDescent="0.15">
      <c r="K412" s="17"/>
      <c r="L412" s="17"/>
    </row>
    <row r="413" spans="11:12" ht="13" x14ac:dyDescent="0.15">
      <c r="K413" s="17"/>
      <c r="L413" s="17"/>
    </row>
    <row r="414" spans="11:12" ht="13" x14ac:dyDescent="0.15">
      <c r="K414" s="17"/>
      <c r="L414" s="17"/>
    </row>
    <row r="415" spans="11:12" ht="13" x14ac:dyDescent="0.15">
      <c r="K415" s="17"/>
      <c r="L415" s="17"/>
    </row>
    <row r="416" spans="11:12" ht="13" x14ac:dyDescent="0.15">
      <c r="K416" s="17"/>
      <c r="L416" s="17"/>
    </row>
    <row r="417" spans="11:12" ht="13" x14ac:dyDescent="0.15">
      <c r="K417" s="17"/>
      <c r="L417" s="17"/>
    </row>
    <row r="418" spans="11:12" ht="13" x14ac:dyDescent="0.15">
      <c r="K418" s="17"/>
      <c r="L418" s="17"/>
    </row>
    <row r="419" spans="11:12" ht="13" x14ac:dyDescent="0.15">
      <c r="K419" s="17"/>
      <c r="L419" s="17"/>
    </row>
    <row r="420" spans="11:12" ht="13" x14ac:dyDescent="0.15">
      <c r="K420" s="17"/>
      <c r="L420" s="17"/>
    </row>
    <row r="421" spans="11:12" ht="13" x14ac:dyDescent="0.15">
      <c r="K421" s="17"/>
      <c r="L421" s="17"/>
    </row>
    <row r="422" spans="11:12" ht="13" x14ac:dyDescent="0.15">
      <c r="K422" s="17"/>
      <c r="L422" s="17"/>
    </row>
    <row r="423" spans="11:12" ht="13" x14ac:dyDescent="0.15">
      <c r="K423" s="17"/>
      <c r="L423" s="17"/>
    </row>
    <row r="424" spans="11:12" ht="13" x14ac:dyDescent="0.15">
      <c r="K424" s="17"/>
      <c r="L424" s="17"/>
    </row>
    <row r="425" spans="11:12" ht="13" x14ac:dyDescent="0.15">
      <c r="K425" s="17"/>
      <c r="L425" s="17"/>
    </row>
    <row r="426" spans="11:12" ht="13" x14ac:dyDescent="0.15">
      <c r="K426" s="17"/>
      <c r="L426" s="17"/>
    </row>
    <row r="427" spans="11:12" ht="13" x14ac:dyDescent="0.15">
      <c r="K427" s="17"/>
      <c r="L427" s="17"/>
    </row>
    <row r="428" spans="11:12" ht="13" x14ac:dyDescent="0.15">
      <c r="K428" s="17"/>
      <c r="L428" s="17"/>
    </row>
    <row r="429" spans="11:12" ht="13" x14ac:dyDescent="0.15">
      <c r="K429" s="17"/>
      <c r="L429" s="17"/>
    </row>
    <row r="430" spans="11:12" ht="13" x14ac:dyDescent="0.15">
      <c r="K430" s="17"/>
      <c r="L430" s="17"/>
    </row>
    <row r="431" spans="11:12" ht="13" x14ac:dyDescent="0.15">
      <c r="K431" s="17"/>
      <c r="L431" s="17"/>
    </row>
    <row r="432" spans="11:12" ht="13" x14ac:dyDescent="0.15">
      <c r="K432" s="17"/>
      <c r="L432" s="17"/>
    </row>
    <row r="433" spans="11:12" ht="13" x14ac:dyDescent="0.15">
      <c r="K433" s="17"/>
      <c r="L433" s="17"/>
    </row>
    <row r="434" spans="11:12" ht="13" x14ac:dyDescent="0.15">
      <c r="K434" s="17"/>
      <c r="L434" s="17"/>
    </row>
    <row r="435" spans="11:12" ht="13" x14ac:dyDescent="0.15">
      <c r="K435" s="17"/>
      <c r="L435" s="17"/>
    </row>
    <row r="436" spans="11:12" ht="13" x14ac:dyDescent="0.15">
      <c r="K436" s="17"/>
      <c r="L436" s="17"/>
    </row>
    <row r="437" spans="11:12" ht="13" x14ac:dyDescent="0.15">
      <c r="K437" s="17"/>
      <c r="L437" s="17"/>
    </row>
    <row r="438" spans="11:12" ht="13" x14ac:dyDescent="0.15">
      <c r="K438" s="17"/>
      <c r="L438" s="17"/>
    </row>
    <row r="439" spans="11:12" ht="13" x14ac:dyDescent="0.15">
      <c r="K439" s="17"/>
      <c r="L439" s="17"/>
    </row>
    <row r="440" spans="11:12" ht="13" x14ac:dyDescent="0.15">
      <c r="K440" s="17"/>
      <c r="L440" s="17"/>
    </row>
    <row r="441" spans="11:12" ht="13" x14ac:dyDescent="0.15">
      <c r="K441" s="17"/>
      <c r="L441" s="17"/>
    </row>
    <row r="442" spans="11:12" ht="13" x14ac:dyDescent="0.15">
      <c r="K442" s="17"/>
      <c r="L442" s="17"/>
    </row>
    <row r="443" spans="11:12" ht="13" x14ac:dyDescent="0.15">
      <c r="K443" s="17"/>
      <c r="L443" s="17"/>
    </row>
    <row r="444" spans="11:12" ht="13" x14ac:dyDescent="0.15">
      <c r="K444" s="17"/>
      <c r="L444" s="17"/>
    </row>
    <row r="445" spans="11:12" ht="13" x14ac:dyDescent="0.15">
      <c r="K445" s="17"/>
      <c r="L445" s="17"/>
    </row>
    <row r="446" spans="11:12" ht="13" x14ac:dyDescent="0.15">
      <c r="K446" s="17"/>
      <c r="L446" s="17"/>
    </row>
    <row r="447" spans="11:12" ht="13" x14ac:dyDescent="0.15">
      <c r="K447" s="17"/>
      <c r="L447" s="17"/>
    </row>
    <row r="448" spans="11:12" ht="13" x14ac:dyDescent="0.15">
      <c r="K448" s="17"/>
      <c r="L448" s="17"/>
    </row>
    <row r="449" spans="11:12" ht="13" x14ac:dyDescent="0.15">
      <c r="K449" s="17"/>
      <c r="L449" s="17"/>
    </row>
    <row r="450" spans="11:12" ht="13" x14ac:dyDescent="0.15">
      <c r="K450" s="17"/>
      <c r="L450" s="17"/>
    </row>
    <row r="451" spans="11:12" ht="13" x14ac:dyDescent="0.15">
      <c r="K451" s="17"/>
      <c r="L451" s="17"/>
    </row>
    <row r="452" spans="11:12" ht="13" x14ac:dyDescent="0.15">
      <c r="K452" s="17"/>
      <c r="L452" s="17"/>
    </row>
    <row r="453" spans="11:12" ht="13" x14ac:dyDescent="0.15">
      <c r="K453" s="17"/>
      <c r="L453" s="17"/>
    </row>
    <row r="454" spans="11:12" ht="13" x14ac:dyDescent="0.15">
      <c r="K454" s="17"/>
      <c r="L454" s="17"/>
    </row>
    <row r="455" spans="11:12" ht="13" x14ac:dyDescent="0.15">
      <c r="K455" s="17"/>
      <c r="L455" s="17"/>
    </row>
    <row r="456" spans="11:12" ht="13" x14ac:dyDescent="0.15">
      <c r="K456" s="17"/>
      <c r="L456" s="17"/>
    </row>
    <row r="457" spans="11:12" ht="13" x14ac:dyDescent="0.15">
      <c r="K457" s="17"/>
      <c r="L457" s="17"/>
    </row>
    <row r="458" spans="11:12" ht="13" x14ac:dyDescent="0.15">
      <c r="K458" s="17"/>
      <c r="L458" s="17"/>
    </row>
    <row r="459" spans="11:12" ht="13" x14ac:dyDescent="0.15">
      <c r="K459" s="17"/>
      <c r="L459" s="17"/>
    </row>
    <row r="460" spans="11:12" ht="13" x14ac:dyDescent="0.15">
      <c r="K460" s="17"/>
      <c r="L460" s="17"/>
    </row>
    <row r="461" spans="11:12" ht="13" x14ac:dyDescent="0.15">
      <c r="K461" s="17"/>
      <c r="L461" s="17"/>
    </row>
    <row r="462" spans="11:12" ht="13" x14ac:dyDescent="0.15">
      <c r="K462" s="17"/>
      <c r="L462" s="17"/>
    </row>
    <row r="463" spans="11:12" ht="13" x14ac:dyDescent="0.15">
      <c r="K463" s="17"/>
      <c r="L463" s="17"/>
    </row>
    <row r="464" spans="11:12" ht="13" x14ac:dyDescent="0.15">
      <c r="K464" s="17"/>
      <c r="L464" s="17"/>
    </row>
    <row r="465" spans="11:12" ht="13" x14ac:dyDescent="0.15">
      <c r="K465" s="17"/>
      <c r="L465" s="17"/>
    </row>
    <row r="466" spans="11:12" ht="13" x14ac:dyDescent="0.15">
      <c r="K466" s="17"/>
      <c r="L466" s="17"/>
    </row>
    <row r="467" spans="11:12" ht="13" x14ac:dyDescent="0.15">
      <c r="K467" s="17"/>
      <c r="L467" s="17"/>
    </row>
    <row r="468" spans="11:12" ht="13" x14ac:dyDescent="0.15">
      <c r="K468" s="17"/>
      <c r="L468" s="17"/>
    </row>
    <row r="469" spans="11:12" ht="13" x14ac:dyDescent="0.15">
      <c r="K469" s="17"/>
      <c r="L469" s="17"/>
    </row>
    <row r="470" spans="11:12" ht="13" x14ac:dyDescent="0.15">
      <c r="K470" s="17"/>
      <c r="L470" s="17"/>
    </row>
    <row r="471" spans="11:12" ht="13" x14ac:dyDescent="0.15">
      <c r="K471" s="17"/>
      <c r="L471" s="17"/>
    </row>
    <row r="472" spans="11:12" ht="13" x14ac:dyDescent="0.15">
      <c r="K472" s="17"/>
      <c r="L472" s="17"/>
    </row>
    <row r="473" spans="11:12" ht="13" x14ac:dyDescent="0.15">
      <c r="K473" s="17"/>
      <c r="L473" s="17"/>
    </row>
    <row r="474" spans="11:12" ht="13" x14ac:dyDescent="0.15">
      <c r="K474" s="17"/>
      <c r="L474" s="17"/>
    </row>
    <row r="475" spans="11:12" ht="13" x14ac:dyDescent="0.15">
      <c r="K475" s="17"/>
      <c r="L475" s="17"/>
    </row>
    <row r="476" spans="11:12" ht="13" x14ac:dyDescent="0.15">
      <c r="K476" s="17"/>
      <c r="L476" s="17"/>
    </row>
    <row r="477" spans="11:12" ht="13" x14ac:dyDescent="0.15">
      <c r="K477" s="17"/>
      <c r="L477" s="17"/>
    </row>
    <row r="478" spans="11:12" ht="13" x14ac:dyDescent="0.15">
      <c r="K478" s="17"/>
      <c r="L478" s="17"/>
    </row>
    <row r="479" spans="11:12" ht="13" x14ac:dyDescent="0.15">
      <c r="K479" s="17"/>
      <c r="L479" s="17"/>
    </row>
    <row r="480" spans="11:12" ht="13" x14ac:dyDescent="0.15">
      <c r="K480" s="17"/>
      <c r="L480" s="17"/>
    </row>
    <row r="481" spans="11:12" ht="13" x14ac:dyDescent="0.15">
      <c r="K481" s="17"/>
      <c r="L481" s="17"/>
    </row>
    <row r="482" spans="11:12" ht="13" x14ac:dyDescent="0.15">
      <c r="K482" s="17"/>
      <c r="L482" s="17"/>
    </row>
    <row r="483" spans="11:12" ht="13" x14ac:dyDescent="0.15">
      <c r="K483" s="17"/>
      <c r="L483" s="17"/>
    </row>
    <row r="484" spans="11:12" ht="13" x14ac:dyDescent="0.15">
      <c r="K484" s="17"/>
      <c r="L484" s="17"/>
    </row>
    <row r="485" spans="11:12" ht="13" x14ac:dyDescent="0.15">
      <c r="K485" s="17"/>
      <c r="L485" s="17"/>
    </row>
    <row r="486" spans="11:12" ht="13" x14ac:dyDescent="0.15">
      <c r="K486" s="17"/>
      <c r="L486" s="17"/>
    </row>
    <row r="487" spans="11:12" ht="13" x14ac:dyDescent="0.15">
      <c r="K487" s="17"/>
      <c r="L487" s="17"/>
    </row>
    <row r="488" spans="11:12" ht="13" x14ac:dyDescent="0.15">
      <c r="K488" s="17"/>
      <c r="L488" s="17"/>
    </row>
    <row r="489" spans="11:12" ht="13" x14ac:dyDescent="0.15">
      <c r="K489" s="17"/>
      <c r="L489" s="17"/>
    </row>
    <row r="490" spans="11:12" ht="13" x14ac:dyDescent="0.15">
      <c r="K490" s="17"/>
      <c r="L490" s="17"/>
    </row>
    <row r="491" spans="11:12" ht="13" x14ac:dyDescent="0.15">
      <c r="K491" s="17"/>
      <c r="L491" s="17"/>
    </row>
    <row r="492" spans="11:12" ht="13" x14ac:dyDescent="0.15">
      <c r="K492" s="17"/>
      <c r="L492" s="17"/>
    </row>
    <row r="493" spans="11:12" ht="13" x14ac:dyDescent="0.15">
      <c r="K493" s="17"/>
      <c r="L493" s="17"/>
    </row>
    <row r="494" spans="11:12" ht="13" x14ac:dyDescent="0.15">
      <c r="K494" s="17"/>
      <c r="L494" s="17"/>
    </row>
    <row r="495" spans="11:12" ht="13" x14ac:dyDescent="0.15">
      <c r="K495" s="17"/>
      <c r="L495" s="17"/>
    </row>
    <row r="496" spans="11:12" ht="13" x14ac:dyDescent="0.15">
      <c r="K496" s="17"/>
      <c r="L496" s="17"/>
    </row>
    <row r="497" spans="11:12" ht="13" x14ac:dyDescent="0.15">
      <c r="K497" s="17"/>
      <c r="L497" s="17"/>
    </row>
    <row r="498" spans="11:12" ht="13" x14ac:dyDescent="0.15">
      <c r="K498" s="17"/>
      <c r="L498" s="17"/>
    </row>
    <row r="499" spans="11:12" ht="13" x14ac:dyDescent="0.15">
      <c r="K499" s="17"/>
      <c r="L499" s="17"/>
    </row>
    <row r="500" spans="11:12" ht="13" x14ac:dyDescent="0.15">
      <c r="K500" s="17"/>
      <c r="L500" s="17"/>
    </row>
    <row r="501" spans="11:12" ht="13" x14ac:dyDescent="0.15">
      <c r="K501" s="17"/>
      <c r="L501" s="17"/>
    </row>
    <row r="502" spans="11:12" ht="13" x14ac:dyDescent="0.15">
      <c r="K502" s="17"/>
      <c r="L502" s="17"/>
    </row>
    <row r="503" spans="11:12" ht="13" x14ac:dyDescent="0.15">
      <c r="K503" s="17"/>
      <c r="L503" s="17"/>
    </row>
    <row r="504" spans="11:12" ht="13" x14ac:dyDescent="0.15">
      <c r="K504" s="17"/>
      <c r="L504" s="17"/>
    </row>
    <row r="505" spans="11:12" ht="13" x14ac:dyDescent="0.15">
      <c r="K505" s="17"/>
      <c r="L505" s="17"/>
    </row>
    <row r="506" spans="11:12" ht="13" x14ac:dyDescent="0.15">
      <c r="K506" s="17"/>
      <c r="L506" s="17"/>
    </row>
    <row r="507" spans="11:12" ht="13" x14ac:dyDescent="0.15">
      <c r="K507" s="17"/>
      <c r="L507" s="17"/>
    </row>
    <row r="508" spans="11:12" ht="13" x14ac:dyDescent="0.15">
      <c r="K508" s="17"/>
      <c r="L508" s="17"/>
    </row>
    <row r="509" spans="11:12" ht="13" x14ac:dyDescent="0.15">
      <c r="K509" s="17"/>
      <c r="L509" s="17"/>
    </row>
    <row r="510" spans="11:12" ht="13" x14ac:dyDescent="0.15">
      <c r="K510" s="17"/>
      <c r="L510" s="17"/>
    </row>
    <row r="511" spans="11:12" ht="13" x14ac:dyDescent="0.15">
      <c r="K511" s="17"/>
      <c r="L511" s="17"/>
    </row>
    <row r="512" spans="11:12" ht="13" x14ac:dyDescent="0.15">
      <c r="K512" s="17"/>
      <c r="L512" s="17"/>
    </row>
    <row r="513" spans="11:12" ht="13" x14ac:dyDescent="0.15">
      <c r="K513" s="17"/>
      <c r="L513" s="17"/>
    </row>
    <row r="514" spans="11:12" ht="13" x14ac:dyDescent="0.15">
      <c r="K514" s="17"/>
      <c r="L514" s="17"/>
    </row>
    <row r="515" spans="11:12" ht="13" x14ac:dyDescent="0.15">
      <c r="K515" s="17"/>
      <c r="L515" s="17"/>
    </row>
    <row r="516" spans="11:12" ht="13" x14ac:dyDescent="0.15">
      <c r="K516" s="17"/>
      <c r="L516" s="17"/>
    </row>
    <row r="517" spans="11:12" ht="13" x14ac:dyDescent="0.15">
      <c r="K517" s="17"/>
      <c r="L517" s="17"/>
    </row>
    <row r="518" spans="11:12" ht="13" x14ac:dyDescent="0.15">
      <c r="K518" s="17"/>
      <c r="L518" s="17"/>
    </row>
    <row r="519" spans="11:12" ht="13" x14ac:dyDescent="0.15">
      <c r="K519" s="17"/>
      <c r="L519" s="17"/>
    </row>
    <row r="520" spans="11:12" ht="13" x14ac:dyDescent="0.15">
      <c r="K520" s="17"/>
      <c r="L520" s="17"/>
    </row>
    <row r="521" spans="11:12" ht="13" x14ac:dyDescent="0.15">
      <c r="K521" s="17"/>
      <c r="L521" s="17"/>
    </row>
    <row r="522" spans="11:12" ht="13" x14ac:dyDescent="0.15">
      <c r="K522" s="17"/>
      <c r="L522" s="17"/>
    </row>
    <row r="523" spans="11:12" ht="13" x14ac:dyDescent="0.15">
      <c r="K523" s="17"/>
      <c r="L523" s="17"/>
    </row>
    <row r="524" spans="11:12" ht="13" x14ac:dyDescent="0.15">
      <c r="K524" s="17"/>
      <c r="L524" s="17"/>
    </row>
    <row r="525" spans="11:12" ht="13" x14ac:dyDescent="0.15">
      <c r="K525" s="17"/>
      <c r="L525" s="17"/>
    </row>
    <row r="526" spans="11:12" ht="13" x14ac:dyDescent="0.15">
      <c r="K526" s="17"/>
      <c r="L526" s="17"/>
    </row>
    <row r="527" spans="11:12" ht="13" x14ac:dyDescent="0.15">
      <c r="K527" s="17"/>
      <c r="L527" s="17"/>
    </row>
    <row r="528" spans="11:12" ht="13" x14ac:dyDescent="0.15">
      <c r="K528" s="17"/>
      <c r="L528" s="17"/>
    </row>
    <row r="529" spans="11:12" ht="13" x14ac:dyDescent="0.15">
      <c r="K529" s="17"/>
      <c r="L529" s="17"/>
    </row>
    <row r="530" spans="11:12" ht="13" x14ac:dyDescent="0.15">
      <c r="K530" s="17"/>
      <c r="L530" s="17"/>
    </row>
    <row r="531" spans="11:12" ht="13" x14ac:dyDescent="0.15">
      <c r="K531" s="17"/>
      <c r="L531" s="17"/>
    </row>
    <row r="532" spans="11:12" ht="13" x14ac:dyDescent="0.15">
      <c r="K532" s="17"/>
      <c r="L532" s="17"/>
    </row>
    <row r="533" spans="11:12" ht="13" x14ac:dyDescent="0.15">
      <c r="K533" s="17"/>
      <c r="L533" s="17"/>
    </row>
    <row r="534" spans="11:12" ht="13" x14ac:dyDescent="0.15">
      <c r="K534" s="17"/>
      <c r="L534" s="17"/>
    </row>
    <row r="535" spans="11:12" ht="13" x14ac:dyDescent="0.15">
      <c r="K535" s="17"/>
      <c r="L535" s="17"/>
    </row>
    <row r="536" spans="11:12" ht="13" x14ac:dyDescent="0.15">
      <c r="K536" s="17"/>
      <c r="L536" s="17"/>
    </row>
    <row r="537" spans="11:12" ht="13" x14ac:dyDescent="0.15">
      <c r="K537" s="17"/>
      <c r="L537" s="17"/>
    </row>
    <row r="538" spans="11:12" ht="13" x14ac:dyDescent="0.15">
      <c r="K538" s="17"/>
      <c r="L538" s="17"/>
    </row>
    <row r="539" spans="11:12" ht="13" x14ac:dyDescent="0.15">
      <c r="K539" s="17"/>
      <c r="L539" s="17"/>
    </row>
    <row r="540" spans="11:12" ht="13" x14ac:dyDescent="0.15">
      <c r="K540" s="17"/>
      <c r="L540" s="17"/>
    </row>
    <row r="541" spans="11:12" ht="13" x14ac:dyDescent="0.15">
      <c r="K541" s="17"/>
      <c r="L541" s="17"/>
    </row>
    <row r="542" spans="11:12" ht="13" x14ac:dyDescent="0.15">
      <c r="K542" s="17"/>
      <c r="L542" s="17"/>
    </row>
    <row r="543" spans="11:12" ht="13" x14ac:dyDescent="0.15">
      <c r="K543" s="17"/>
      <c r="L543" s="17"/>
    </row>
    <row r="544" spans="11:12" ht="13" x14ac:dyDescent="0.15">
      <c r="K544" s="17"/>
      <c r="L544" s="17"/>
    </row>
    <row r="545" spans="11:12" ht="13" x14ac:dyDescent="0.15">
      <c r="K545" s="17"/>
      <c r="L545" s="17"/>
    </row>
    <row r="546" spans="11:12" ht="13" x14ac:dyDescent="0.15">
      <c r="K546" s="17"/>
      <c r="L546" s="17"/>
    </row>
    <row r="547" spans="11:12" ht="13" x14ac:dyDescent="0.15">
      <c r="K547" s="17"/>
      <c r="L547" s="17"/>
    </row>
    <row r="548" spans="11:12" ht="13" x14ac:dyDescent="0.15">
      <c r="K548" s="17"/>
      <c r="L548" s="17"/>
    </row>
    <row r="549" spans="11:12" ht="13" x14ac:dyDescent="0.15">
      <c r="K549" s="17"/>
      <c r="L549" s="17"/>
    </row>
    <row r="550" spans="11:12" ht="13" x14ac:dyDescent="0.15">
      <c r="K550" s="17"/>
      <c r="L550" s="17"/>
    </row>
    <row r="551" spans="11:12" ht="13" x14ac:dyDescent="0.15">
      <c r="K551" s="17"/>
      <c r="L551" s="17"/>
    </row>
    <row r="552" spans="11:12" ht="13" x14ac:dyDescent="0.15">
      <c r="K552" s="17"/>
      <c r="L552" s="17"/>
    </row>
    <row r="553" spans="11:12" ht="13" x14ac:dyDescent="0.15">
      <c r="K553" s="17"/>
      <c r="L553" s="17"/>
    </row>
    <row r="554" spans="11:12" ht="13" x14ac:dyDescent="0.15">
      <c r="K554" s="17"/>
      <c r="L554" s="17"/>
    </row>
    <row r="555" spans="11:12" ht="13" x14ac:dyDescent="0.15">
      <c r="K555" s="17"/>
      <c r="L555" s="17"/>
    </row>
    <row r="556" spans="11:12" ht="13" x14ac:dyDescent="0.15">
      <c r="K556" s="17"/>
      <c r="L556" s="17"/>
    </row>
    <row r="557" spans="11:12" ht="13" x14ac:dyDescent="0.15">
      <c r="K557" s="17"/>
      <c r="L557" s="17"/>
    </row>
    <row r="558" spans="11:12" ht="13" x14ac:dyDescent="0.15">
      <c r="K558" s="17"/>
      <c r="L558" s="17"/>
    </row>
    <row r="559" spans="11:12" ht="13" x14ac:dyDescent="0.15">
      <c r="K559" s="17"/>
      <c r="L559" s="17"/>
    </row>
    <row r="560" spans="11:12" ht="13" x14ac:dyDescent="0.15">
      <c r="K560" s="17"/>
      <c r="L560" s="17"/>
    </row>
    <row r="561" spans="11:12" ht="13" x14ac:dyDescent="0.15">
      <c r="K561" s="17"/>
      <c r="L561" s="17"/>
    </row>
    <row r="562" spans="11:12" ht="13" x14ac:dyDescent="0.15">
      <c r="K562" s="17"/>
      <c r="L562" s="17"/>
    </row>
    <row r="563" spans="11:12" ht="13" x14ac:dyDescent="0.15">
      <c r="K563" s="17"/>
      <c r="L563" s="17"/>
    </row>
    <row r="564" spans="11:12" ht="13" x14ac:dyDescent="0.15">
      <c r="K564" s="17"/>
      <c r="L564" s="17"/>
    </row>
    <row r="565" spans="11:12" ht="13" x14ac:dyDescent="0.15">
      <c r="K565" s="17"/>
      <c r="L565" s="17"/>
    </row>
    <row r="566" spans="11:12" ht="13" x14ac:dyDescent="0.15">
      <c r="K566" s="17"/>
      <c r="L566" s="17"/>
    </row>
    <row r="567" spans="11:12" ht="13" x14ac:dyDescent="0.15">
      <c r="K567" s="17"/>
      <c r="L567" s="17"/>
    </row>
    <row r="568" spans="11:12" ht="13" x14ac:dyDescent="0.15">
      <c r="K568" s="17"/>
      <c r="L568" s="17"/>
    </row>
    <row r="569" spans="11:12" ht="13" x14ac:dyDescent="0.15">
      <c r="K569" s="17"/>
      <c r="L569" s="17"/>
    </row>
    <row r="570" spans="11:12" ht="13" x14ac:dyDescent="0.15">
      <c r="K570" s="17"/>
      <c r="L570" s="17"/>
    </row>
    <row r="571" spans="11:12" ht="13" x14ac:dyDescent="0.15">
      <c r="K571" s="17"/>
      <c r="L571" s="17"/>
    </row>
    <row r="572" spans="11:12" ht="13" x14ac:dyDescent="0.15">
      <c r="K572" s="17"/>
      <c r="L572" s="17"/>
    </row>
    <row r="573" spans="11:12" ht="13" x14ac:dyDescent="0.15">
      <c r="K573" s="17"/>
      <c r="L573" s="17"/>
    </row>
    <row r="574" spans="11:12" ht="13" x14ac:dyDescent="0.15">
      <c r="K574" s="17"/>
      <c r="L574" s="17"/>
    </row>
    <row r="575" spans="11:12" ht="13" x14ac:dyDescent="0.15">
      <c r="K575" s="17"/>
      <c r="L575" s="17"/>
    </row>
    <row r="576" spans="11:12" ht="13" x14ac:dyDescent="0.15">
      <c r="K576" s="17"/>
      <c r="L576" s="17"/>
    </row>
    <row r="577" spans="11:12" ht="13" x14ac:dyDescent="0.15">
      <c r="K577" s="17"/>
      <c r="L577" s="17"/>
    </row>
    <row r="578" spans="11:12" ht="13" x14ac:dyDescent="0.15">
      <c r="K578" s="17"/>
      <c r="L578" s="17"/>
    </row>
    <row r="579" spans="11:12" ht="13" x14ac:dyDescent="0.15">
      <c r="K579" s="17"/>
      <c r="L579" s="17"/>
    </row>
    <row r="580" spans="11:12" ht="13" x14ac:dyDescent="0.15">
      <c r="K580" s="17"/>
      <c r="L580" s="17"/>
    </row>
    <row r="581" spans="11:12" ht="13" x14ac:dyDescent="0.15">
      <c r="K581" s="17"/>
      <c r="L581" s="17"/>
    </row>
    <row r="582" spans="11:12" ht="13" x14ac:dyDescent="0.15">
      <c r="K582" s="17"/>
      <c r="L582" s="17"/>
    </row>
    <row r="583" spans="11:12" ht="13" x14ac:dyDescent="0.15">
      <c r="K583" s="17"/>
      <c r="L583" s="17"/>
    </row>
    <row r="584" spans="11:12" ht="13" x14ac:dyDescent="0.15">
      <c r="K584" s="17"/>
      <c r="L584" s="17"/>
    </row>
    <row r="585" spans="11:12" ht="13" x14ac:dyDescent="0.15">
      <c r="K585" s="17"/>
      <c r="L585" s="17"/>
    </row>
    <row r="586" spans="11:12" ht="13" x14ac:dyDescent="0.15">
      <c r="K586" s="17"/>
      <c r="L586" s="17"/>
    </row>
    <row r="587" spans="11:12" ht="13" x14ac:dyDescent="0.15">
      <c r="K587" s="17"/>
      <c r="L587" s="17"/>
    </row>
    <row r="588" spans="11:12" ht="13" x14ac:dyDescent="0.15">
      <c r="K588" s="17"/>
      <c r="L588" s="17"/>
    </row>
    <row r="589" spans="11:12" ht="13" x14ac:dyDescent="0.15">
      <c r="K589" s="17"/>
      <c r="L589" s="17"/>
    </row>
    <row r="590" spans="11:12" ht="13" x14ac:dyDescent="0.15">
      <c r="K590" s="17"/>
      <c r="L590" s="17"/>
    </row>
    <row r="591" spans="11:12" ht="13" x14ac:dyDescent="0.15">
      <c r="K591" s="17"/>
      <c r="L591" s="17"/>
    </row>
    <row r="592" spans="11:12" ht="13" x14ac:dyDescent="0.15">
      <c r="K592" s="17"/>
      <c r="L592" s="17"/>
    </row>
    <row r="593" spans="11:12" ht="13" x14ac:dyDescent="0.15">
      <c r="K593" s="17"/>
      <c r="L593" s="17"/>
    </row>
    <row r="594" spans="11:12" ht="13" x14ac:dyDescent="0.15">
      <c r="K594" s="17"/>
      <c r="L594" s="17"/>
    </row>
    <row r="595" spans="11:12" ht="13" x14ac:dyDescent="0.15">
      <c r="K595" s="17"/>
      <c r="L595" s="17"/>
    </row>
    <row r="596" spans="11:12" ht="13" x14ac:dyDescent="0.15">
      <c r="K596" s="17"/>
      <c r="L596" s="17"/>
    </row>
    <row r="597" spans="11:12" ht="13" x14ac:dyDescent="0.15">
      <c r="K597" s="17"/>
      <c r="L597" s="17"/>
    </row>
    <row r="598" spans="11:12" ht="13" x14ac:dyDescent="0.15">
      <c r="K598" s="17"/>
      <c r="L598" s="17"/>
    </row>
    <row r="599" spans="11:12" ht="13" x14ac:dyDescent="0.15">
      <c r="K599" s="17"/>
      <c r="L599" s="17"/>
    </row>
    <row r="600" spans="11:12" ht="13" x14ac:dyDescent="0.15">
      <c r="K600" s="17"/>
      <c r="L600" s="17"/>
    </row>
    <row r="601" spans="11:12" ht="13" x14ac:dyDescent="0.15">
      <c r="K601" s="17"/>
      <c r="L601" s="17"/>
    </row>
    <row r="602" spans="11:12" ht="13" x14ac:dyDescent="0.15">
      <c r="K602" s="17"/>
      <c r="L602" s="17"/>
    </row>
    <row r="603" spans="11:12" ht="13" x14ac:dyDescent="0.15">
      <c r="K603" s="17"/>
      <c r="L603" s="17"/>
    </row>
    <row r="604" spans="11:12" ht="13" x14ac:dyDescent="0.15">
      <c r="K604" s="17"/>
      <c r="L604" s="17"/>
    </row>
    <row r="605" spans="11:12" ht="13" x14ac:dyDescent="0.15">
      <c r="K605" s="17"/>
      <c r="L605" s="17"/>
    </row>
    <row r="606" spans="11:12" ht="13" x14ac:dyDescent="0.15">
      <c r="K606" s="17"/>
      <c r="L606" s="17"/>
    </row>
    <row r="607" spans="11:12" ht="13" x14ac:dyDescent="0.15">
      <c r="K607" s="17"/>
      <c r="L607" s="17"/>
    </row>
    <row r="608" spans="11:12" ht="13" x14ac:dyDescent="0.15">
      <c r="K608" s="17"/>
      <c r="L608" s="17"/>
    </row>
    <row r="609" spans="11:12" ht="13" x14ac:dyDescent="0.15">
      <c r="K609" s="17"/>
      <c r="L609" s="17"/>
    </row>
    <row r="610" spans="11:12" ht="13" x14ac:dyDescent="0.15">
      <c r="K610" s="17"/>
      <c r="L610" s="17"/>
    </row>
    <row r="611" spans="11:12" ht="13" x14ac:dyDescent="0.15">
      <c r="K611" s="17"/>
      <c r="L611" s="17"/>
    </row>
    <row r="612" spans="11:12" ht="13" x14ac:dyDescent="0.15">
      <c r="K612" s="17"/>
      <c r="L612" s="17"/>
    </row>
    <row r="613" spans="11:12" ht="13" x14ac:dyDescent="0.15">
      <c r="K613" s="17"/>
      <c r="L613" s="17"/>
    </row>
    <row r="614" spans="11:12" ht="13" x14ac:dyDescent="0.15">
      <c r="K614" s="17"/>
      <c r="L614" s="17"/>
    </row>
    <row r="615" spans="11:12" ht="13" x14ac:dyDescent="0.15">
      <c r="K615" s="17"/>
      <c r="L615" s="17"/>
    </row>
    <row r="616" spans="11:12" ht="13" x14ac:dyDescent="0.15">
      <c r="K616" s="17"/>
      <c r="L616" s="17"/>
    </row>
    <row r="617" spans="11:12" ht="13" x14ac:dyDescent="0.15">
      <c r="K617" s="17"/>
      <c r="L617" s="17"/>
    </row>
    <row r="618" spans="11:12" ht="13" x14ac:dyDescent="0.15">
      <c r="K618" s="17"/>
      <c r="L618" s="17"/>
    </row>
    <row r="619" spans="11:12" ht="13" x14ac:dyDescent="0.15">
      <c r="K619" s="17"/>
      <c r="L619" s="17"/>
    </row>
    <row r="620" spans="11:12" ht="13" x14ac:dyDescent="0.15">
      <c r="K620" s="17"/>
      <c r="L620" s="17"/>
    </row>
    <row r="621" spans="11:12" ht="13" x14ac:dyDescent="0.15">
      <c r="K621" s="17"/>
      <c r="L621" s="17"/>
    </row>
    <row r="622" spans="11:12" ht="13" x14ac:dyDescent="0.15">
      <c r="K622" s="17"/>
      <c r="L622" s="17"/>
    </row>
    <row r="623" spans="11:12" ht="13" x14ac:dyDescent="0.15">
      <c r="K623" s="17"/>
      <c r="L623" s="17"/>
    </row>
    <row r="624" spans="11:12" ht="13" x14ac:dyDescent="0.15">
      <c r="K624" s="17"/>
      <c r="L624" s="17"/>
    </row>
    <row r="625" spans="11:12" ht="13" x14ac:dyDescent="0.15">
      <c r="K625" s="17"/>
      <c r="L625" s="17"/>
    </row>
    <row r="626" spans="11:12" ht="13" x14ac:dyDescent="0.15">
      <c r="K626" s="17"/>
      <c r="L626" s="17"/>
    </row>
    <row r="627" spans="11:12" ht="13" x14ac:dyDescent="0.15">
      <c r="K627" s="17"/>
      <c r="L627" s="17"/>
    </row>
    <row r="628" spans="11:12" ht="13" x14ac:dyDescent="0.15">
      <c r="K628" s="17"/>
      <c r="L628" s="17"/>
    </row>
    <row r="629" spans="11:12" ht="13" x14ac:dyDescent="0.15">
      <c r="K629" s="17"/>
      <c r="L629" s="17"/>
    </row>
    <row r="630" spans="11:12" ht="13" x14ac:dyDescent="0.15">
      <c r="K630" s="17"/>
      <c r="L630" s="17"/>
    </row>
    <row r="631" spans="11:12" ht="13" x14ac:dyDescent="0.15">
      <c r="K631" s="17"/>
      <c r="L631" s="17"/>
    </row>
    <row r="632" spans="11:12" ht="13" x14ac:dyDescent="0.15">
      <c r="K632" s="17"/>
      <c r="L632" s="17"/>
    </row>
    <row r="633" spans="11:12" ht="13" x14ac:dyDescent="0.15">
      <c r="K633" s="17"/>
      <c r="L633" s="17"/>
    </row>
    <row r="634" spans="11:12" ht="13" x14ac:dyDescent="0.15">
      <c r="K634" s="17"/>
      <c r="L634" s="17"/>
    </row>
    <row r="635" spans="11:12" ht="13" x14ac:dyDescent="0.15">
      <c r="K635" s="17"/>
      <c r="L635" s="17"/>
    </row>
    <row r="636" spans="11:12" ht="13" x14ac:dyDescent="0.15">
      <c r="K636" s="17"/>
      <c r="L636" s="17"/>
    </row>
    <row r="637" spans="11:12" ht="13" x14ac:dyDescent="0.15">
      <c r="K637" s="17"/>
      <c r="L637" s="17"/>
    </row>
    <row r="638" spans="11:12" ht="13" x14ac:dyDescent="0.15">
      <c r="K638" s="17"/>
      <c r="L638" s="17"/>
    </row>
    <row r="639" spans="11:12" ht="13" x14ac:dyDescent="0.15">
      <c r="K639" s="17"/>
      <c r="L639" s="17"/>
    </row>
    <row r="640" spans="11:12" ht="13" x14ac:dyDescent="0.15">
      <c r="K640" s="17"/>
      <c r="L640" s="17"/>
    </row>
    <row r="641" spans="11:12" ht="13" x14ac:dyDescent="0.15">
      <c r="K641" s="17"/>
      <c r="L641" s="17"/>
    </row>
    <row r="642" spans="11:12" ht="13" x14ac:dyDescent="0.15">
      <c r="K642" s="17"/>
      <c r="L642" s="17"/>
    </row>
    <row r="643" spans="11:12" ht="13" x14ac:dyDescent="0.15">
      <c r="K643" s="17"/>
      <c r="L643" s="17"/>
    </row>
    <row r="644" spans="11:12" ht="13" x14ac:dyDescent="0.15">
      <c r="K644" s="17"/>
      <c r="L644" s="17"/>
    </row>
    <row r="645" spans="11:12" ht="13" x14ac:dyDescent="0.15">
      <c r="K645" s="17"/>
      <c r="L645" s="17"/>
    </row>
    <row r="646" spans="11:12" ht="13" x14ac:dyDescent="0.15">
      <c r="K646" s="17"/>
      <c r="L646" s="17"/>
    </row>
    <row r="647" spans="11:12" ht="13" x14ac:dyDescent="0.15">
      <c r="K647" s="17"/>
      <c r="L647" s="17"/>
    </row>
    <row r="648" spans="11:12" ht="13" x14ac:dyDescent="0.15">
      <c r="K648" s="17"/>
      <c r="L648" s="17"/>
    </row>
    <row r="649" spans="11:12" ht="13" x14ac:dyDescent="0.15">
      <c r="K649" s="17"/>
      <c r="L649" s="17"/>
    </row>
    <row r="650" spans="11:12" ht="13" x14ac:dyDescent="0.15">
      <c r="K650" s="17"/>
      <c r="L650" s="17"/>
    </row>
    <row r="651" spans="11:12" ht="13" x14ac:dyDescent="0.15">
      <c r="K651" s="17"/>
      <c r="L651" s="17"/>
    </row>
    <row r="652" spans="11:12" ht="13" x14ac:dyDescent="0.15">
      <c r="K652" s="17"/>
      <c r="L652" s="17"/>
    </row>
    <row r="653" spans="11:12" ht="13" x14ac:dyDescent="0.15">
      <c r="K653" s="17"/>
      <c r="L653" s="17"/>
    </row>
    <row r="654" spans="11:12" ht="13" x14ac:dyDescent="0.15">
      <c r="K654" s="17"/>
      <c r="L654" s="17"/>
    </row>
    <row r="655" spans="11:12" ht="13" x14ac:dyDescent="0.15">
      <c r="K655" s="17"/>
      <c r="L655" s="17"/>
    </row>
    <row r="656" spans="11:12" ht="13" x14ac:dyDescent="0.15">
      <c r="K656" s="17"/>
      <c r="L656" s="17"/>
    </row>
    <row r="657" spans="11:12" ht="13" x14ac:dyDescent="0.15">
      <c r="K657" s="17"/>
      <c r="L657" s="17"/>
    </row>
    <row r="658" spans="11:12" ht="13" x14ac:dyDescent="0.15">
      <c r="K658" s="17"/>
      <c r="L658" s="17"/>
    </row>
    <row r="659" spans="11:12" ht="13" x14ac:dyDescent="0.15">
      <c r="K659" s="17"/>
      <c r="L659" s="17"/>
    </row>
    <row r="660" spans="11:12" ht="13" x14ac:dyDescent="0.15">
      <c r="K660" s="17"/>
      <c r="L660" s="17"/>
    </row>
    <row r="661" spans="11:12" ht="13" x14ac:dyDescent="0.15">
      <c r="K661" s="17"/>
      <c r="L661" s="17"/>
    </row>
    <row r="662" spans="11:12" ht="13" x14ac:dyDescent="0.15">
      <c r="K662" s="17"/>
      <c r="L662" s="17"/>
    </row>
    <row r="663" spans="11:12" ht="13" x14ac:dyDescent="0.15">
      <c r="K663" s="17"/>
      <c r="L663" s="17"/>
    </row>
    <row r="664" spans="11:12" ht="13" x14ac:dyDescent="0.15">
      <c r="K664" s="17"/>
      <c r="L664" s="17"/>
    </row>
    <row r="665" spans="11:12" ht="13" x14ac:dyDescent="0.15">
      <c r="K665" s="17"/>
      <c r="L665" s="17"/>
    </row>
    <row r="666" spans="11:12" ht="13" x14ac:dyDescent="0.15">
      <c r="K666" s="17"/>
      <c r="L666" s="17"/>
    </row>
    <row r="667" spans="11:12" ht="13" x14ac:dyDescent="0.15">
      <c r="K667" s="17"/>
      <c r="L667" s="17"/>
    </row>
    <row r="668" spans="11:12" ht="13" x14ac:dyDescent="0.15">
      <c r="K668" s="17"/>
      <c r="L668" s="17"/>
    </row>
    <row r="669" spans="11:12" ht="13" x14ac:dyDescent="0.15">
      <c r="K669" s="17"/>
      <c r="L669" s="17"/>
    </row>
    <row r="670" spans="11:12" ht="13" x14ac:dyDescent="0.15">
      <c r="K670" s="17"/>
      <c r="L670" s="17"/>
    </row>
    <row r="671" spans="11:12" ht="13" x14ac:dyDescent="0.15">
      <c r="K671" s="17"/>
      <c r="L671" s="17"/>
    </row>
    <row r="672" spans="11:12" ht="13" x14ac:dyDescent="0.15">
      <c r="K672" s="17"/>
      <c r="L672" s="17"/>
    </row>
    <row r="673" spans="11:12" ht="13" x14ac:dyDescent="0.15">
      <c r="K673" s="17"/>
      <c r="L673" s="17"/>
    </row>
    <row r="674" spans="11:12" ht="13" x14ac:dyDescent="0.15">
      <c r="K674" s="17"/>
      <c r="L674" s="17"/>
    </row>
    <row r="675" spans="11:12" ht="13" x14ac:dyDescent="0.15">
      <c r="K675" s="17"/>
      <c r="L675" s="17"/>
    </row>
    <row r="676" spans="11:12" ht="13" x14ac:dyDescent="0.15">
      <c r="K676" s="17"/>
      <c r="L676" s="17"/>
    </row>
    <row r="677" spans="11:12" ht="13" x14ac:dyDescent="0.15">
      <c r="K677" s="17"/>
      <c r="L677" s="17"/>
    </row>
    <row r="678" spans="11:12" ht="13" x14ac:dyDescent="0.15">
      <c r="K678" s="17"/>
      <c r="L678" s="17"/>
    </row>
    <row r="679" spans="11:12" ht="13" x14ac:dyDescent="0.15">
      <c r="K679" s="17"/>
      <c r="L679" s="17"/>
    </row>
    <row r="680" spans="11:12" ht="13" x14ac:dyDescent="0.15">
      <c r="K680" s="17"/>
      <c r="L680" s="17"/>
    </row>
    <row r="681" spans="11:12" ht="13" x14ac:dyDescent="0.15">
      <c r="K681" s="17"/>
      <c r="L681" s="17"/>
    </row>
    <row r="682" spans="11:12" ht="13" x14ac:dyDescent="0.15">
      <c r="K682" s="17"/>
      <c r="L682" s="17"/>
    </row>
    <row r="683" spans="11:12" ht="13" x14ac:dyDescent="0.15">
      <c r="K683" s="17"/>
      <c r="L683" s="17"/>
    </row>
    <row r="684" spans="11:12" ht="13" x14ac:dyDescent="0.15">
      <c r="K684" s="17"/>
      <c r="L684" s="17"/>
    </row>
    <row r="685" spans="11:12" ht="13" x14ac:dyDescent="0.15">
      <c r="K685" s="17"/>
      <c r="L685" s="17"/>
    </row>
    <row r="686" spans="11:12" ht="13" x14ac:dyDescent="0.15">
      <c r="K686" s="17"/>
      <c r="L686" s="17"/>
    </row>
    <row r="687" spans="11:12" ht="13" x14ac:dyDescent="0.15">
      <c r="K687" s="17"/>
      <c r="L687" s="17"/>
    </row>
    <row r="688" spans="11:12" ht="13" x14ac:dyDescent="0.15">
      <c r="K688" s="17"/>
      <c r="L688" s="17"/>
    </row>
    <row r="689" spans="11:12" ht="13" x14ac:dyDescent="0.15">
      <c r="K689" s="17"/>
      <c r="L689" s="17"/>
    </row>
    <row r="690" spans="11:12" ht="13" x14ac:dyDescent="0.15">
      <c r="K690" s="17"/>
      <c r="L690" s="17"/>
    </row>
    <row r="691" spans="11:12" ht="13" x14ac:dyDescent="0.15">
      <c r="K691" s="17"/>
      <c r="L691" s="17"/>
    </row>
    <row r="692" spans="11:12" ht="13" x14ac:dyDescent="0.15">
      <c r="K692" s="17"/>
      <c r="L692" s="17"/>
    </row>
    <row r="693" spans="11:12" ht="13" x14ac:dyDescent="0.15">
      <c r="K693" s="17"/>
      <c r="L693" s="17"/>
    </row>
    <row r="694" spans="11:12" ht="13" x14ac:dyDescent="0.15">
      <c r="K694" s="17"/>
      <c r="L694" s="17"/>
    </row>
    <row r="695" spans="11:12" ht="13" x14ac:dyDescent="0.15">
      <c r="K695" s="17"/>
      <c r="L695" s="17"/>
    </row>
    <row r="696" spans="11:12" ht="13" x14ac:dyDescent="0.15">
      <c r="K696" s="17"/>
      <c r="L696" s="17"/>
    </row>
    <row r="697" spans="11:12" ht="13" x14ac:dyDescent="0.15">
      <c r="K697" s="17"/>
      <c r="L697" s="17"/>
    </row>
    <row r="698" spans="11:12" ht="13" x14ac:dyDescent="0.15">
      <c r="K698" s="17"/>
      <c r="L698" s="17"/>
    </row>
    <row r="699" spans="11:12" ht="13" x14ac:dyDescent="0.15">
      <c r="K699" s="17"/>
      <c r="L699" s="17"/>
    </row>
    <row r="700" spans="11:12" ht="13" x14ac:dyDescent="0.15">
      <c r="K700" s="17"/>
      <c r="L700" s="17"/>
    </row>
    <row r="701" spans="11:12" ht="13" x14ac:dyDescent="0.15">
      <c r="K701" s="17"/>
      <c r="L701" s="17"/>
    </row>
    <row r="702" spans="11:12" ht="13" x14ac:dyDescent="0.15">
      <c r="K702" s="17"/>
      <c r="L702" s="17"/>
    </row>
    <row r="703" spans="11:12" ht="13" x14ac:dyDescent="0.15">
      <c r="K703" s="17"/>
      <c r="L703" s="17"/>
    </row>
    <row r="704" spans="11:12" ht="13" x14ac:dyDescent="0.15">
      <c r="K704" s="17"/>
      <c r="L704" s="17"/>
    </row>
    <row r="705" spans="11:12" ht="13" x14ac:dyDescent="0.15">
      <c r="K705" s="17"/>
      <c r="L705" s="17"/>
    </row>
    <row r="706" spans="11:12" ht="13" x14ac:dyDescent="0.15">
      <c r="K706" s="17"/>
      <c r="L706" s="17"/>
    </row>
    <row r="707" spans="11:12" ht="13" x14ac:dyDescent="0.15">
      <c r="K707" s="17"/>
      <c r="L707" s="17"/>
    </row>
    <row r="708" spans="11:12" ht="13" x14ac:dyDescent="0.15">
      <c r="K708" s="17"/>
      <c r="L708" s="17"/>
    </row>
    <row r="709" spans="11:12" ht="13" x14ac:dyDescent="0.15">
      <c r="K709" s="17"/>
      <c r="L709" s="17"/>
    </row>
    <row r="710" spans="11:12" ht="13" x14ac:dyDescent="0.15">
      <c r="K710" s="17"/>
      <c r="L710" s="17"/>
    </row>
    <row r="711" spans="11:12" ht="13" x14ac:dyDescent="0.15">
      <c r="K711" s="17"/>
      <c r="L711" s="17"/>
    </row>
    <row r="712" spans="11:12" ht="13" x14ac:dyDescent="0.15">
      <c r="K712" s="17"/>
      <c r="L712" s="17"/>
    </row>
    <row r="713" spans="11:12" ht="13" x14ac:dyDescent="0.15">
      <c r="K713" s="17"/>
      <c r="L713" s="17"/>
    </row>
    <row r="714" spans="11:12" ht="13" x14ac:dyDescent="0.15">
      <c r="K714" s="17"/>
      <c r="L714" s="17"/>
    </row>
    <row r="715" spans="11:12" ht="13" x14ac:dyDescent="0.15">
      <c r="K715" s="17"/>
      <c r="L715" s="17"/>
    </row>
    <row r="716" spans="11:12" ht="13" x14ac:dyDescent="0.15">
      <c r="K716" s="17"/>
      <c r="L716" s="17"/>
    </row>
    <row r="717" spans="11:12" ht="13" x14ac:dyDescent="0.15">
      <c r="K717" s="17"/>
      <c r="L717" s="17"/>
    </row>
    <row r="718" spans="11:12" ht="13" x14ac:dyDescent="0.15">
      <c r="K718" s="17"/>
      <c r="L718" s="17"/>
    </row>
    <row r="719" spans="11:12" ht="13" x14ac:dyDescent="0.15">
      <c r="K719" s="17"/>
      <c r="L719" s="17"/>
    </row>
    <row r="720" spans="11:12" ht="13" x14ac:dyDescent="0.15">
      <c r="K720" s="17"/>
      <c r="L720" s="17"/>
    </row>
    <row r="721" spans="11:12" ht="13" x14ac:dyDescent="0.15">
      <c r="K721" s="17"/>
      <c r="L721" s="17"/>
    </row>
    <row r="722" spans="11:12" ht="13" x14ac:dyDescent="0.15">
      <c r="K722" s="17"/>
      <c r="L722" s="17"/>
    </row>
    <row r="723" spans="11:12" ht="13" x14ac:dyDescent="0.15">
      <c r="K723" s="17"/>
      <c r="L723" s="17"/>
    </row>
    <row r="724" spans="11:12" ht="13" x14ac:dyDescent="0.15">
      <c r="K724" s="17"/>
      <c r="L724" s="17"/>
    </row>
    <row r="725" spans="11:12" ht="13" x14ac:dyDescent="0.15">
      <c r="K725" s="17"/>
      <c r="L725" s="17"/>
    </row>
    <row r="726" spans="11:12" ht="13" x14ac:dyDescent="0.15">
      <c r="K726" s="17"/>
      <c r="L726" s="17"/>
    </row>
    <row r="727" spans="11:12" ht="13" x14ac:dyDescent="0.15">
      <c r="K727" s="17"/>
      <c r="L727" s="17"/>
    </row>
    <row r="728" spans="11:12" ht="13" x14ac:dyDescent="0.15">
      <c r="K728" s="17"/>
      <c r="L728" s="17"/>
    </row>
    <row r="729" spans="11:12" ht="13" x14ac:dyDescent="0.15">
      <c r="K729" s="17"/>
      <c r="L729" s="17"/>
    </row>
    <row r="730" spans="11:12" ht="13" x14ac:dyDescent="0.15">
      <c r="K730" s="17"/>
      <c r="L730" s="17"/>
    </row>
    <row r="731" spans="11:12" ht="13" x14ac:dyDescent="0.15">
      <c r="K731" s="17"/>
      <c r="L731" s="17"/>
    </row>
    <row r="732" spans="11:12" ht="13" x14ac:dyDescent="0.15">
      <c r="K732" s="17"/>
      <c r="L732" s="17"/>
    </row>
    <row r="733" spans="11:12" ht="13" x14ac:dyDescent="0.15">
      <c r="K733" s="17"/>
      <c r="L733" s="17"/>
    </row>
    <row r="734" spans="11:12" ht="13" x14ac:dyDescent="0.15">
      <c r="K734" s="17"/>
      <c r="L734" s="17"/>
    </row>
    <row r="735" spans="11:12" ht="13" x14ac:dyDescent="0.15">
      <c r="K735" s="17"/>
      <c r="L735" s="17"/>
    </row>
    <row r="736" spans="11:12" ht="13" x14ac:dyDescent="0.15">
      <c r="K736" s="17"/>
      <c r="L736" s="17"/>
    </row>
    <row r="737" spans="11:12" ht="13" x14ac:dyDescent="0.15">
      <c r="K737" s="17"/>
      <c r="L737" s="17"/>
    </row>
    <row r="738" spans="11:12" ht="13" x14ac:dyDescent="0.15">
      <c r="K738" s="17"/>
      <c r="L738" s="17"/>
    </row>
    <row r="739" spans="11:12" ht="13" x14ac:dyDescent="0.15">
      <c r="K739" s="17"/>
      <c r="L739" s="17"/>
    </row>
    <row r="740" spans="11:12" ht="13" x14ac:dyDescent="0.15">
      <c r="K740" s="17"/>
      <c r="L740" s="17"/>
    </row>
    <row r="741" spans="11:12" ht="13" x14ac:dyDescent="0.15">
      <c r="K741" s="17"/>
      <c r="L741" s="17"/>
    </row>
    <row r="742" spans="11:12" ht="13" x14ac:dyDescent="0.15">
      <c r="K742" s="17"/>
      <c r="L742" s="17"/>
    </row>
    <row r="743" spans="11:12" ht="13" x14ac:dyDescent="0.15">
      <c r="K743" s="17"/>
      <c r="L743" s="17"/>
    </row>
    <row r="744" spans="11:12" ht="13" x14ac:dyDescent="0.15">
      <c r="K744" s="17"/>
      <c r="L744" s="17"/>
    </row>
    <row r="745" spans="11:12" ht="13" x14ac:dyDescent="0.15">
      <c r="K745" s="17"/>
      <c r="L745" s="17"/>
    </row>
    <row r="746" spans="11:12" ht="13" x14ac:dyDescent="0.15">
      <c r="K746" s="17"/>
      <c r="L746" s="17"/>
    </row>
    <row r="747" spans="11:12" ht="13" x14ac:dyDescent="0.15">
      <c r="K747" s="17"/>
      <c r="L747" s="17"/>
    </row>
    <row r="748" spans="11:12" ht="13" x14ac:dyDescent="0.15">
      <c r="K748" s="17"/>
      <c r="L748" s="17"/>
    </row>
    <row r="749" spans="11:12" ht="13" x14ac:dyDescent="0.15">
      <c r="K749" s="17"/>
      <c r="L749" s="17"/>
    </row>
    <row r="750" spans="11:12" ht="13" x14ac:dyDescent="0.15">
      <c r="K750" s="17"/>
      <c r="L750" s="17"/>
    </row>
    <row r="751" spans="11:12" ht="13" x14ac:dyDescent="0.15">
      <c r="K751" s="17"/>
      <c r="L751" s="17"/>
    </row>
    <row r="752" spans="11:12" ht="13" x14ac:dyDescent="0.15">
      <c r="K752" s="17"/>
      <c r="L752" s="17"/>
    </row>
    <row r="753" spans="11:12" ht="13" x14ac:dyDescent="0.15">
      <c r="K753" s="17"/>
      <c r="L753" s="17"/>
    </row>
    <row r="754" spans="11:12" ht="13" x14ac:dyDescent="0.15">
      <c r="K754" s="17"/>
      <c r="L754" s="17"/>
    </row>
    <row r="755" spans="11:12" ht="13" x14ac:dyDescent="0.15">
      <c r="K755" s="17"/>
      <c r="L755" s="17"/>
    </row>
    <row r="756" spans="11:12" ht="13" x14ac:dyDescent="0.15">
      <c r="K756" s="17"/>
      <c r="L756" s="17"/>
    </row>
    <row r="757" spans="11:12" ht="13" x14ac:dyDescent="0.15">
      <c r="K757" s="17"/>
      <c r="L757" s="17"/>
    </row>
    <row r="758" spans="11:12" ht="13" x14ac:dyDescent="0.15">
      <c r="K758" s="17"/>
      <c r="L758" s="17"/>
    </row>
    <row r="759" spans="11:12" ht="13" x14ac:dyDescent="0.15">
      <c r="K759" s="17"/>
      <c r="L759" s="17"/>
    </row>
    <row r="760" spans="11:12" ht="13" x14ac:dyDescent="0.15">
      <c r="K760" s="17"/>
      <c r="L760" s="17"/>
    </row>
    <row r="761" spans="11:12" ht="13" x14ac:dyDescent="0.15">
      <c r="K761" s="17"/>
      <c r="L761" s="17"/>
    </row>
    <row r="762" spans="11:12" ht="13" x14ac:dyDescent="0.15">
      <c r="K762" s="17"/>
      <c r="L762" s="17"/>
    </row>
    <row r="763" spans="11:12" ht="13" x14ac:dyDescent="0.15">
      <c r="K763" s="17"/>
      <c r="L763" s="17"/>
    </row>
    <row r="764" spans="11:12" ht="13" x14ac:dyDescent="0.15">
      <c r="K764" s="17"/>
      <c r="L764" s="17"/>
    </row>
    <row r="765" spans="11:12" ht="13" x14ac:dyDescent="0.15">
      <c r="K765" s="17"/>
      <c r="L765" s="17"/>
    </row>
    <row r="766" spans="11:12" ht="13" x14ac:dyDescent="0.15">
      <c r="K766" s="17"/>
      <c r="L766" s="17"/>
    </row>
    <row r="767" spans="11:12" ht="13" x14ac:dyDescent="0.15">
      <c r="K767" s="17"/>
      <c r="L767" s="17"/>
    </row>
    <row r="768" spans="11:12" ht="13" x14ac:dyDescent="0.15">
      <c r="K768" s="17"/>
      <c r="L768" s="17"/>
    </row>
    <row r="769" spans="11:12" ht="13" x14ac:dyDescent="0.15">
      <c r="K769" s="17"/>
      <c r="L769" s="17"/>
    </row>
    <row r="770" spans="11:12" ht="13" x14ac:dyDescent="0.15">
      <c r="K770" s="17"/>
      <c r="L770" s="17"/>
    </row>
    <row r="771" spans="11:12" ht="13" x14ac:dyDescent="0.15">
      <c r="K771" s="17"/>
      <c r="L771" s="17"/>
    </row>
    <row r="772" spans="11:12" ht="13" x14ac:dyDescent="0.15">
      <c r="K772" s="17"/>
      <c r="L772" s="17"/>
    </row>
    <row r="773" spans="11:12" ht="13" x14ac:dyDescent="0.15">
      <c r="K773" s="17"/>
      <c r="L773" s="17"/>
    </row>
    <row r="774" spans="11:12" ht="13" x14ac:dyDescent="0.15">
      <c r="K774" s="17"/>
      <c r="L774" s="17"/>
    </row>
    <row r="775" spans="11:12" ht="13" x14ac:dyDescent="0.15">
      <c r="K775" s="17"/>
      <c r="L775" s="17"/>
    </row>
    <row r="776" spans="11:12" ht="13" x14ac:dyDescent="0.15">
      <c r="K776" s="17"/>
      <c r="L776" s="17"/>
    </row>
    <row r="777" spans="11:12" ht="13" x14ac:dyDescent="0.15">
      <c r="K777" s="17"/>
      <c r="L777" s="17"/>
    </row>
    <row r="778" spans="11:12" ht="13" x14ac:dyDescent="0.15">
      <c r="K778" s="17"/>
      <c r="L778" s="17"/>
    </row>
    <row r="779" spans="11:12" ht="13" x14ac:dyDescent="0.15">
      <c r="K779" s="17"/>
      <c r="L779" s="17"/>
    </row>
    <row r="780" spans="11:12" ht="13" x14ac:dyDescent="0.15">
      <c r="K780" s="17"/>
      <c r="L780" s="17"/>
    </row>
    <row r="781" spans="11:12" ht="13" x14ac:dyDescent="0.15">
      <c r="K781" s="17"/>
      <c r="L781" s="17"/>
    </row>
    <row r="782" spans="11:12" ht="13" x14ac:dyDescent="0.15">
      <c r="K782" s="17"/>
      <c r="L782" s="17"/>
    </row>
    <row r="783" spans="11:12" ht="13" x14ac:dyDescent="0.15">
      <c r="K783" s="17"/>
      <c r="L783" s="17"/>
    </row>
    <row r="784" spans="11:12" ht="13" x14ac:dyDescent="0.15">
      <c r="K784" s="17"/>
      <c r="L784" s="17"/>
    </row>
    <row r="785" spans="11:12" ht="13" x14ac:dyDescent="0.15">
      <c r="K785" s="17"/>
      <c r="L785" s="17"/>
    </row>
    <row r="786" spans="11:12" ht="13" x14ac:dyDescent="0.15">
      <c r="K786" s="17"/>
      <c r="L786" s="17"/>
    </row>
    <row r="787" spans="11:12" ht="13" x14ac:dyDescent="0.15">
      <c r="K787" s="17"/>
      <c r="L787" s="17"/>
    </row>
    <row r="788" spans="11:12" ht="13" x14ac:dyDescent="0.15">
      <c r="K788" s="17"/>
      <c r="L788" s="17"/>
    </row>
    <row r="789" spans="11:12" ht="13" x14ac:dyDescent="0.15">
      <c r="K789" s="17"/>
      <c r="L789" s="17"/>
    </row>
    <row r="790" spans="11:12" ht="13" x14ac:dyDescent="0.15">
      <c r="K790" s="17"/>
      <c r="L790" s="17"/>
    </row>
    <row r="791" spans="11:12" ht="13" x14ac:dyDescent="0.15">
      <c r="K791" s="17"/>
      <c r="L791" s="17"/>
    </row>
    <row r="792" spans="11:12" ht="13" x14ac:dyDescent="0.15">
      <c r="K792" s="17"/>
      <c r="L792" s="17"/>
    </row>
    <row r="793" spans="11:12" ht="13" x14ac:dyDescent="0.15">
      <c r="K793" s="17"/>
      <c r="L793" s="17"/>
    </row>
    <row r="794" spans="11:12" ht="13" x14ac:dyDescent="0.15">
      <c r="K794" s="17"/>
      <c r="L794" s="17"/>
    </row>
    <row r="795" spans="11:12" ht="13" x14ac:dyDescent="0.15">
      <c r="K795" s="17"/>
      <c r="L795" s="17"/>
    </row>
    <row r="796" spans="11:12" ht="13" x14ac:dyDescent="0.15">
      <c r="K796" s="17"/>
      <c r="L796" s="17"/>
    </row>
    <row r="797" spans="11:12" ht="13" x14ac:dyDescent="0.15">
      <c r="K797" s="17"/>
      <c r="L797" s="17"/>
    </row>
    <row r="798" spans="11:12" ht="13" x14ac:dyDescent="0.15">
      <c r="K798" s="17"/>
      <c r="L798" s="17"/>
    </row>
    <row r="799" spans="11:12" ht="13" x14ac:dyDescent="0.15">
      <c r="K799" s="17"/>
      <c r="L799" s="17"/>
    </row>
    <row r="800" spans="11:12" ht="13" x14ac:dyDescent="0.15">
      <c r="K800" s="17"/>
      <c r="L800" s="17"/>
    </row>
    <row r="801" spans="11:12" ht="13" x14ac:dyDescent="0.15">
      <c r="K801" s="17"/>
      <c r="L801" s="17"/>
    </row>
    <row r="802" spans="11:12" ht="13" x14ac:dyDescent="0.15">
      <c r="K802" s="17"/>
      <c r="L802" s="17"/>
    </row>
    <row r="803" spans="11:12" ht="13" x14ac:dyDescent="0.15">
      <c r="K803" s="17"/>
      <c r="L803" s="17"/>
    </row>
    <row r="804" spans="11:12" ht="13" x14ac:dyDescent="0.15">
      <c r="K804" s="17"/>
      <c r="L804" s="17"/>
    </row>
    <row r="805" spans="11:12" ht="13" x14ac:dyDescent="0.15">
      <c r="K805" s="17"/>
      <c r="L805" s="17"/>
    </row>
    <row r="806" spans="11:12" ht="13" x14ac:dyDescent="0.15">
      <c r="K806" s="17"/>
      <c r="L806" s="17"/>
    </row>
    <row r="807" spans="11:12" ht="13" x14ac:dyDescent="0.15">
      <c r="K807" s="17"/>
      <c r="L807" s="17"/>
    </row>
    <row r="808" spans="11:12" ht="13" x14ac:dyDescent="0.15">
      <c r="K808" s="17"/>
      <c r="L808" s="17"/>
    </row>
    <row r="809" spans="11:12" ht="13" x14ac:dyDescent="0.15">
      <c r="K809" s="17"/>
      <c r="L809" s="17"/>
    </row>
    <row r="810" spans="11:12" ht="13" x14ac:dyDescent="0.15">
      <c r="K810" s="17"/>
      <c r="L810" s="17"/>
    </row>
    <row r="811" spans="11:12" ht="13" x14ac:dyDescent="0.15">
      <c r="K811" s="17"/>
      <c r="L811" s="17"/>
    </row>
    <row r="812" spans="11:12" ht="13" x14ac:dyDescent="0.15">
      <c r="K812" s="17"/>
      <c r="L812" s="17"/>
    </row>
    <row r="813" spans="11:12" ht="13" x14ac:dyDescent="0.15">
      <c r="K813" s="17"/>
      <c r="L813" s="17"/>
    </row>
    <row r="814" spans="11:12" ht="13" x14ac:dyDescent="0.15">
      <c r="K814" s="17"/>
      <c r="L814" s="17"/>
    </row>
    <row r="815" spans="11:12" ht="13" x14ac:dyDescent="0.15">
      <c r="K815" s="17"/>
      <c r="L815" s="17"/>
    </row>
    <row r="816" spans="11:12" ht="13" x14ac:dyDescent="0.15">
      <c r="K816" s="17"/>
      <c r="L816" s="17"/>
    </row>
    <row r="817" spans="11:12" ht="13" x14ac:dyDescent="0.15">
      <c r="K817" s="17"/>
      <c r="L817" s="17"/>
    </row>
    <row r="818" spans="11:12" ht="13" x14ac:dyDescent="0.15">
      <c r="K818" s="17"/>
      <c r="L818" s="17"/>
    </row>
    <row r="819" spans="11:12" ht="13" x14ac:dyDescent="0.15">
      <c r="K819" s="17"/>
      <c r="L819" s="17"/>
    </row>
    <row r="820" spans="11:12" ht="13" x14ac:dyDescent="0.15">
      <c r="K820" s="17"/>
      <c r="L820" s="17"/>
    </row>
    <row r="821" spans="11:12" ht="13" x14ac:dyDescent="0.15">
      <c r="K821" s="17"/>
      <c r="L821" s="17"/>
    </row>
    <row r="822" spans="11:12" ht="13" x14ac:dyDescent="0.15">
      <c r="K822" s="17"/>
      <c r="L822" s="17"/>
    </row>
    <row r="823" spans="11:12" ht="13" x14ac:dyDescent="0.15">
      <c r="K823" s="17"/>
      <c r="L823" s="17"/>
    </row>
    <row r="824" spans="11:12" ht="13" x14ac:dyDescent="0.15">
      <c r="K824" s="17"/>
      <c r="L824" s="17"/>
    </row>
    <row r="825" spans="11:12" ht="13" x14ac:dyDescent="0.15">
      <c r="K825" s="17"/>
      <c r="L825" s="17"/>
    </row>
    <row r="826" spans="11:12" ht="13" x14ac:dyDescent="0.15">
      <c r="K826" s="17"/>
      <c r="L826" s="17"/>
    </row>
    <row r="827" spans="11:12" ht="13" x14ac:dyDescent="0.15">
      <c r="K827" s="17"/>
      <c r="L827" s="17"/>
    </row>
    <row r="828" spans="11:12" ht="13" x14ac:dyDescent="0.15">
      <c r="K828" s="17"/>
      <c r="L828" s="17"/>
    </row>
    <row r="829" spans="11:12" ht="13" x14ac:dyDescent="0.15">
      <c r="K829" s="17"/>
      <c r="L829" s="17"/>
    </row>
    <row r="830" spans="11:12" ht="13" x14ac:dyDescent="0.15">
      <c r="K830" s="17"/>
      <c r="L830" s="17"/>
    </row>
    <row r="831" spans="11:12" ht="13" x14ac:dyDescent="0.15">
      <c r="K831" s="17"/>
      <c r="L831" s="17"/>
    </row>
    <row r="832" spans="11:12" ht="13" x14ac:dyDescent="0.15">
      <c r="K832" s="17"/>
      <c r="L832" s="17"/>
    </row>
    <row r="833" spans="11:12" ht="13" x14ac:dyDescent="0.15">
      <c r="K833" s="17"/>
      <c r="L833" s="17"/>
    </row>
    <row r="834" spans="11:12" ht="13" x14ac:dyDescent="0.15">
      <c r="K834" s="17"/>
      <c r="L834" s="17"/>
    </row>
    <row r="835" spans="11:12" ht="13" x14ac:dyDescent="0.15">
      <c r="K835" s="17"/>
      <c r="L835" s="17"/>
    </row>
    <row r="836" spans="11:12" ht="13" x14ac:dyDescent="0.15">
      <c r="K836" s="17"/>
      <c r="L836" s="17"/>
    </row>
    <row r="837" spans="11:12" ht="13" x14ac:dyDescent="0.15">
      <c r="K837" s="17"/>
      <c r="L837" s="17"/>
    </row>
    <row r="838" spans="11:12" ht="13" x14ac:dyDescent="0.15">
      <c r="K838" s="17"/>
      <c r="L838" s="17"/>
    </row>
    <row r="839" spans="11:12" ht="13" x14ac:dyDescent="0.15">
      <c r="K839" s="17"/>
      <c r="L839" s="17"/>
    </row>
    <row r="840" spans="11:12" ht="13" x14ac:dyDescent="0.15">
      <c r="K840" s="17"/>
      <c r="L840" s="17"/>
    </row>
    <row r="841" spans="11:12" ht="13" x14ac:dyDescent="0.15">
      <c r="K841" s="17"/>
      <c r="L841" s="17"/>
    </row>
    <row r="842" spans="11:12" ht="13" x14ac:dyDescent="0.15">
      <c r="K842" s="17"/>
      <c r="L842" s="17"/>
    </row>
    <row r="843" spans="11:12" ht="13" x14ac:dyDescent="0.15">
      <c r="K843" s="17"/>
      <c r="L843" s="17"/>
    </row>
    <row r="844" spans="11:12" ht="13" x14ac:dyDescent="0.15">
      <c r="K844" s="17"/>
      <c r="L844" s="17"/>
    </row>
    <row r="845" spans="11:12" ht="13" x14ac:dyDescent="0.15">
      <c r="K845" s="17"/>
      <c r="L845" s="17"/>
    </row>
    <row r="846" spans="11:12" ht="13" x14ac:dyDescent="0.15">
      <c r="K846" s="17"/>
      <c r="L846" s="17"/>
    </row>
    <row r="847" spans="11:12" ht="13" x14ac:dyDescent="0.15">
      <c r="K847" s="17"/>
      <c r="L847" s="17"/>
    </row>
    <row r="848" spans="11:12" ht="13" x14ac:dyDescent="0.15">
      <c r="K848" s="17"/>
      <c r="L848" s="17"/>
    </row>
    <row r="849" spans="11:12" ht="13" x14ac:dyDescent="0.15">
      <c r="K849" s="17"/>
      <c r="L849" s="17"/>
    </row>
    <row r="850" spans="11:12" ht="13" x14ac:dyDescent="0.15">
      <c r="K850" s="17"/>
      <c r="L850" s="17"/>
    </row>
    <row r="851" spans="11:12" ht="13" x14ac:dyDescent="0.15">
      <c r="K851" s="17"/>
      <c r="L851" s="17"/>
    </row>
    <row r="852" spans="11:12" ht="13" x14ac:dyDescent="0.15">
      <c r="K852" s="17"/>
      <c r="L852" s="17"/>
    </row>
    <row r="853" spans="11:12" ht="13" x14ac:dyDescent="0.15">
      <c r="K853" s="17"/>
      <c r="L853" s="17"/>
    </row>
    <row r="854" spans="11:12" ht="13" x14ac:dyDescent="0.15">
      <c r="K854" s="17"/>
      <c r="L854" s="17"/>
    </row>
    <row r="855" spans="11:12" ht="13" x14ac:dyDescent="0.15">
      <c r="K855" s="17"/>
      <c r="L855" s="17"/>
    </row>
    <row r="856" spans="11:12" ht="13" x14ac:dyDescent="0.15">
      <c r="K856" s="17"/>
      <c r="L856" s="17"/>
    </row>
    <row r="857" spans="11:12" ht="13" x14ac:dyDescent="0.15">
      <c r="K857" s="17"/>
      <c r="L857" s="17"/>
    </row>
    <row r="858" spans="11:12" ht="13" x14ac:dyDescent="0.15">
      <c r="K858" s="17"/>
      <c r="L858" s="17"/>
    </row>
    <row r="859" spans="11:12" ht="13" x14ac:dyDescent="0.15">
      <c r="K859" s="17"/>
      <c r="L859" s="17"/>
    </row>
    <row r="860" spans="11:12" ht="13" x14ac:dyDescent="0.15">
      <c r="K860" s="17"/>
      <c r="L860" s="17"/>
    </row>
    <row r="861" spans="11:12" ht="13" x14ac:dyDescent="0.15">
      <c r="K861" s="17"/>
      <c r="L861" s="17"/>
    </row>
    <row r="862" spans="11:12" ht="13" x14ac:dyDescent="0.15">
      <c r="K862" s="17"/>
      <c r="L862" s="17"/>
    </row>
    <row r="863" spans="11:12" ht="13" x14ac:dyDescent="0.15">
      <c r="K863" s="17"/>
      <c r="L863" s="17"/>
    </row>
    <row r="864" spans="11:12" ht="13" x14ac:dyDescent="0.15">
      <c r="K864" s="17"/>
      <c r="L864" s="17"/>
    </row>
    <row r="865" spans="11:12" ht="13" x14ac:dyDescent="0.15">
      <c r="K865" s="17"/>
      <c r="L865" s="17"/>
    </row>
    <row r="866" spans="11:12" ht="13" x14ac:dyDescent="0.15">
      <c r="K866" s="17"/>
      <c r="L866" s="17"/>
    </row>
    <row r="867" spans="11:12" ht="13" x14ac:dyDescent="0.15">
      <c r="K867" s="17"/>
      <c r="L867" s="17"/>
    </row>
    <row r="868" spans="11:12" ht="13" x14ac:dyDescent="0.15">
      <c r="K868" s="17"/>
      <c r="L868" s="17"/>
    </row>
    <row r="869" spans="11:12" ht="13" x14ac:dyDescent="0.15">
      <c r="K869" s="17"/>
      <c r="L869" s="17"/>
    </row>
    <row r="870" spans="11:12" ht="13" x14ac:dyDescent="0.15">
      <c r="K870" s="17"/>
      <c r="L870" s="17"/>
    </row>
    <row r="871" spans="11:12" ht="13" x14ac:dyDescent="0.15">
      <c r="K871" s="17"/>
      <c r="L871" s="17"/>
    </row>
    <row r="872" spans="11:12" ht="13" x14ac:dyDescent="0.15">
      <c r="K872" s="17"/>
      <c r="L872" s="17"/>
    </row>
    <row r="873" spans="11:12" ht="13" x14ac:dyDescent="0.15">
      <c r="K873" s="17"/>
      <c r="L873" s="17"/>
    </row>
    <row r="874" spans="11:12" ht="13" x14ac:dyDescent="0.15">
      <c r="K874" s="17"/>
      <c r="L874" s="17"/>
    </row>
    <row r="875" spans="11:12" ht="13" x14ac:dyDescent="0.15">
      <c r="K875" s="17"/>
      <c r="L875" s="17"/>
    </row>
    <row r="876" spans="11:12" ht="13" x14ac:dyDescent="0.15">
      <c r="K876" s="17"/>
      <c r="L876" s="17"/>
    </row>
    <row r="877" spans="11:12" ht="13" x14ac:dyDescent="0.15">
      <c r="K877" s="17"/>
      <c r="L877" s="17"/>
    </row>
    <row r="878" spans="11:12" ht="13" x14ac:dyDescent="0.15">
      <c r="K878" s="17"/>
      <c r="L878" s="17"/>
    </row>
    <row r="879" spans="11:12" ht="13" x14ac:dyDescent="0.15">
      <c r="K879" s="17"/>
      <c r="L879" s="17"/>
    </row>
    <row r="880" spans="11:12" ht="13" x14ac:dyDescent="0.15">
      <c r="K880" s="17"/>
      <c r="L880" s="17"/>
    </row>
    <row r="881" spans="11:12" ht="13" x14ac:dyDescent="0.15">
      <c r="K881" s="17"/>
      <c r="L881" s="17"/>
    </row>
    <row r="882" spans="11:12" ht="13" x14ac:dyDescent="0.15">
      <c r="K882" s="17"/>
      <c r="L882" s="17"/>
    </row>
    <row r="883" spans="11:12" ht="13" x14ac:dyDescent="0.15">
      <c r="K883" s="17"/>
      <c r="L883" s="17"/>
    </row>
    <row r="884" spans="11:12" ht="13" x14ac:dyDescent="0.15">
      <c r="K884" s="17"/>
      <c r="L884" s="17"/>
    </row>
    <row r="885" spans="11:12" ht="13" x14ac:dyDescent="0.15">
      <c r="K885" s="17"/>
      <c r="L885" s="17"/>
    </row>
    <row r="886" spans="11:12" ht="13" x14ac:dyDescent="0.15">
      <c r="K886" s="17"/>
      <c r="L886" s="17"/>
    </row>
    <row r="887" spans="11:12" ht="13" x14ac:dyDescent="0.15">
      <c r="K887" s="17"/>
      <c r="L887" s="17"/>
    </row>
    <row r="888" spans="11:12" ht="13" x14ac:dyDescent="0.15">
      <c r="K888" s="17"/>
      <c r="L888" s="17"/>
    </row>
    <row r="889" spans="11:12" ht="13" x14ac:dyDescent="0.15">
      <c r="K889" s="17"/>
      <c r="L889" s="17"/>
    </row>
    <row r="890" spans="11:12" ht="13" x14ac:dyDescent="0.15">
      <c r="K890" s="17"/>
      <c r="L890" s="17"/>
    </row>
    <row r="891" spans="11:12" ht="13" x14ac:dyDescent="0.15">
      <c r="K891" s="17"/>
      <c r="L891" s="17"/>
    </row>
    <row r="892" spans="11:12" ht="13" x14ac:dyDescent="0.15">
      <c r="K892" s="17"/>
      <c r="L892" s="17"/>
    </row>
    <row r="893" spans="11:12" ht="13" x14ac:dyDescent="0.15">
      <c r="K893" s="17"/>
      <c r="L893" s="17"/>
    </row>
    <row r="894" spans="11:12" ht="13" x14ac:dyDescent="0.15">
      <c r="K894" s="17"/>
      <c r="L894" s="17"/>
    </row>
    <row r="895" spans="11:12" ht="13" x14ac:dyDescent="0.15">
      <c r="K895" s="17"/>
      <c r="L895" s="17"/>
    </row>
    <row r="896" spans="11:12" ht="13" x14ac:dyDescent="0.15">
      <c r="K896" s="17"/>
      <c r="L896" s="17"/>
    </row>
    <row r="897" spans="11:12" ht="13" x14ac:dyDescent="0.15">
      <c r="K897" s="17"/>
      <c r="L897" s="17"/>
    </row>
    <row r="898" spans="11:12" ht="13" x14ac:dyDescent="0.15">
      <c r="K898" s="17"/>
      <c r="L898" s="17"/>
    </row>
    <row r="899" spans="11:12" ht="13" x14ac:dyDescent="0.15">
      <c r="K899" s="17"/>
      <c r="L899" s="17"/>
    </row>
    <row r="900" spans="11:12" ht="13" x14ac:dyDescent="0.15">
      <c r="K900" s="17"/>
      <c r="L900" s="17"/>
    </row>
    <row r="901" spans="11:12" ht="13" x14ac:dyDescent="0.15">
      <c r="K901" s="17"/>
      <c r="L901" s="17"/>
    </row>
    <row r="902" spans="11:12" ht="13" x14ac:dyDescent="0.15">
      <c r="K902" s="17"/>
      <c r="L902" s="17"/>
    </row>
    <row r="903" spans="11:12" ht="13" x14ac:dyDescent="0.15">
      <c r="K903" s="17"/>
      <c r="L903" s="17"/>
    </row>
    <row r="904" spans="11:12" ht="13" x14ac:dyDescent="0.15">
      <c r="K904" s="17"/>
      <c r="L904" s="17"/>
    </row>
    <row r="905" spans="11:12" ht="13" x14ac:dyDescent="0.15">
      <c r="K905" s="17"/>
      <c r="L905" s="17"/>
    </row>
    <row r="906" spans="11:12" ht="13" x14ac:dyDescent="0.15">
      <c r="K906" s="17"/>
      <c r="L906" s="17"/>
    </row>
    <row r="907" spans="11:12" ht="13" x14ac:dyDescent="0.15">
      <c r="K907" s="17"/>
      <c r="L907" s="17"/>
    </row>
    <row r="908" spans="11:12" ht="13" x14ac:dyDescent="0.15">
      <c r="K908" s="17"/>
      <c r="L908" s="17"/>
    </row>
    <row r="909" spans="11:12" ht="13" x14ac:dyDescent="0.15">
      <c r="K909" s="17"/>
      <c r="L909" s="17"/>
    </row>
    <row r="910" spans="11:12" ht="13" x14ac:dyDescent="0.15">
      <c r="K910" s="17"/>
      <c r="L910" s="17"/>
    </row>
    <row r="911" spans="11:12" ht="13" x14ac:dyDescent="0.15">
      <c r="K911" s="17"/>
      <c r="L911" s="17"/>
    </row>
    <row r="912" spans="11:12" ht="13" x14ac:dyDescent="0.15">
      <c r="K912" s="17"/>
      <c r="L912" s="17"/>
    </row>
    <row r="913" spans="11:12" ht="13" x14ac:dyDescent="0.15">
      <c r="K913" s="17"/>
      <c r="L913" s="17"/>
    </row>
    <row r="914" spans="11:12" ht="13" x14ac:dyDescent="0.15">
      <c r="K914" s="17"/>
      <c r="L914" s="17"/>
    </row>
    <row r="915" spans="11:12" ht="13" x14ac:dyDescent="0.15">
      <c r="K915" s="17"/>
      <c r="L915" s="17"/>
    </row>
    <row r="916" spans="11:12" ht="13" x14ac:dyDescent="0.15">
      <c r="K916" s="17"/>
      <c r="L916" s="17"/>
    </row>
    <row r="917" spans="11:12" ht="13" x14ac:dyDescent="0.15">
      <c r="K917" s="17"/>
      <c r="L917" s="17"/>
    </row>
    <row r="918" spans="11:12" ht="13" x14ac:dyDescent="0.15">
      <c r="K918" s="17"/>
      <c r="L918" s="17"/>
    </row>
    <row r="919" spans="11:12" ht="13" x14ac:dyDescent="0.15">
      <c r="K919" s="17"/>
      <c r="L919" s="17"/>
    </row>
    <row r="920" spans="11:12" ht="13" x14ac:dyDescent="0.15">
      <c r="K920" s="17"/>
      <c r="L920" s="17"/>
    </row>
    <row r="921" spans="11:12" ht="13" x14ac:dyDescent="0.15">
      <c r="K921" s="17"/>
      <c r="L921" s="17"/>
    </row>
    <row r="922" spans="11:12" ht="13" x14ac:dyDescent="0.15">
      <c r="K922" s="17"/>
      <c r="L922" s="17"/>
    </row>
    <row r="923" spans="11:12" ht="13" x14ac:dyDescent="0.15">
      <c r="K923" s="17"/>
      <c r="L923" s="17"/>
    </row>
    <row r="924" spans="11:12" ht="13" x14ac:dyDescent="0.15">
      <c r="K924" s="17"/>
      <c r="L924" s="17"/>
    </row>
    <row r="925" spans="11:12" ht="13" x14ac:dyDescent="0.15">
      <c r="K925" s="17"/>
      <c r="L925" s="17"/>
    </row>
    <row r="926" spans="11:12" ht="13" x14ac:dyDescent="0.15">
      <c r="K926" s="17"/>
      <c r="L926" s="17"/>
    </row>
    <row r="927" spans="11:12" ht="13" x14ac:dyDescent="0.15">
      <c r="K927" s="17"/>
      <c r="L927" s="17"/>
    </row>
    <row r="928" spans="11:12" ht="13" x14ac:dyDescent="0.15">
      <c r="K928" s="17"/>
      <c r="L928" s="17"/>
    </row>
    <row r="929" spans="11:12" ht="13" x14ac:dyDescent="0.15">
      <c r="K929" s="17"/>
      <c r="L929" s="17"/>
    </row>
    <row r="930" spans="11:12" ht="13" x14ac:dyDescent="0.15">
      <c r="K930" s="17"/>
      <c r="L930" s="17"/>
    </row>
    <row r="931" spans="11:12" ht="13" x14ac:dyDescent="0.15">
      <c r="K931" s="17"/>
      <c r="L931" s="17"/>
    </row>
    <row r="932" spans="11:12" ht="13" x14ac:dyDescent="0.15">
      <c r="K932" s="17"/>
      <c r="L932" s="17"/>
    </row>
    <row r="933" spans="11:12" ht="13" x14ac:dyDescent="0.15">
      <c r="K933" s="17"/>
      <c r="L933" s="17"/>
    </row>
    <row r="934" spans="11:12" ht="13" x14ac:dyDescent="0.15">
      <c r="K934" s="17"/>
      <c r="L934" s="17"/>
    </row>
    <row r="935" spans="11:12" ht="13" x14ac:dyDescent="0.15">
      <c r="K935" s="17"/>
      <c r="L935" s="17"/>
    </row>
    <row r="936" spans="11:12" ht="13" x14ac:dyDescent="0.15">
      <c r="K936" s="17"/>
      <c r="L936" s="17"/>
    </row>
    <row r="937" spans="11:12" ht="13" x14ac:dyDescent="0.15">
      <c r="K937" s="17"/>
      <c r="L937" s="17"/>
    </row>
    <row r="938" spans="11:12" ht="13" x14ac:dyDescent="0.15">
      <c r="K938" s="17"/>
      <c r="L938" s="17"/>
    </row>
    <row r="939" spans="11:12" ht="13" x14ac:dyDescent="0.15">
      <c r="K939" s="17"/>
      <c r="L939" s="17"/>
    </row>
    <row r="940" spans="11:12" ht="13" x14ac:dyDescent="0.15">
      <c r="K940" s="17"/>
      <c r="L940" s="17"/>
    </row>
    <row r="941" spans="11:12" ht="13" x14ac:dyDescent="0.15">
      <c r="K941" s="17"/>
      <c r="L941" s="17"/>
    </row>
    <row r="942" spans="11:12" ht="13" x14ac:dyDescent="0.15">
      <c r="K942" s="17"/>
      <c r="L942" s="17"/>
    </row>
    <row r="943" spans="11:12" ht="13" x14ac:dyDescent="0.15">
      <c r="K943" s="17"/>
      <c r="L943" s="17"/>
    </row>
    <row r="944" spans="11:12" ht="13" x14ac:dyDescent="0.15">
      <c r="K944" s="17"/>
      <c r="L944" s="17"/>
    </row>
    <row r="945" spans="11:12" ht="13" x14ac:dyDescent="0.15">
      <c r="K945" s="17"/>
      <c r="L945" s="17"/>
    </row>
    <row r="946" spans="11:12" ht="13" x14ac:dyDescent="0.15">
      <c r="K946" s="17"/>
      <c r="L946" s="17"/>
    </row>
    <row r="947" spans="11:12" ht="13" x14ac:dyDescent="0.15">
      <c r="K947" s="17"/>
      <c r="L947" s="17"/>
    </row>
    <row r="948" spans="11:12" ht="13" x14ac:dyDescent="0.15">
      <c r="K948" s="17"/>
      <c r="L948" s="17"/>
    </row>
    <row r="949" spans="11:12" ht="13" x14ac:dyDescent="0.15">
      <c r="K949" s="17"/>
      <c r="L949" s="17"/>
    </row>
    <row r="950" spans="11:12" ht="13" x14ac:dyDescent="0.15">
      <c r="K950" s="17"/>
      <c r="L950" s="17"/>
    </row>
    <row r="951" spans="11:12" ht="13" x14ac:dyDescent="0.15">
      <c r="K951" s="17"/>
      <c r="L951" s="17"/>
    </row>
    <row r="952" spans="11:12" ht="13" x14ac:dyDescent="0.15">
      <c r="K952" s="17"/>
      <c r="L952" s="17"/>
    </row>
    <row r="953" spans="11:12" ht="13" x14ac:dyDescent="0.15">
      <c r="K953" s="17"/>
      <c r="L953" s="17"/>
    </row>
    <row r="954" spans="11:12" ht="13" x14ac:dyDescent="0.15">
      <c r="K954" s="17"/>
      <c r="L954" s="17"/>
    </row>
    <row r="955" spans="11:12" ht="13" x14ac:dyDescent="0.15">
      <c r="K955" s="17"/>
      <c r="L955" s="17"/>
    </row>
    <row r="956" spans="11:12" ht="13" x14ac:dyDescent="0.15">
      <c r="K956" s="17"/>
      <c r="L956" s="17"/>
    </row>
    <row r="957" spans="11:12" ht="13" x14ac:dyDescent="0.15">
      <c r="K957" s="17"/>
      <c r="L957" s="17"/>
    </row>
    <row r="958" spans="11:12" ht="13" x14ac:dyDescent="0.15">
      <c r="K958" s="17"/>
      <c r="L958" s="17"/>
    </row>
    <row r="959" spans="11:12" ht="13" x14ac:dyDescent="0.15">
      <c r="K959" s="17"/>
      <c r="L959" s="17"/>
    </row>
    <row r="960" spans="11:12" ht="13" x14ac:dyDescent="0.15">
      <c r="K960" s="17"/>
      <c r="L960" s="17"/>
    </row>
    <row r="961" spans="11:12" ht="13" x14ac:dyDescent="0.15">
      <c r="K961" s="17"/>
      <c r="L961" s="17"/>
    </row>
    <row r="962" spans="11:12" ht="13" x14ac:dyDescent="0.15">
      <c r="K962" s="17"/>
      <c r="L962" s="17"/>
    </row>
    <row r="963" spans="11:12" ht="13" x14ac:dyDescent="0.15">
      <c r="K963" s="17"/>
      <c r="L963" s="17"/>
    </row>
    <row r="964" spans="11:12" ht="13" x14ac:dyDescent="0.15">
      <c r="K964" s="17"/>
      <c r="L964" s="17"/>
    </row>
    <row r="965" spans="11:12" ht="13" x14ac:dyDescent="0.15">
      <c r="K965" s="17"/>
      <c r="L965" s="17"/>
    </row>
    <row r="966" spans="11:12" ht="13" x14ac:dyDescent="0.15">
      <c r="K966" s="17"/>
      <c r="L966" s="17"/>
    </row>
    <row r="967" spans="11:12" ht="13" x14ac:dyDescent="0.15">
      <c r="K967" s="17"/>
      <c r="L967" s="17"/>
    </row>
    <row r="968" spans="11:12" ht="13" x14ac:dyDescent="0.15">
      <c r="K968" s="17"/>
      <c r="L968" s="17"/>
    </row>
    <row r="969" spans="11:12" ht="13" x14ac:dyDescent="0.15">
      <c r="K969" s="17"/>
      <c r="L969" s="17"/>
    </row>
    <row r="970" spans="11:12" ht="13" x14ac:dyDescent="0.15">
      <c r="K970" s="17"/>
      <c r="L970" s="17"/>
    </row>
    <row r="971" spans="11:12" ht="13" x14ac:dyDescent="0.15">
      <c r="K971" s="17"/>
      <c r="L971" s="17"/>
    </row>
    <row r="972" spans="11:12" ht="13" x14ac:dyDescent="0.15">
      <c r="K972" s="17"/>
      <c r="L972" s="17"/>
    </row>
    <row r="973" spans="11:12" ht="13" x14ac:dyDescent="0.15">
      <c r="K973" s="17"/>
      <c r="L973" s="17"/>
    </row>
    <row r="974" spans="11:12" ht="13" x14ac:dyDescent="0.15">
      <c r="K974" s="17"/>
      <c r="L974" s="17"/>
    </row>
    <row r="975" spans="11:12" ht="13" x14ac:dyDescent="0.15">
      <c r="K975" s="17"/>
      <c r="L975" s="17"/>
    </row>
    <row r="976" spans="11:12" ht="13" x14ac:dyDescent="0.15">
      <c r="K976" s="17"/>
      <c r="L976" s="17"/>
    </row>
    <row r="977" spans="11:12" ht="13" x14ac:dyDescent="0.15">
      <c r="K977" s="17"/>
      <c r="L977" s="17"/>
    </row>
    <row r="978" spans="11:12" ht="13" x14ac:dyDescent="0.15">
      <c r="K978" s="17"/>
      <c r="L978" s="17"/>
    </row>
    <row r="979" spans="11:12" ht="13" x14ac:dyDescent="0.15">
      <c r="K979" s="17"/>
      <c r="L979" s="17"/>
    </row>
    <row r="980" spans="11:12" ht="13" x14ac:dyDescent="0.15">
      <c r="K980" s="17"/>
      <c r="L980" s="17"/>
    </row>
    <row r="981" spans="11:12" ht="13" x14ac:dyDescent="0.15">
      <c r="K981" s="17"/>
      <c r="L981" s="17"/>
    </row>
    <row r="982" spans="11:12" ht="13" x14ac:dyDescent="0.15">
      <c r="K982" s="17"/>
      <c r="L982" s="17"/>
    </row>
    <row r="983" spans="11:12" ht="13" x14ac:dyDescent="0.15">
      <c r="K983" s="17"/>
      <c r="L983" s="17"/>
    </row>
    <row r="984" spans="11:12" ht="13" x14ac:dyDescent="0.15">
      <c r="K984" s="17"/>
      <c r="L984" s="17"/>
    </row>
    <row r="985" spans="11:12" ht="13" x14ac:dyDescent="0.15">
      <c r="K985" s="17"/>
      <c r="L985" s="17"/>
    </row>
    <row r="986" spans="11:12" ht="13" x14ac:dyDescent="0.15">
      <c r="K986" s="17"/>
      <c r="L986" s="17"/>
    </row>
    <row r="987" spans="11:12" ht="13" x14ac:dyDescent="0.15">
      <c r="K987" s="17"/>
      <c r="L987" s="17"/>
    </row>
    <row r="988" spans="11:12" ht="13" x14ac:dyDescent="0.15">
      <c r="K988" s="17"/>
      <c r="L988" s="17"/>
    </row>
    <row r="989" spans="11:12" ht="13" x14ac:dyDescent="0.15">
      <c r="K989" s="17"/>
      <c r="L989"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0"/>
  <sheetViews>
    <sheetView workbookViewId="0"/>
  </sheetViews>
  <sheetFormatPr baseColWidth="10" defaultColWidth="14.5" defaultRowHeight="15.75" customHeight="1" x14ac:dyDescent="0.15"/>
  <cols>
    <col min="2" max="2" width="16.5" customWidth="1"/>
  </cols>
  <sheetData>
    <row r="1" spans="1:10" ht="15.75" customHeight="1" x14ac:dyDescent="0.15">
      <c r="A1" s="6" t="s">
        <v>2</v>
      </c>
    </row>
    <row r="3" spans="1:10" ht="15.75" customHeight="1" x14ac:dyDescent="0.15">
      <c r="A3" s="6" t="s">
        <v>25</v>
      </c>
    </row>
    <row r="4" spans="1:10" ht="15.75" customHeight="1" x14ac:dyDescent="0.15">
      <c r="A4" s="1" t="s">
        <v>26</v>
      </c>
    </row>
    <row r="5" spans="1:10" ht="15.75" customHeight="1" x14ac:dyDescent="0.15">
      <c r="A5" s="1" t="s">
        <v>27</v>
      </c>
    </row>
    <row r="7" spans="1:10" ht="15.75" customHeight="1" x14ac:dyDescent="0.15">
      <c r="A7" s="1" t="s">
        <v>28</v>
      </c>
    </row>
    <row r="8" spans="1:10" ht="15.75" customHeight="1" x14ac:dyDescent="0.15">
      <c r="B8" s="1" t="s">
        <v>0</v>
      </c>
      <c r="C8" s="1" t="s">
        <v>29</v>
      </c>
    </row>
    <row r="9" spans="1:10" ht="15.75" customHeight="1" x14ac:dyDescent="0.15">
      <c r="B9" s="3" t="s">
        <v>1</v>
      </c>
      <c r="C9" s="8" t="s">
        <v>30</v>
      </c>
      <c r="D9" s="3"/>
      <c r="E9" s="3"/>
      <c r="F9" s="3"/>
      <c r="G9" s="3"/>
      <c r="H9" s="3"/>
      <c r="I9" s="3"/>
      <c r="J9" s="3"/>
    </row>
    <row r="10" spans="1:10" ht="15.75" customHeight="1" x14ac:dyDescent="0.15">
      <c r="B10" s="3" t="s">
        <v>3</v>
      </c>
      <c r="C10" s="8" t="s">
        <v>34</v>
      </c>
      <c r="D10" s="3"/>
      <c r="E10" s="3"/>
      <c r="F10" s="3"/>
      <c r="G10" s="3"/>
      <c r="H10" s="3"/>
      <c r="I10" s="3"/>
      <c r="J10" s="3"/>
    </row>
    <row r="11" spans="1:10" ht="15.75" customHeight="1" x14ac:dyDescent="0.15">
      <c r="B11" s="3" t="s">
        <v>4</v>
      </c>
      <c r="C11" s="8" t="s">
        <v>35</v>
      </c>
      <c r="D11" s="3"/>
      <c r="E11" s="3"/>
      <c r="F11" s="3"/>
      <c r="G11" s="3"/>
      <c r="H11" s="3"/>
      <c r="I11" s="3"/>
      <c r="J11" s="3"/>
    </row>
    <row r="12" spans="1:10" ht="15.75" customHeight="1" x14ac:dyDescent="0.15">
      <c r="B12" s="3" t="s">
        <v>5</v>
      </c>
      <c r="C12" s="8" t="s">
        <v>36</v>
      </c>
      <c r="D12" s="3"/>
      <c r="E12" s="3"/>
      <c r="F12" s="3"/>
      <c r="G12" s="3"/>
      <c r="H12" s="3"/>
      <c r="I12" s="3"/>
      <c r="J12" s="3"/>
    </row>
    <row r="13" spans="1:10" ht="15.75" customHeight="1" x14ac:dyDescent="0.15">
      <c r="B13" s="4" t="s">
        <v>6</v>
      </c>
      <c r="C13" s="10" t="s">
        <v>37</v>
      </c>
      <c r="D13" s="3"/>
      <c r="E13" s="3"/>
      <c r="F13" s="3"/>
      <c r="G13" s="3"/>
      <c r="H13" s="3"/>
      <c r="I13" s="3"/>
      <c r="J13" s="3"/>
    </row>
    <row r="14" spans="1:10" ht="15.75" customHeight="1" x14ac:dyDescent="0.15">
      <c r="B14" s="1" t="s">
        <v>7</v>
      </c>
      <c r="C14" s="1" t="s">
        <v>38</v>
      </c>
    </row>
    <row r="15" spans="1:10" ht="15.75" customHeight="1" x14ac:dyDescent="0.15">
      <c r="B15" s="1" t="s">
        <v>8</v>
      </c>
      <c r="C15" s="1" t="s">
        <v>39</v>
      </c>
    </row>
    <row r="16" spans="1:10" ht="15.75" customHeight="1" x14ac:dyDescent="0.15">
      <c r="B16" s="1" t="s">
        <v>9</v>
      </c>
      <c r="C16" s="1" t="s">
        <v>40</v>
      </c>
    </row>
    <row r="17" spans="2:3" ht="15.75" customHeight="1" x14ac:dyDescent="0.15">
      <c r="B17" s="1" t="s">
        <v>10</v>
      </c>
      <c r="C17" s="1" t="s">
        <v>41</v>
      </c>
    </row>
    <row r="18" spans="2:3" ht="15.75" customHeight="1" x14ac:dyDescent="0.15">
      <c r="B18" s="1" t="s">
        <v>11</v>
      </c>
      <c r="C18" s="1" t="s">
        <v>42</v>
      </c>
    </row>
    <row r="19" spans="2:3" ht="15.75" customHeight="1" x14ac:dyDescent="0.15">
      <c r="B19" s="1" t="s">
        <v>12</v>
      </c>
      <c r="C19" s="1" t="s">
        <v>43</v>
      </c>
    </row>
    <row r="20" spans="2:3" ht="15.75" customHeight="1" x14ac:dyDescent="0.15">
      <c r="B20" s="1" t="s">
        <v>13</v>
      </c>
      <c r="C20" s="1" t="s">
        <v>44</v>
      </c>
    </row>
    <row r="21" spans="2:3" ht="15.75" customHeight="1" x14ac:dyDescent="0.15">
      <c r="B21" s="1" t="s">
        <v>14</v>
      </c>
      <c r="C21" s="1" t="s">
        <v>45</v>
      </c>
    </row>
    <row r="22" spans="2:3" ht="15.75" customHeight="1" x14ac:dyDescent="0.15">
      <c r="B22" s="1" t="s">
        <v>15</v>
      </c>
      <c r="C22" s="1" t="s">
        <v>46</v>
      </c>
    </row>
    <row r="23" spans="2:3" ht="15.75" customHeight="1" x14ac:dyDescent="0.15">
      <c r="B23" s="1" t="s">
        <v>16</v>
      </c>
      <c r="C23" s="1" t="s">
        <v>48</v>
      </c>
    </row>
    <row r="24" spans="2:3" ht="15.75" customHeight="1" x14ac:dyDescent="0.15">
      <c r="B24" s="1" t="s">
        <v>17</v>
      </c>
      <c r="C24" s="1" t="s">
        <v>51</v>
      </c>
    </row>
    <row r="25" spans="2:3" ht="15.75" customHeight="1" x14ac:dyDescent="0.15">
      <c r="B25" s="1" t="s">
        <v>20</v>
      </c>
      <c r="C25" s="1" t="s">
        <v>52</v>
      </c>
    </row>
    <row r="26" spans="2:3" ht="15.75" customHeight="1" x14ac:dyDescent="0.15">
      <c r="B26" s="1" t="s">
        <v>21</v>
      </c>
      <c r="C26" s="1" t="s">
        <v>53</v>
      </c>
    </row>
    <row r="27" spans="2:3" ht="15.75" customHeight="1" x14ac:dyDescent="0.15">
      <c r="B27" s="1" t="s">
        <v>22</v>
      </c>
      <c r="C27" s="1" t="s">
        <v>54</v>
      </c>
    </row>
    <row r="28" spans="2:3" ht="15.75" customHeight="1" x14ac:dyDescent="0.15">
      <c r="B28" s="1" t="s">
        <v>23</v>
      </c>
      <c r="C28" s="11" t="s">
        <v>55</v>
      </c>
    </row>
    <row r="29" spans="2:3" ht="15.75" customHeight="1" x14ac:dyDescent="0.15">
      <c r="B29" s="1" t="s">
        <v>18</v>
      </c>
      <c r="C29" s="1" t="s">
        <v>58</v>
      </c>
    </row>
    <row r="30" spans="2:3" ht="15.75" customHeight="1" x14ac:dyDescent="0.15">
      <c r="B30" s="1" t="s">
        <v>19</v>
      </c>
      <c r="C30" s="1" t="s">
        <v>59</v>
      </c>
    </row>
    <row r="31" spans="2:3" ht="15.75" customHeight="1" x14ac:dyDescent="0.15">
      <c r="B31" s="1" t="s">
        <v>24</v>
      </c>
      <c r="C31" s="1" t="s">
        <v>60</v>
      </c>
    </row>
    <row r="33" spans="1:10" ht="15.75" customHeight="1" x14ac:dyDescent="0.15">
      <c r="A33" s="6" t="s">
        <v>61</v>
      </c>
    </row>
    <row r="34" spans="1:10" ht="15.75" customHeight="1" x14ac:dyDescent="0.15">
      <c r="A34" s="1" t="s">
        <v>62</v>
      </c>
    </row>
    <row r="36" spans="1:10" ht="15.75" customHeight="1" x14ac:dyDescent="0.15">
      <c r="A36" s="6" t="s">
        <v>63</v>
      </c>
    </row>
    <row r="37" spans="1:10" ht="15.75" customHeight="1" x14ac:dyDescent="0.15">
      <c r="A37" s="1" t="s">
        <v>64</v>
      </c>
    </row>
    <row r="39" spans="1:10" ht="15.75" customHeight="1" x14ac:dyDescent="0.15">
      <c r="A39" s="6" t="s">
        <v>65</v>
      </c>
    </row>
    <row r="40" spans="1:10" ht="15.75" customHeight="1" x14ac:dyDescent="0.15">
      <c r="A40" s="19" t="s">
        <v>69</v>
      </c>
      <c r="B40" s="20"/>
      <c r="C40" s="20"/>
      <c r="D40" s="20"/>
      <c r="E40" s="20"/>
      <c r="F40" s="20"/>
      <c r="G40" s="20"/>
      <c r="H40" s="20"/>
      <c r="I40" s="20"/>
      <c r="J40" s="20"/>
    </row>
    <row r="41" spans="1:10" ht="15.75" customHeight="1" x14ac:dyDescent="0.15">
      <c r="A41" s="1" t="s">
        <v>72</v>
      </c>
    </row>
    <row r="42" spans="1:10" ht="15.75" customHeight="1" x14ac:dyDescent="0.15">
      <c r="B42" s="3" t="s">
        <v>49</v>
      </c>
    </row>
    <row r="43" spans="1:10" ht="15.75" customHeight="1" x14ac:dyDescent="0.15">
      <c r="B43" s="3" t="s">
        <v>73</v>
      </c>
    </row>
    <row r="44" spans="1:10" ht="15.75" customHeight="1" x14ac:dyDescent="0.15">
      <c r="B44" s="3" t="s">
        <v>74</v>
      </c>
    </row>
    <row r="45" spans="1:10" ht="13" x14ac:dyDescent="0.15">
      <c r="B45" s="3" t="s">
        <v>75</v>
      </c>
    </row>
    <row r="46" spans="1:10" ht="13" x14ac:dyDescent="0.15">
      <c r="B46" s="3" t="s">
        <v>76</v>
      </c>
    </row>
    <row r="47" spans="1:10" ht="13" x14ac:dyDescent="0.15">
      <c r="B47" s="8" t="s">
        <v>77</v>
      </c>
    </row>
    <row r="48" spans="1:10" ht="13" x14ac:dyDescent="0.15">
      <c r="A48" s="1" t="s">
        <v>78</v>
      </c>
    </row>
    <row r="49" spans="1:10" ht="13" x14ac:dyDescent="0.15">
      <c r="B49" s="3" t="s">
        <v>71</v>
      </c>
    </row>
    <row r="50" spans="1:10" ht="13" x14ac:dyDescent="0.15">
      <c r="B50" s="3" t="s">
        <v>67</v>
      </c>
    </row>
    <row r="51" spans="1:10" ht="13" x14ac:dyDescent="0.15">
      <c r="B51" s="3" t="s">
        <v>80</v>
      </c>
    </row>
    <row r="52" spans="1:10" ht="13" x14ac:dyDescent="0.15">
      <c r="B52" s="3" t="s">
        <v>81</v>
      </c>
    </row>
    <row r="54" spans="1:10" ht="13" x14ac:dyDescent="0.15">
      <c r="A54" s="6" t="s">
        <v>82</v>
      </c>
    </row>
    <row r="55" spans="1:10" ht="13" x14ac:dyDescent="0.15">
      <c r="A55" s="19" t="s">
        <v>83</v>
      </c>
      <c r="B55" s="20"/>
      <c r="C55" s="20"/>
      <c r="D55" s="20"/>
      <c r="E55" s="20"/>
      <c r="F55" s="20"/>
      <c r="G55" s="20"/>
      <c r="H55" s="20"/>
      <c r="I55" s="20"/>
      <c r="J55" s="20"/>
    </row>
    <row r="56" spans="1:10" ht="13" x14ac:dyDescent="0.15">
      <c r="A56" s="1" t="s">
        <v>84</v>
      </c>
    </row>
    <row r="57" spans="1:10" ht="13" x14ac:dyDescent="0.15">
      <c r="B57" s="3" t="s">
        <v>85</v>
      </c>
    </row>
    <row r="58" spans="1:10" ht="13" x14ac:dyDescent="0.15">
      <c r="B58" s="3" t="s">
        <v>86</v>
      </c>
    </row>
    <row r="59" spans="1:10" ht="13" x14ac:dyDescent="0.15">
      <c r="B59" s="3" t="s">
        <v>87</v>
      </c>
    </row>
    <row r="60" spans="1:10" ht="13" x14ac:dyDescent="0.15">
      <c r="B60" s="8" t="s">
        <v>88</v>
      </c>
    </row>
  </sheetData>
  <mergeCells count="2">
    <mergeCell ref="A40:J40"/>
    <mergeCell ref="A55:J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3"/>
  <sheetViews>
    <sheetView workbookViewId="0"/>
  </sheetViews>
  <sheetFormatPr baseColWidth="10" defaultColWidth="14.5" defaultRowHeight="15.75" customHeight="1" x14ac:dyDescent="0.15"/>
  <sheetData>
    <row r="1" spans="1:5" ht="15.75" customHeight="1" x14ac:dyDescent="0.15">
      <c r="A1" s="2">
        <v>121.08</v>
      </c>
      <c r="B1" s="1"/>
      <c r="C1" s="1"/>
      <c r="D1" s="1"/>
      <c r="E1" s="1"/>
    </row>
    <row r="2" spans="1:5" ht="15.75" customHeight="1" x14ac:dyDescent="0.15">
      <c r="A2" s="1">
        <v>123.4</v>
      </c>
      <c r="B2" s="1"/>
      <c r="C2" s="1"/>
      <c r="D2" s="1"/>
      <c r="E2" s="1"/>
    </row>
    <row r="3" spans="1:5" ht="15.75" customHeight="1" x14ac:dyDescent="0.15">
      <c r="A3" s="1">
        <v>123.68</v>
      </c>
      <c r="B3" s="1"/>
      <c r="C3" s="1"/>
      <c r="D3" s="1"/>
    </row>
    <row r="4" spans="1:5" ht="15.75" customHeight="1" x14ac:dyDescent="0.15">
      <c r="A4" s="1">
        <v>128.34</v>
      </c>
      <c r="B4" s="1"/>
      <c r="C4" s="1"/>
      <c r="D4" s="1"/>
    </row>
    <row r="5" spans="1:5" ht="15.75" customHeight="1" x14ac:dyDescent="0.15">
      <c r="A5" s="1">
        <v>129.51</v>
      </c>
      <c r="B5" s="1"/>
      <c r="C5" s="1"/>
      <c r="D5" s="1"/>
      <c r="E5" s="1"/>
    </row>
    <row r="6" spans="1:5" ht="15.75" customHeight="1" x14ac:dyDescent="0.15">
      <c r="A6" s="1">
        <v>129.6</v>
      </c>
      <c r="B6" s="1"/>
      <c r="C6" s="1"/>
      <c r="D6" s="1"/>
      <c r="E6" s="1"/>
    </row>
    <row r="7" spans="1:5" ht="15.75" customHeight="1" x14ac:dyDescent="0.15">
      <c r="A7" s="1">
        <v>129.94</v>
      </c>
      <c r="B7" s="1"/>
      <c r="C7" s="1"/>
      <c r="D7" s="1"/>
      <c r="E7" s="1"/>
    </row>
    <row r="8" spans="1:5" ht="15.75" customHeight="1" x14ac:dyDescent="0.15">
      <c r="A8" s="1">
        <v>131.21</v>
      </c>
      <c r="B8" s="1"/>
      <c r="C8" s="1"/>
      <c r="D8" s="1"/>
      <c r="E8" s="1"/>
    </row>
    <row r="9" spans="1:5" ht="15.75" customHeight="1" x14ac:dyDescent="0.15">
      <c r="A9" s="1">
        <v>135.65</v>
      </c>
      <c r="B9" s="1"/>
      <c r="C9" s="1"/>
      <c r="D9" s="1"/>
    </row>
    <row r="10" spans="1:5" ht="15.75" customHeight="1" x14ac:dyDescent="0.15">
      <c r="A10" s="1">
        <v>136.88999999999999</v>
      </c>
      <c r="B10" s="4"/>
      <c r="C10" s="1"/>
      <c r="D10" s="1"/>
    </row>
    <row r="11" spans="1:5" ht="15.75" customHeight="1" x14ac:dyDescent="0.15">
      <c r="A11" s="3"/>
      <c r="B11" s="3"/>
      <c r="C11" s="1"/>
      <c r="D11" s="1"/>
    </row>
    <row r="12" spans="1:5" ht="15.75" customHeight="1" x14ac:dyDescent="0.15">
      <c r="A12" s="3"/>
      <c r="B12" s="3"/>
      <c r="C12" s="1"/>
      <c r="D12" s="1"/>
    </row>
    <row r="13" spans="1:5" ht="15.75" customHeight="1" x14ac:dyDescent="0.15">
      <c r="A13" s="3"/>
      <c r="B13" s="3"/>
      <c r="C13" s="1"/>
      <c r="D13" s="1"/>
    </row>
    <row r="14" spans="1:5" ht="15.75" customHeight="1" x14ac:dyDescent="0.15">
      <c r="A14" s="3"/>
      <c r="B14" s="3"/>
      <c r="C14" s="1"/>
      <c r="D14" s="1"/>
    </row>
    <row r="15" spans="1:5" ht="15.75" customHeight="1" x14ac:dyDescent="0.15">
      <c r="A15" s="4"/>
      <c r="B15" s="3"/>
      <c r="C15" s="1"/>
      <c r="D15" s="1"/>
    </row>
    <row r="16" spans="1:5" ht="15.75" customHeight="1" x14ac:dyDescent="0.15">
      <c r="A16" s="1"/>
      <c r="B16" s="1"/>
      <c r="C16" s="1"/>
      <c r="D16" s="1"/>
    </row>
    <row r="17" spans="1:5" ht="15.75" customHeight="1" x14ac:dyDescent="0.15">
      <c r="A17" s="1"/>
      <c r="B17" s="1"/>
      <c r="C17" s="1"/>
      <c r="D17" s="1"/>
    </row>
    <row r="18" spans="1:5" ht="15.75" customHeight="1" x14ac:dyDescent="0.15">
      <c r="A18" s="3"/>
      <c r="B18" s="4"/>
      <c r="C18" s="1"/>
      <c r="D18" s="1"/>
    </row>
    <row r="19" spans="1:5" ht="15.75" customHeight="1" x14ac:dyDescent="0.15">
      <c r="A19" s="3"/>
      <c r="B19" s="3"/>
      <c r="C19" s="1"/>
      <c r="D19" s="1"/>
    </row>
    <row r="20" spans="1:5" ht="15.75" customHeight="1" x14ac:dyDescent="0.15">
      <c r="A20" s="3"/>
      <c r="B20" s="3"/>
      <c r="C20" s="1"/>
      <c r="D20" s="1"/>
      <c r="E20" s="1"/>
    </row>
    <row r="21" spans="1:5" ht="15.75" customHeight="1" x14ac:dyDescent="0.15">
      <c r="A21" s="3"/>
      <c r="B21" s="3"/>
      <c r="C21" s="1"/>
      <c r="D21" s="1"/>
    </row>
    <row r="22" spans="1:5" ht="15.75" customHeight="1" x14ac:dyDescent="0.15">
      <c r="A22" s="1"/>
      <c r="B22" s="1"/>
      <c r="C22" s="1"/>
      <c r="D22" s="1"/>
      <c r="E22" s="1"/>
    </row>
    <row r="23" spans="1:5" ht="15.75" customHeight="1" x14ac:dyDescent="0.15">
      <c r="A23" s="3"/>
      <c r="B23" s="4"/>
      <c r="C23" s="1"/>
      <c r="D23" s="1"/>
      <c r="E23" s="1"/>
    </row>
    <row r="24" spans="1:5" ht="15.75" customHeight="1" x14ac:dyDescent="0.15">
      <c r="A24" s="3"/>
      <c r="B24" s="3"/>
      <c r="C24" s="1"/>
      <c r="D24" s="1"/>
      <c r="E24" s="1"/>
    </row>
    <row r="25" spans="1:5" ht="15.75" customHeight="1" x14ac:dyDescent="0.15">
      <c r="A25" s="3"/>
      <c r="B25" s="3"/>
      <c r="C25" s="1"/>
      <c r="D25" s="1"/>
      <c r="E25" s="1"/>
    </row>
    <row r="26" spans="1:5" ht="15.75" customHeight="1" x14ac:dyDescent="0.15">
      <c r="A26" s="3"/>
      <c r="B26" s="3"/>
      <c r="C26" s="1"/>
      <c r="D26" s="1"/>
      <c r="E26" s="1"/>
    </row>
    <row r="27" spans="1:5" ht="15.75" customHeight="1" x14ac:dyDescent="0.15">
      <c r="A27" s="3"/>
      <c r="B27" s="3"/>
      <c r="C27" s="1"/>
      <c r="D27" s="1"/>
      <c r="E27" s="1"/>
    </row>
    <row r="28" spans="1:5" ht="15.75" customHeight="1" x14ac:dyDescent="0.15">
      <c r="A28" s="9"/>
      <c r="B28" s="3"/>
      <c r="C28" s="1"/>
      <c r="D28" s="1"/>
      <c r="E28" s="1"/>
    </row>
    <row r="29" spans="1:5" ht="15.75" customHeight="1" x14ac:dyDescent="0.15">
      <c r="A29" s="9"/>
      <c r="B29" s="3"/>
      <c r="C29" s="1"/>
      <c r="D29" s="1"/>
      <c r="E29" s="1"/>
    </row>
    <row r="30" spans="1:5" ht="15.75" customHeight="1" x14ac:dyDescent="0.15">
      <c r="A30" s="9"/>
      <c r="B30" s="3"/>
      <c r="C30" s="1"/>
      <c r="D30" s="1"/>
      <c r="E30" s="1"/>
    </row>
    <row r="31" spans="1:5" ht="15.75" customHeight="1" x14ac:dyDescent="0.15">
      <c r="A31" s="9"/>
      <c r="B31" s="3"/>
      <c r="C31" s="1"/>
      <c r="D31" s="1"/>
      <c r="E31" s="1"/>
    </row>
    <row r="32" spans="1:5" ht="15.75" customHeight="1" x14ac:dyDescent="0.15">
      <c r="A32" s="1"/>
      <c r="B32" s="1"/>
      <c r="C32" s="1"/>
      <c r="D32" s="1"/>
    </row>
    <row r="33" spans="1:5" ht="15.75" customHeight="1" x14ac:dyDescent="0.15">
      <c r="A33" s="1"/>
      <c r="B33" s="1"/>
      <c r="C33" s="1"/>
      <c r="D33" s="1"/>
    </row>
    <row r="34" spans="1:5" ht="15.75" customHeight="1" x14ac:dyDescent="0.15">
      <c r="A34" s="3"/>
      <c r="B34" s="4"/>
      <c r="C34" s="1"/>
      <c r="D34" s="1"/>
    </row>
    <row r="35" spans="1:5" ht="15.75" customHeight="1" x14ac:dyDescent="0.15">
      <c r="A35" s="3"/>
      <c r="B35" s="3"/>
      <c r="C35" s="1"/>
      <c r="D35" s="1"/>
    </row>
    <row r="36" spans="1:5" ht="15.75" customHeight="1" x14ac:dyDescent="0.15">
      <c r="A36" s="3"/>
      <c r="B36" s="3"/>
      <c r="C36" s="1"/>
      <c r="D36" s="1"/>
    </row>
    <row r="37" spans="1:5" ht="15.75" customHeight="1" x14ac:dyDescent="0.15">
      <c r="A37" s="3"/>
      <c r="B37" s="3"/>
      <c r="C37" s="1"/>
      <c r="D37" s="1"/>
    </row>
    <row r="38" spans="1:5" ht="15.75" customHeight="1" x14ac:dyDescent="0.15">
      <c r="A38" s="3"/>
      <c r="B38" s="3"/>
      <c r="C38" s="1"/>
      <c r="D38" s="1"/>
    </row>
    <row r="39" spans="1:5" ht="15.75" customHeight="1" x14ac:dyDescent="0.15">
      <c r="A39" s="1"/>
      <c r="B39" s="1"/>
      <c r="C39" s="1"/>
      <c r="D39" s="1"/>
      <c r="E39" s="1"/>
    </row>
    <row r="40" spans="1:5" ht="15.75" customHeight="1" x14ac:dyDescent="0.15">
      <c r="A40" s="4"/>
      <c r="B40" s="4"/>
      <c r="C40" s="1"/>
      <c r="D40" s="1"/>
      <c r="E40" s="1"/>
    </row>
    <row r="41" spans="1:5" ht="15.75" customHeight="1" x14ac:dyDescent="0.15">
      <c r="A41" s="3"/>
      <c r="B41" s="3"/>
      <c r="C41" s="1"/>
      <c r="D41" s="1"/>
      <c r="E41" s="1"/>
    </row>
    <row r="42" spans="1:5" ht="15.75" customHeight="1" x14ac:dyDescent="0.15">
      <c r="A42" s="3"/>
      <c r="B42" s="3"/>
      <c r="C42" s="1"/>
      <c r="D42" s="1"/>
      <c r="E42" s="1"/>
    </row>
    <row r="43" spans="1:5" ht="15.75" customHeight="1" x14ac:dyDescent="0.15">
      <c r="A43" s="3"/>
      <c r="B43" s="3"/>
      <c r="C43" s="1"/>
      <c r="D43" s="1"/>
      <c r="E43" s="1"/>
    </row>
    <row r="44" spans="1:5" ht="15.75" customHeight="1" x14ac:dyDescent="0.15">
      <c r="A44" s="3"/>
      <c r="B44" s="3"/>
      <c r="C44" s="1"/>
      <c r="D44" s="1"/>
      <c r="E44" s="1"/>
    </row>
    <row r="45" spans="1:5" ht="13" x14ac:dyDescent="0.15">
      <c r="A45" s="1"/>
      <c r="B45" s="1"/>
      <c r="C45" s="1"/>
      <c r="D45" s="1"/>
      <c r="E45" s="1"/>
    </row>
    <row r="46" spans="1:5" ht="13" x14ac:dyDescent="0.15">
      <c r="A46" s="1"/>
      <c r="B46" s="1"/>
      <c r="C46" s="1"/>
      <c r="D46" s="1"/>
      <c r="E46" s="1"/>
    </row>
    <row r="47" spans="1:5" ht="13" x14ac:dyDescent="0.15">
      <c r="A47" s="1"/>
      <c r="B47" s="1"/>
      <c r="C47" s="1"/>
      <c r="D47" s="1"/>
      <c r="E47" s="1"/>
    </row>
    <row r="48" spans="1:5" ht="13" x14ac:dyDescent="0.15">
      <c r="A48" s="3"/>
      <c r="B48" s="4"/>
      <c r="C48" s="1"/>
      <c r="D48" s="1"/>
      <c r="E48" s="1"/>
    </row>
    <row r="49" spans="1:5" ht="13" x14ac:dyDescent="0.15">
      <c r="A49" s="3"/>
      <c r="B49" s="3"/>
      <c r="C49" s="1"/>
      <c r="D49" s="1"/>
      <c r="E49" s="1"/>
    </row>
    <row r="50" spans="1:5" ht="13" x14ac:dyDescent="0.15">
      <c r="A50" s="3"/>
      <c r="B50" s="3"/>
      <c r="C50" s="1"/>
      <c r="D50" s="1"/>
      <c r="E50" s="1"/>
    </row>
    <row r="51" spans="1:5" ht="13" x14ac:dyDescent="0.15">
      <c r="A51" s="3"/>
      <c r="B51" s="3"/>
      <c r="C51" s="1"/>
      <c r="D51" s="1"/>
      <c r="E51" s="1"/>
    </row>
    <row r="52" spans="1:5" ht="13" x14ac:dyDescent="0.15">
      <c r="A52" s="3"/>
      <c r="B52" s="3"/>
      <c r="C52" s="1"/>
      <c r="D52" s="1"/>
      <c r="E52" s="1"/>
    </row>
    <row r="53" spans="1:5" ht="13" x14ac:dyDescent="0.15">
      <c r="A53" s="1"/>
      <c r="B53" s="1"/>
      <c r="C53" s="1"/>
      <c r="D53" s="1"/>
    </row>
    <row r="54" spans="1:5" ht="13" x14ac:dyDescent="0.15">
      <c r="A54" s="1"/>
      <c r="B54" s="1"/>
      <c r="C54" s="1"/>
      <c r="D54" s="1"/>
    </row>
    <row r="55" spans="1:5" ht="13" x14ac:dyDescent="0.15">
      <c r="A55" s="3"/>
      <c r="B55" s="4"/>
      <c r="C55" s="1"/>
      <c r="D55" s="1"/>
    </row>
    <row r="56" spans="1:5" ht="13" x14ac:dyDescent="0.15">
      <c r="A56" s="3"/>
      <c r="B56" s="3"/>
      <c r="C56" s="1"/>
      <c r="D56" s="1"/>
      <c r="E56" s="1"/>
    </row>
    <row r="57" spans="1:5" ht="13" x14ac:dyDescent="0.15">
      <c r="A57" s="3"/>
      <c r="B57" s="3"/>
      <c r="C57" s="1"/>
      <c r="D57" s="1"/>
    </row>
    <row r="58" spans="1:5" ht="13" x14ac:dyDescent="0.15">
      <c r="A58" s="3"/>
      <c r="B58" s="3"/>
      <c r="C58" s="1"/>
      <c r="D58" s="1"/>
    </row>
    <row r="59" spans="1:5" ht="13" x14ac:dyDescent="0.15">
      <c r="A59" s="3"/>
      <c r="B59" s="3"/>
      <c r="C59" s="1"/>
      <c r="D59" s="1"/>
    </row>
    <row r="60" spans="1:5" ht="13" x14ac:dyDescent="0.15">
      <c r="A60" s="1"/>
      <c r="B60" s="1"/>
      <c r="C60" s="1"/>
      <c r="D60" s="1"/>
      <c r="E60" s="1"/>
    </row>
    <row r="61" spans="1:5" ht="13" x14ac:dyDescent="0.15">
      <c r="A61" s="1"/>
      <c r="B61" s="1"/>
      <c r="C61" s="1"/>
      <c r="D61" s="1"/>
      <c r="E61" s="1"/>
    </row>
    <row r="62" spans="1:5" ht="13" x14ac:dyDescent="0.15">
      <c r="A62" s="3"/>
      <c r="B62" s="4"/>
      <c r="C62" s="1"/>
      <c r="D62" s="1"/>
      <c r="E62" s="1"/>
    </row>
    <row r="63" spans="1:5" ht="13" x14ac:dyDescent="0.15">
      <c r="A63" s="3"/>
      <c r="B63" s="3"/>
      <c r="C63" s="1"/>
      <c r="D63" s="1"/>
      <c r="E63" s="1"/>
    </row>
    <row r="64" spans="1:5" ht="13" x14ac:dyDescent="0.15">
      <c r="A64" s="3"/>
      <c r="B64" s="3"/>
      <c r="C64" s="1"/>
      <c r="D64" s="1"/>
      <c r="E64" s="1"/>
    </row>
    <row r="65" spans="1:5" ht="13" x14ac:dyDescent="0.15">
      <c r="A65" s="3"/>
      <c r="B65" s="3"/>
      <c r="C65" s="1"/>
      <c r="D65" s="1"/>
      <c r="E65" s="1"/>
    </row>
    <row r="66" spans="1:5" ht="13" x14ac:dyDescent="0.15">
      <c r="A66" s="3"/>
      <c r="B66" s="3"/>
      <c r="C66" s="1"/>
      <c r="D66" s="1"/>
      <c r="E66" s="1"/>
    </row>
    <row r="67" spans="1:5" ht="13" x14ac:dyDescent="0.15">
      <c r="A67" s="8"/>
      <c r="B67" s="4"/>
      <c r="C67" s="1"/>
      <c r="D67" s="1"/>
      <c r="E67" s="1"/>
    </row>
    <row r="68" spans="1:5" ht="13" x14ac:dyDescent="0.15">
      <c r="A68" s="8"/>
      <c r="B68" s="3"/>
      <c r="C68" s="1"/>
      <c r="D68" s="1"/>
      <c r="E68" s="1"/>
    </row>
    <row r="69" spans="1:5" ht="13" x14ac:dyDescent="0.15">
      <c r="A69" s="8"/>
      <c r="B69" s="3"/>
      <c r="C69" s="1"/>
      <c r="D69" s="1"/>
      <c r="E69" s="1"/>
    </row>
    <row r="70" spans="1:5" ht="13" x14ac:dyDescent="0.15">
      <c r="A70" s="8"/>
      <c r="B70" s="3"/>
      <c r="C70" s="1"/>
      <c r="D70" s="1"/>
      <c r="E70" s="1"/>
    </row>
    <row r="71" spans="1:5" ht="13" x14ac:dyDescent="0.15">
      <c r="A71" s="8"/>
      <c r="B71" s="3"/>
      <c r="C71" s="1"/>
      <c r="D71" s="1"/>
      <c r="E71" s="1"/>
    </row>
    <row r="72" spans="1:5" ht="13" x14ac:dyDescent="0.15">
      <c r="A72" s="1"/>
      <c r="B72" s="1"/>
      <c r="C72" s="1"/>
      <c r="D72" s="1"/>
    </row>
    <row r="73" spans="1:5" ht="13" x14ac:dyDescent="0.15">
      <c r="A73" s="1"/>
      <c r="B73" s="1"/>
      <c r="C73" s="1"/>
      <c r="D73" s="1"/>
    </row>
    <row r="74" spans="1:5" ht="13" x14ac:dyDescent="0.15">
      <c r="A74" s="3"/>
      <c r="B74" s="4"/>
      <c r="C74" s="1"/>
      <c r="D74" s="1"/>
    </row>
    <row r="75" spans="1:5" ht="13" x14ac:dyDescent="0.15">
      <c r="A75" s="3"/>
      <c r="B75" s="3"/>
      <c r="C75" s="1"/>
      <c r="D75" s="1"/>
    </row>
    <row r="76" spans="1:5" ht="13" x14ac:dyDescent="0.15">
      <c r="A76" s="3"/>
      <c r="B76" s="3"/>
      <c r="C76" s="1"/>
      <c r="D76" s="1"/>
    </row>
    <row r="77" spans="1:5" ht="13" x14ac:dyDescent="0.15">
      <c r="A77" s="3"/>
      <c r="B77" s="3"/>
      <c r="C77" s="1"/>
      <c r="D77" s="1"/>
    </row>
    <row r="78" spans="1:5" ht="13" x14ac:dyDescent="0.15">
      <c r="A78" s="3"/>
      <c r="B78" s="3"/>
      <c r="C78" s="1"/>
      <c r="D78" s="1"/>
    </row>
    <row r="79" spans="1:5" ht="13" x14ac:dyDescent="0.15">
      <c r="A79" s="1"/>
      <c r="B79" s="1"/>
      <c r="C79" s="1"/>
      <c r="D79" s="1"/>
      <c r="E79" s="1"/>
    </row>
    <row r="80" spans="1:5" ht="13" x14ac:dyDescent="0.15">
      <c r="A80" s="1"/>
      <c r="B80" s="1"/>
      <c r="C80" s="1"/>
      <c r="D80" s="1"/>
      <c r="E80" s="1"/>
    </row>
    <row r="81" spans="1:5" ht="13" x14ac:dyDescent="0.15">
      <c r="A81" s="1"/>
      <c r="B81" s="1"/>
      <c r="C81" s="1"/>
      <c r="D81" s="1"/>
      <c r="E81" s="1"/>
    </row>
    <row r="82" spans="1:5" ht="13" x14ac:dyDescent="0.15">
      <c r="A82" s="3"/>
      <c r="B82" s="4"/>
      <c r="C82" s="1"/>
      <c r="D82" s="1"/>
      <c r="E82" s="1"/>
    </row>
    <row r="83" spans="1:5" ht="13" x14ac:dyDescent="0.15">
      <c r="A83" s="3"/>
      <c r="B83" s="3"/>
      <c r="C83" s="1"/>
      <c r="D83" s="1"/>
      <c r="E83" s="1"/>
    </row>
    <row r="84" spans="1:5" ht="13" x14ac:dyDescent="0.15">
      <c r="A84" s="3"/>
      <c r="B84" s="3"/>
      <c r="C84" s="1"/>
      <c r="D84" s="1"/>
      <c r="E84" s="1"/>
    </row>
    <row r="85" spans="1:5" ht="13" x14ac:dyDescent="0.15">
      <c r="A85" s="3"/>
      <c r="B85" s="3"/>
      <c r="C85" s="1"/>
      <c r="D85" s="1"/>
      <c r="E85" s="1"/>
    </row>
    <row r="86" spans="1:5" ht="13" x14ac:dyDescent="0.15">
      <c r="A86" s="3"/>
      <c r="B86" s="3"/>
      <c r="C86" s="1"/>
      <c r="D86" s="1"/>
      <c r="E86" s="1"/>
    </row>
    <row r="87" spans="1:5" ht="13" x14ac:dyDescent="0.15">
      <c r="A87" s="1"/>
      <c r="B87" s="1"/>
      <c r="C87" s="1"/>
      <c r="D87" s="1"/>
      <c r="E87" s="1"/>
    </row>
    <row r="88" spans="1:5" ht="13" x14ac:dyDescent="0.15">
      <c r="A88" s="4"/>
      <c r="B88" s="4"/>
      <c r="C88" s="1"/>
      <c r="D88" s="1"/>
      <c r="E88" s="1"/>
    </row>
    <row r="89" spans="1:5" ht="13" x14ac:dyDescent="0.15">
      <c r="A89" s="3"/>
      <c r="B89" s="3"/>
      <c r="C89" s="1"/>
      <c r="D89" s="1"/>
      <c r="E89" s="1"/>
    </row>
    <row r="90" spans="1:5" ht="13" x14ac:dyDescent="0.15">
      <c r="A90" s="3"/>
      <c r="B90" s="3"/>
      <c r="C90" s="1"/>
      <c r="D90" s="1"/>
      <c r="E90" s="1"/>
    </row>
    <row r="91" spans="1:5" ht="13" x14ac:dyDescent="0.15">
      <c r="A91" s="3"/>
      <c r="B91" s="3"/>
      <c r="C91" s="1"/>
      <c r="D91" s="1"/>
      <c r="E91" s="1"/>
    </row>
    <row r="92" spans="1:5" ht="13" x14ac:dyDescent="0.15">
      <c r="A92" s="3"/>
      <c r="B92" s="3"/>
      <c r="C92" s="1"/>
      <c r="D92" s="1"/>
      <c r="E92" s="1"/>
    </row>
    <row r="93" spans="1:5" ht="13" x14ac:dyDescent="0.15">
      <c r="A93" s="1"/>
      <c r="B93" s="1"/>
      <c r="C93" s="1"/>
      <c r="D93" s="1"/>
      <c r="E93" s="1"/>
    </row>
    <row r="94" spans="1:5" ht="13" x14ac:dyDescent="0.15">
      <c r="A94" s="1"/>
      <c r="B94" s="1"/>
      <c r="C94" s="1"/>
      <c r="D94" s="1"/>
      <c r="E94" s="1"/>
    </row>
    <row r="95" spans="1:5" ht="13" x14ac:dyDescent="0.15">
      <c r="A95" s="1"/>
      <c r="B95" s="1"/>
      <c r="C95" s="1"/>
      <c r="D95" s="1"/>
      <c r="E95" s="1"/>
    </row>
    <row r="96" spans="1:5" ht="13" x14ac:dyDescent="0.15">
      <c r="A96" s="4"/>
      <c r="B96" s="4"/>
      <c r="C96" s="1"/>
      <c r="D96" s="1"/>
      <c r="E96" s="1"/>
    </row>
    <row r="97" spans="1:5" ht="13" x14ac:dyDescent="0.15">
      <c r="A97" s="3"/>
      <c r="B97" s="3"/>
      <c r="C97" s="1"/>
      <c r="D97" s="1"/>
      <c r="E97" s="1"/>
    </row>
    <row r="98" spans="1:5" ht="13" x14ac:dyDescent="0.15">
      <c r="A98" s="3"/>
      <c r="B98" s="3"/>
      <c r="C98" s="1"/>
      <c r="D98" s="1"/>
      <c r="E98" s="1"/>
    </row>
    <row r="99" spans="1:5" ht="13" x14ac:dyDescent="0.15">
      <c r="A99" s="3"/>
      <c r="B99" s="3"/>
      <c r="C99" s="1"/>
      <c r="D99" s="1"/>
      <c r="E99" s="1"/>
    </row>
    <row r="100" spans="1:5" ht="13" x14ac:dyDescent="0.15">
      <c r="A100" s="3"/>
      <c r="B100" s="3"/>
      <c r="C100" s="1"/>
      <c r="D100" s="1"/>
    </row>
    <row r="101" spans="1:5" ht="13" x14ac:dyDescent="0.15">
      <c r="A101" s="1"/>
      <c r="B101" s="1"/>
      <c r="C101" s="1"/>
      <c r="D101" s="1"/>
    </row>
    <row r="102" spans="1:5" ht="13" x14ac:dyDescent="0.15">
      <c r="A102" s="3"/>
      <c r="B102" s="4"/>
      <c r="C102" s="1"/>
      <c r="D102" s="1"/>
    </row>
    <row r="103" spans="1:5" ht="13" x14ac:dyDescent="0.15">
      <c r="A103" s="3"/>
      <c r="B103" s="3"/>
      <c r="C103" s="1"/>
      <c r="D103" s="1"/>
    </row>
    <row r="104" spans="1:5" ht="13" x14ac:dyDescent="0.15">
      <c r="A104" s="3"/>
      <c r="B104" s="3"/>
      <c r="C104" s="1"/>
      <c r="D104" s="1"/>
    </row>
    <row r="105" spans="1:5" ht="13" x14ac:dyDescent="0.15">
      <c r="A105" s="3"/>
      <c r="B105" s="3"/>
      <c r="C105" s="1"/>
      <c r="D105" s="1"/>
    </row>
    <row r="106" spans="1:5" ht="13" x14ac:dyDescent="0.15">
      <c r="A106" s="3"/>
      <c r="B106" s="3"/>
      <c r="C106" s="1"/>
      <c r="D106" s="1"/>
    </row>
    <row r="107" spans="1:5" ht="13" x14ac:dyDescent="0.15">
      <c r="A107" s="9"/>
      <c r="B107" s="3"/>
      <c r="C107" s="1"/>
      <c r="D107" s="1"/>
    </row>
    <row r="108" spans="1:5" ht="13" x14ac:dyDescent="0.15">
      <c r="A108" s="9"/>
      <c r="B108" s="3"/>
      <c r="C108" s="1"/>
      <c r="D108" s="1"/>
    </row>
    <row r="109" spans="1:5" ht="13" x14ac:dyDescent="0.15">
      <c r="A109" s="1"/>
      <c r="B109" s="1"/>
      <c r="C109" s="1"/>
      <c r="D109" s="1"/>
      <c r="E109" s="1"/>
    </row>
    <row r="110" spans="1:5" ht="13" x14ac:dyDescent="0.15">
      <c r="A110" s="1"/>
      <c r="B110" s="1"/>
      <c r="C110" s="1"/>
      <c r="D110" s="1"/>
      <c r="E110" s="1"/>
    </row>
    <row r="111" spans="1:5" ht="13" x14ac:dyDescent="0.15">
      <c r="A111" s="3"/>
      <c r="B111" s="4"/>
      <c r="C111" s="1"/>
      <c r="D111" s="1"/>
      <c r="E111" s="1"/>
    </row>
    <row r="112" spans="1:5" ht="13" x14ac:dyDescent="0.15">
      <c r="A112" s="3"/>
      <c r="B112" s="3"/>
      <c r="C112" s="1"/>
      <c r="D112" s="1"/>
      <c r="E112" s="1"/>
    </row>
    <row r="113" spans="1:5" ht="13" x14ac:dyDescent="0.15">
      <c r="A113" s="3"/>
      <c r="B113" s="3"/>
      <c r="C113" s="1"/>
      <c r="D113" s="1"/>
      <c r="E113" s="1"/>
    </row>
    <row r="114" spans="1:5" ht="13" x14ac:dyDescent="0.15">
      <c r="A114" s="3"/>
      <c r="B114" s="3"/>
      <c r="C114" s="1"/>
      <c r="D114" s="1"/>
      <c r="E114" s="1"/>
    </row>
    <row r="115" spans="1:5" ht="13" x14ac:dyDescent="0.15">
      <c r="A115" s="3"/>
      <c r="B115" s="3"/>
      <c r="C115" s="1"/>
      <c r="D115" s="1"/>
      <c r="E115" s="1"/>
    </row>
    <row r="116" spans="1:5" ht="13" x14ac:dyDescent="0.15">
      <c r="A116" s="9"/>
      <c r="B116" s="3"/>
      <c r="C116" s="1"/>
      <c r="D116" s="1"/>
    </row>
    <row r="117" spans="1:5" ht="13" x14ac:dyDescent="0.15">
      <c r="A117" s="9"/>
      <c r="B117" s="3"/>
      <c r="C117" s="1"/>
      <c r="D117" s="1"/>
    </row>
    <row r="118" spans="1:5" ht="13" x14ac:dyDescent="0.15">
      <c r="A118" s="9"/>
      <c r="B118" s="3"/>
      <c r="C118" s="1"/>
      <c r="D118" s="1"/>
    </row>
    <row r="119" spans="1:5" ht="13" x14ac:dyDescent="0.15">
      <c r="A119" s="8"/>
      <c r="B119" s="4"/>
      <c r="C119" s="1"/>
      <c r="D119" s="1"/>
    </row>
    <row r="120" spans="1:5" ht="13" x14ac:dyDescent="0.15">
      <c r="A120" s="8"/>
      <c r="B120" s="3"/>
      <c r="C120" s="1"/>
      <c r="D120" s="1"/>
    </row>
    <row r="121" spans="1:5" ht="13" x14ac:dyDescent="0.15">
      <c r="A121" s="8"/>
      <c r="B121" s="3"/>
      <c r="C121" s="1"/>
      <c r="D121" s="1"/>
    </row>
    <row r="122" spans="1:5" ht="13" x14ac:dyDescent="0.15">
      <c r="A122" s="8"/>
      <c r="B122" s="3"/>
      <c r="C122" s="1"/>
      <c r="D122" s="1"/>
    </row>
    <row r="123" spans="1:5" ht="13" x14ac:dyDescent="0.15">
      <c r="A123" s="8"/>
      <c r="B123" s="3"/>
      <c r="C123" s="1"/>
      <c r="D123" s="1"/>
    </row>
    <row r="124" spans="1:5" ht="13" x14ac:dyDescent="0.15">
      <c r="A124" s="10"/>
      <c r="B124" s="3"/>
      <c r="C124" s="1"/>
      <c r="D124" s="1"/>
      <c r="E124" s="1"/>
    </row>
    <row r="125" spans="1:5" ht="13" x14ac:dyDescent="0.15">
      <c r="A125" s="1"/>
      <c r="B125" s="1"/>
      <c r="C125" s="1"/>
      <c r="D125" s="1"/>
      <c r="E125" s="1"/>
    </row>
    <row r="126" spans="1:5" ht="13" x14ac:dyDescent="0.15">
      <c r="A126" s="1"/>
      <c r="B126" s="1"/>
      <c r="C126" s="1"/>
      <c r="D126" s="1"/>
      <c r="E126" s="1"/>
    </row>
    <row r="127" spans="1:5" ht="13" x14ac:dyDescent="0.15">
      <c r="A127" s="1"/>
      <c r="B127" s="1"/>
      <c r="C127" s="1"/>
      <c r="D127" s="1"/>
      <c r="E127" s="1"/>
    </row>
    <row r="128" spans="1:5" ht="13" x14ac:dyDescent="0.15">
      <c r="A128" s="3"/>
      <c r="B128" s="4"/>
      <c r="C128" s="1"/>
      <c r="D128" s="1"/>
      <c r="E128" s="1"/>
    </row>
    <row r="129" spans="1:5" ht="13" x14ac:dyDescent="0.15">
      <c r="A129" s="3"/>
      <c r="B129" s="3"/>
      <c r="C129" s="1"/>
      <c r="D129" s="1"/>
      <c r="E129" s="1"/>
    </row>
    <row r="130" spans="1:5" ht="13" x14ac:dyDescent="0.15">
      <c r="A130" s="3"/>
      <c r="B130" s="3"/>
      <c r="C130" s="1"/>
      <c r="D130" s="1"/>
      <c r="E130" s="1"/>
    </row>
    <row r="131" spans="1:5" ht="13" x14ac:dyDescent="0.15">
      <c r="A131" s="3"/>
      <c r="B131" s="3"/>
      <c r="C131" s="1"/>
      <c r="D131" s="1"/>
      <c r="E131" s="1"/>
    </row>
    <row r="132" spans="1:5" ht="13" x14ac:dyDescent="0.15">
      <c r="A132" s="3"/>
      <c r="B132" s="3"/>
      <c r="C132" s="1"/>
      <c r="D132" s="1"/>
      <c r="E132" s="1"/>
    </row>
    <row r="133" spans="1:5" ht="13" x14ac:dyDescent="0.15">
      <c r="A133" s="1"/>
      <c r="B133" s="1"/>
      <c r="C133" s="1"/>
      <c r="D133" s="1"/>
      <c r="E133" s="1"/>
    </row>
    <row r="134" spans="1:5" ht="13" x14ac:dyDescent="0.15">
      <c r="A134" s="1"/>
      <c r="B134" s="1"/>
      <c r="C134" s="1"/>
      <c r="D134" s="1"/>
      <c r="E134" s="1"/>
    </row>
    <row r="135" spans="1:5" ht="13" x14ac:dyDescent="0.15">
      <c r="A135" s="1"/>
      <c r="B135" s="1"/>
      <c r="C135" s="1"/>
      <c r="D135" s="1"/>
      <c r="E135" s="1"/>
    </row>
    <row r="136" spans="1:5" ht="13" x14ac:dyDescent="0.15">
      <c r="A136" s="8"/>
      <c r="B136" s="4"/>
      <c r="C136" s="1"/>
      <c r="D136" s="1"/>
      <c r="E136" s="1"/>
    </row>
    <row r="137" spans="1:5" ht="13" x14ac:dyDescent="0.15">
      <c r="A137" s="8"/>
      <c r="B137" s="3"/>
      <c r="C137" s="1"/>
      <c r="D137" s="1"/>
      <c r="E137" s="1"/>
    </row>
    <row r="138" spans="1:5" ht="13" x14ac:dyDescent="0.15">
      <c r="A138" s="8"/>
      <c r="B138" s="3"/>
      <c r="C138" s="1"/>
      <c r="D138" s="1"/>
      <c r="E138" s="1"/>
    </row>
    <row r="139" spans="1:5" ht="13" x14ac:dyDescent="0.15">
      <c r="A139" s="8"/>
      <c r="B139" s="3"/>
      <c r="C139" s="1"/>
      <c r="D139" s="1"/>
      <c r="E139" s="1"/>
    </row>
    <row r="140" spans="1:5" ht="13" x14ac:dyDescent="0.15">
      <c r="A140" s="1"/>
      <c r="B140" s="1"/>
      <c r="C140" s="1"/>
      <c r="D140" s="1"/>
      <c r="E140" s="1"/>
    </row>
    <row r="141" spans="1:5" ht="13" x14ac:dyDescent="0.15">
      <c r="A141" s="1"/>
      <c r="B141" s="1"/>
      <c r="C141" s="1"/>
      <c r="D141" s="1"/>
      <c r="E141" s="1"/>
    </row>
    <row r="142" spans="1:5" ht="13" x14ac:dyDescent="0.15">
      <c r="A142" s="1"/>
      <c r="B142" s="1"/>
      <c r="C142" s="1"/>
      <c r="D142" s="1"/>
      <c r="E142" s="1"/>
    </row>
    <row r="143" spans="1:5" ht="13" x14ac:dyDescent="0.15">
      <c r="A143" s="3"/>
      <c r="B143" s="4"/>
      <c r="C143" s="1"/>
      <c r="D143" s="1"/>
      <c r="E143" s="1"/>
    </row>
    <row r="144" spans="1:5" ht="13" x14ac:dyDescent="0.15">
      <c r="A144" s="3"/>
      <c r="B144" s="3"/>
      <c r="C144" s="1"/>
      <c r="D144" s="1"/>
      <c r="E144" s="1"/>
    </row>
    <row r="145" spans="1:5" ht="13" x14ac:dyDescent="0.15">
      <c r="A145" s="3"/>
      <c r="B145" s="3"/>
      <c r="C145" s="1"/>
      <c r="D145" s="1"/>
      <c r="E145" s="1"/>
    </row>
    <row r="146" spans="1:5" ht="13" x14ac:dyDescent="0.15">
      <c r="A146" s="3"/>
      <c r="B146" s="3"/>
      <c r="C146" s="1"/>
      <c r="D146" s="1"/>
      <c r="E146" s="1"/>
    </row>
    <row r="147" spans="1:5" ht="13" x14ac:dyDescent="0.15">
      <c r="A147" s="3"/>
      <c r="B147" s="3"/>
      <c r="C147" s="1"/>
      <c r="D147" s="1"/>
      <c r="E147" s="1"/>
    </row>
    <row r="148" spans="1:5" ht="13" x14ac:dyDescent="0.15">
      <c r="A148" s="1"/>
      <c r="B148" s="1"/>
      <c r="C148" s="1"/>
      <c r="D148" s="1"/>
    </row>
    <row r="149" spans="1:5" ht="13" x14ac:dyDescent="0.15">
      <c r="A149" s="1"/>
      <c r="B149" s="1"/>
      <c r="C149" s="1"/>
      <c r="D149" s="1"/>
    </row>
    <row r="150" spans="1:5" ht="13" x14ac:dyDescent="0.15">
      <c r="A150" s="1"/>
      <c r="B150" s="1"/>
      <c r="C150" s="1"/>
      <c r="D150" s="1"/>
    </row>
    <row r="151" spans="1:5" ht="13" x14ac:dyDescent="0.15">
      <c r="A151" s="3"/>
      <c r="B151" s="4"/>
      <c r="C151" s="1"/>
      <c r="D151" s="1"/>
    </row>
    <row r="152" spans="1:5" ht="13" x14ac:dyDescent="0.15">
      <c r="A152" s="3"/>
      <c r="B152" s="3"/>
      <c r="C152" s="1"/>
      <c r="D152" s="1"/>
    </row>
    <row r="153" spans="1:5" ht="13" x14ac:dyDescent="0.15">
      <c r="A153" s="3"/>
      <c r="B153" s="3"/>
      <c r="C153" s="1"/>
      <c r="D153" s="1"/>
    </row>
    <row r="154" spans="1:5" ht="13" x14ac:dyDescent="0.15">
      <c r="A154" s="3"/>
      <c r="B154" s="3"/>
      <c r="C154" s="1"/>
      <c r="D154" s="1"/>
    </row>
    <row r="155" spans="1:5" ht="13" x14ac:dyDescent="0.15">
      <c r="A155" s="3"/>
      <c r="B155" s="3"/>
      <c r="C155" s="1"/>
      <c r="D155" s="1"/>
    </row>
    <row r="156" spans="1:5" ht="13" x14ac:dyDescent="0.15">
      <c r="A156" s="1"/>
      <c r="B156" s="1"/>
      <c r="C156" s="1"/>
      <c r="D156" s="1"/>
    </row>
    <row r="157" spans="1:5" ht="13" x14ac:dyDescent="0.15">
      <c r="A157" s="1"/>
      <c r="B157" s="1"/>
      <c r="C157" s="1"/>
      <c r="D157" s="1"/>
    </row>
    <row r="158" spans="1:5" ht="13" x14ac:dyDescent="0.15">
      <c r="A158" s="1"/>
      <c r="B158" s="1"/>
      <c r="C158" s="1"/>
      <c r="D158" s="1"/>
    </row>
    <row r="159" spans="1:5" ht="13" x14ac:dyDescent="0.15">
      <c r="A159" s="3"/>
      <c r="B159" s="4"/>
      <c r="C159" s="1"/>
      <c r="D159" s="1"/>
    </row>
    <row r="160" spans="1:5" ht="13" x14ac:dyDescent="0.15">
      <c r="A160" s="3"/>
      <c r="B160" s="3"/>
      <c r="C160" s="1"/>
      <c r="D160" s="1"/>
    </row>
    <row r="161" spans="1:4" ht="13" x14ac:dyDescent="0.15">
      <c r="A161" s="3"/>
      <c r="B161" s="3"/>
      <c r="C161" s="1"/>
      <c r="D161" s="1"/>
    </row>
    <row r="162" spans="1:4" ht="13" x14ac:dyDescent="0.15">
      <c r="A162" s="3"/>
      <c r="B162" s="3"/>
      <c r="C162" s="1"/>
      <c r="D162" s="1"/>
    </row>
    <row r="163" spans="1:4" ht="13" x14ac:dyDescent="0.15">
      <c r="A163" s="3"/>
      <c r="B163" s="3"/>
      <c r="C163" s="1"/>
      <c r="D16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vt:lpstr>
      <vt:lpstr>scratch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2019-11-21T05:49:24Z</dcterms:modified>
</cp:coreProperties>
</file>