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CAREER project/Evaporation experiments/"/>
    </mc:Choice>
  </mc:AlternateContent>
  <xr:revisionPtr revIDLastSave="45" documentId="11_F25DC773A252ABDACC1048BA919E5AA45ADE58EF" xr6:coauthVersionLast="47" xr6:coauthVersionMax="47" xr10:uidLastSave="{52988303-1DC5-4C86-9A75-A59CEEDE3FA5}"/>
  <bookViews>
    <workbookView xWindow="-38510" yWindow="-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1" l="1"/>
  <c r="AI19" i="1"/>
  <c r="AH19" i="1"/>
  <c r="AG19" i="1"/>
  <c r="AF19" i="1"/>
  <c r="AE19" i="1"/>
  <c r="AD19" i="1"/>
  <c r="AJ23" i="1"/>
  <c r="AI23" i="1"/>
  <c r="AH23" i="1"/>
  <c r="AG23" i="1"/>
  <c r="AF23" i="1"/>
  <c r="AE23" i="1"/>
  <c r="AD23" i="1"/>
  <c r="AJ22" i="1"/>
  <c r="AI22" i="1"/>
  <c r="AH22" i="1"/>
  <c r="AG22" i="1"/>
  <c r="AF22" i="1"/>
  <c r="AE22" i="1"/>
  <c r="AD22" i="1"/>
  <c r="AJ18" i="1"/>
  <c r="AI18" i="1"/>
  <c r="AH18" i="1"/>
  <c r="AG18" i="1"/>
  <c r="AF18" i="1"/>
  <c r="AE18" i="1"/>
  <c r="AD18" i="1"/>
  <c r="AJ14" i="1"/>
  <c r="AI14" i="1"/>
  <c r="AH14" i="1"/>
  <c r="AG14" i="1"/>
  <c r="AF14" i="1"/>
  <c r="AE14" i="1"/>
  <c r="AD14" i="1"/>
  <c r="AJ7" i="1"/>
  <c r="AI7" i="1"/>
  <c r="AH7" i="1"/>
  <c r="AG7" i="1"/>
  <c r="AF7" i="1"/>
  <c r="AE7" i="1"/>
  <c r="AD7" i="1"/>
  <c r="AJ3" i="1"/>
  <c r="AI3" i="1"/>
  <c r="AH3" i="1"/>
  <c r="AG3" i="1"/>
  <c r="AF3" i="1"/>
  <c r="AE3" i="1"/>
  <c r="AD3" i="1"/>
  <c r="R23" i="1"/>
  <c r="S23" i="1" s="1"/>
  <c r="Q23" i="1"/>
  <c r="Q22" i="1"/>
  <c r="R22" i="1" s="1"/>
  <c r="S22" i="1" s="1"/>
  <c r="Q18" i="1"/>
  <c r="R18" i="1" s="1"/>
  <c r="S18" i="1" s="1"/>
  <c r="Q14" i="1"/>
  <c r="R14" i="1" s="1"/>
  <c r="S14" i="1" s="1"/>
  <c r="R7" i="1"/>
  <c r="S7" i="1" s="1"/>
  <c r="Q7" i="1"/>
  <c r="Q3" i="1"/>
  <c r="R3" i="1" s="1"/>
  <c r="S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J9" i="1" s="1"/>
  <c r="E10" i="1"/>
  <c r="E11" i="1"/>
  <c r="E12" i="1"/>
  <c r="E13" i="1"/>
  <c r="E14" i="1"/>
  <c r="E15" i="1"/>
  <c r="E16" i="1"/>
  <c r="E17" i="1"/>
  <c r="J17" i="1" s="1"/>
  <c r="E18" i="1"/>
  <c r="E19" i="1"/>
  <c r="E20" i="1"/>
  <c r="E21" i="1"/>
  <c r="E22" i="1"/>
  <c r="E23" i="1"/>
  <c r="E3" i="1"/>
  <c r="U14" i="1" l="1"/>
  <c r="V14" i="1" s="1"/>
  <c r="T14" i="1"/>
  <c r="U18" i="1"/>
  <c r="T18" i="1"/>
  <c r="T3" i="1"/>
  <c r="U3" i="1"/>
  <c r="V3" i="1" s="1"/>
  <c r="U7" i="1"/>
  <c r="T7" i="1"/>
  <c r="T22" i="1"/>
  <c r="U22" i="1"/>
  <c r="U23" i="1"/>
  <c r="T23" i="1"/>
  <c r="J21" i="1"/>
  <c r="J20" i="1"/>
  <c r="J12" i="1"/>
  <c r="J4" i="1"/>
  <c r="J5" i="1"/>
  <c r="J19" i="1"/>
  <c r="J11" i="1"/>
  <c r="J13" i="1"/>
  <c r="J18" i="1"/>
  <c r="J10" i="1"/>
  <c r="J3" i="1"/>
  <c r="J16" i="1"/>
  <c r="J8" i="1"/>
  <c r="J15" i="1"/>
  <c r="J7" i="1"/>
  <c r="J23" i="1"/>
  <c r="J22" i="1"/>
  <c r="J14" i="1"/>
  <c r="J6" i="1"/>
  <c r="V7" i="1" l="1"/>
  <c r="V18" i="1"/>
  <c r="V22" i="1"/>
  <c r="V23" i="1"/>
</calcChain>
</file>

<file path=xl/sharedStrings.xml><?xml version="1.0" encoding="utf-8"?>
<sst xmlns="http://schemas.openxmlformats.org/spreadsheetml/2006/main" count="79" uniqueCount="61">
  <si>
    <t>Datetime</t>
  </si>
  <si>
    <t>Elapsed_time_hr</t>
  </si>
  <si>
    <t>Samples Collected</t>
  </si>
  <si>
    <t>Weight_before_sampling_g</t>
  </si>
  <si>
    <t>Solution_mass_initial_g</t>
  </si>
  <si>
    <t>Weight_after_sampling_g</t>
  </si>
  <si>
    <t>Solution_mass_final_g</t>
  </si>
  <si>
    <t>Evap_mass_loss_g</t>
  </si>
  <si>
    <t>Cumuluative_evap_mass_loss_g</t>
  </si>
  <si>
    <t>Sampling_mass_loss_g</t>
  </si>
  <si>
    <t>Ion Sample ID</t>
  </si>
  <si>
    <t>pH</t>
  </si>
  <si>
    <t>temp_C</t>
  </si>
  <si>
    <t>Alk_Sample_Mass_g</t>
  </si>
  <si>
    <t>Alk_Total_Mass</t>
  </si>
  <si>
    <t>diluted_Alk_mM</t>
  </si>
  <si>
    <t>DI_added_g</t>
  </si>
  <si>
    <t>DI_added_mL</t>
  </si>
  <si>
    <t>Alk_sample_volume_mL</t>
  </si>
  <si>
    <t>Alk_sample_density_kg_m3</t>
  </si>
  <si>
    <t>undiluted_Alk_mM</t>
  </si>
  <si>
    <t>undiluted_Alk_mmol_kg</t>
  </si>
  <si>
    <t>Ca_ug_mL</t>
  </si>
  <si>
    <t>K_ug_mL</t>
  </si>
  <si>
    <t>Li_ug_mL</t>
  </si>
  <si>
    <t>Mg_ug_mL</t>
  </si>
  <si>
    <t>Na_ug_mL</t>
  </si>
  <si>
    <t>Cl_ug_mL</t>
  </si>
  <si>
    <t>SO4_ug_mL</t>
  </si>
  <si>
    <t>Ca_mmol_kg</t>
  </si>
  <si>
    <t>K_mmol_kg</t>
  </si>
  <si>
    <t>Li_mmol_kg</t>
  </si>
  <si>
    <t>Mg_mmol_kg</t>
  </si>
  <si>
    <t>Na_mmol_kg</t>
  </si>
  <si>
    <t>Cl_mmol_kg</t>
  </si>
  <si>
    <t>SO4_mmol_kg</t>
  </si>
  <si>
    <t>BEAKER WEIGHT</t>
  </si>
  <si>
    <t xml:space="preserve">initial water </t>
  </si>
  <si>
    <t>JR2-01</t>
  </si>
  <si>
    <t>ions etc.</t>
  </si>
  <si>
    <t>JR2-02</t>
  </si>
  <si>
    <t>JR2-03</t>
  </si>
  <si>
    <t>JR2-04</t>
  </si>
  <si>
    <t>alkalinity + ions</t>
  </si>
  <si>
    <t>JR2-05</t>
  </si>
  <si>
    <t>JR2-06</t>
  </si>
  <si>
    <t>JR2-07</t>
  </si>
  <si>
    <t>JR2-08</t>
  </si>
  <si>
    <t>JR2-09</t>
  </si>
  <si>
    <t>JR2-10</t>
  </si>
  <si>
    <t>JR2-11</t>
  </si>
  <si>
    <t>JR2-12</t>
  </si>
  <si>
    <t>JR2-13</t>
  </si>
  <si>
    <t>JR2-14</t>
  </si>
  <si>
    <t>JR2-15</t>
  </si>
  <si>
    <t>JR2-16</t>
  </si>
  <si>
    <t>JR2-17</t>
  </si>
  <si>
    <t>JR2-18</t>
  </si>
  <si>
    <t>JR2-19</t>
  </si>
  <si>
    <t>JR2-20</t>
  </si>
  <si>
    <t>JR2-21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</si>
</sst>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&quot;  &quot;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b/>
      <sz val="10"/>
      <name val="Arial"/>
      <family val="2"/>
    </font>
    <font>
      <sz val="12"/>
      <color rgb="FF000000"/>
      <name val="Aptos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22" fontId="3" fillId="0" borderId="0" xfId="0" applyNumberFormat="1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4" fillId="0" borderId="0" xfId="0" applyNumberFormat="1" applyFont="1" applyAlignment="1">
      <alignment vertical="center"/>
    </xf>
    <xf numFmtId="4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workbookViewId="0">
      <selection activeCell="O12" sqref="O12"/>
    </sheetView>
  </sheetViews>
  <sheetFormatPr defaultRowHeight="14.5" x14ac:dyDescent="0.35"/>
  <cols>
    <col min="1" max="1" width="15.26953125" bestFit="1" customWidth="1"/>
  </cols>
  <sheetData>
    <row r="1" spans="1:36" ht="6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6" x14ac:dyDescent="0.4">
      <c r="A2" s="3">
        <v>45435.45416666667</v>
      </c>
      <c r="B2" s="4"/>
      <c r="C2" s="4" t="s">
        <v>36</v>
      </c>
      <c r="D2" s="4">
        <v>409.05</v>
      </c>
      <c r="E2" s="4"/>
      <c r="F2" s="4"/>
      <c r="G2" s="4"/>
      <c r="H2" s="4"/>
      <c r="I2" s="4"/>
      <c r="J2" s="4"/>
      <c r="K2" s="4"/>
      <c r="L2" s="10"/>
      <c r="M2" s="10"/>
      <c r="N2" s="4"/>
      <c r="O2" s="4"/>
      <c r="P2" s="4"/>
    </row>
    <row r="3" spans="1:36" ht="16" x14ac:dyDescent="0.4">
      <c r="A3" s="3">
        <v>45435.454861111109</v>
      </c>
      <c r="B3" s="4">
        <v>0</v>
      </c>
      <c r="C3" s="4" t="s">
        <v>37</v>
      </c>
      <c r="D3" s="4">
        <v>1399.74</v>
      </c>
      <c r="E3" s="4">
        <f>D3-D$2</f>
        <v>990.69</v>
      </c>
      <c r="F3" s="4">
        <v>1346.61</v>
      </c>
      <c r="G3" s="4">
        <f>F3-D$2</f>
        <v>937.56</v>
      </c>
      <c r="H3" s="4">
        <v>0</v>
      </c>
      <c r="I3" s="4">
        <v>0</v>
      </c>
      <c r="J3" s="4">
        <f>E3-G3</f>
        <v>53.130000000000109</v>
      </c>
      <c r="K3" s="4" t="s">
        <v>38</v>
      </c>
      <c r="L3" s="4">
        <v>8.2100000000000009</v>
      </c>
      <c r="M3" s="4">
        <v>19.7</v>
      </c>
      <c r="N3" s="4">
        <v>48.66</v>
      </c>
      <c r="O3" s="4">
        <v>98.87</v>
      </c>
      <c r="P3" s="4">
        <v>1.6519999999999999</v>
      </c>
      <c r="Q3">
        <f>O3-N3</f>
        <v>50.210000000000008</v>
      </c>
      <c r="R3">
        <f>Q3/0.998</f>
        <v>50.310621242484977</v>
      </c>
      <c r="S3">
        <f>100-R3</f>
        <v>49.689378757515023</v>
      </c>
      <c r="T3">
        <f>N3/S3*1000</f>
        <v>979.28372655777389</v>
      </c>
      <c r="U3">
        <f>P3*100/S3</f>
        <v>3.3246541641459975</v>
      </c>
      <c r="V3">
        <f>U3/T3*1000</f>
        <v>3.3949856144677351</v>
      </c>
      <c r="W3" s="5">
        <v>25.6752</v>
      </c>
      <c r="X3" s="5">
        <v>11.741199999999999</v>
      </c>
      <c r="Y3" s="6">
        <v>0.13539999999999999</v>
      </c>
      <c r="Z3" s="5">
        <v>37.894799999999996</v>
      </c>
      <c r="AA3" s="7">
        <v>117.7047</v>
      </c>
      <c r="AB3" s="8">
        <v>179</v>
      </c>
      <c r="AC3" s="8">
        <v>146</v>
      </c>
      <c r="AD3">
        <f>W3/40.078/$T3*1000</f>
        <v>0.65418300399042539</v>
      </c>
      <c r="AE3">
        <f>X3/39.0983/$T3*1000</f>
        <v>0.30665219217766398</v>
      </c>
      <c r="AF3">
        <f>Y3/6.941/$T3*1000</f>
        <v>1.9919942586272586E-2</v>
      </c>
      <c r="AG3" s="9">
        <f>Z3/24.305/$T3*1000</f>
        <v>1.5921187475783036</v>
      </c>
      <c r="AH3" s="9">
        <f>AA3/22.989769/$T3*1000</f>
        <v>5.2281815437591685</v>
      </c>
      <c r="AI3" s="9">
        <f>AB3/35.453/$T3*1000</f>
        <v>5.1557458719132878</v>
      </c>
      <c r="AJ3" s="9">
        <f>AC3/96.06/$T3*1000</f>
        <v>1.5520358043188502</v>
      </c>
    </row>
    <row r="4" spans="1:36" ht="16" x14ac:dyDescent="0.4">
      <c r="A4" s="3">
        <v>45436.53125</v>
      </c>
      <c r="B4" s="4">
        <v>25</v>
      </c>
      <c r="C4" s="4" t="s">
        <v>39</v>
      </c>
      <c r="D4" s="4">
        <v>1317.2</v>
      </c>
      <c r="E4" s="4">
        <f t="shared" ref="E4:E23" si="0">D4-D$2</f>
        <v>908.15000000000009</v>
      </c>
      <c r="F4" s="4">
        <v>1314.7</v>
      </c>
      <c r="G4" s="4">
        <f t="shared" ref="G4:G23" si="1">F4-D$2</f>
        <v>905.65000000000009</v>
      </c>
      <c r="H4" s="4">
        <v>29.41</v>
      </c>
      <c r="I4" s="4">
        <v>29.41</v>
      </c>
      <c r="J4" s="4">
        <f t="shared" ref="J4:J23" si="2">E4-G4</f>
        <v>2.5</v>
      </c>
      <c r="K4" s="4" t="s">
        <v>40</v>
      </c>
      <c r="L4" s="4">
        <v>8.49</v>
      </c>
      <c r="M4" s="4">
        <v>18.3</v>
      </c>
      <c r="N4" s="4"/>
      <c r="O4" s="4"/>
      <c r="P4" s="4"/>
    </row>
    <row r="5" spans="1:36" ht="16" x14ac:dyDescent="0.4">
      <c r="A5" s="3">
        <v>45438.604166666664</v>
      </c>
      <c r="B5" s="4">
        <v>75</v>
      </c>
      <c r="C5" s="4" t="s">
        <v>39</v>
      </c>
      <c r="D5" s="4">
        <v>1257.48</v>
      </c>
      <c r="E5" s="4">
        <f t="shared" si="0"/>
        <v>848.43000000000006</v>
      </c>
      <c r="F5" s="4">
        <v>1255.45</v>
      </c>
      <c r="G5" s="4">
        <f t="shared" si="1"/>
        <v>846.40000000000009</v>
      </c>
      <c r="H5" s="4">
        <v>57.22</v>
      </c>
      <c r="I5" s="4">
        <v>86.63</v>
      </c>
      <c r="J5" s="4">
        <f t="shared" si="2"/>
        <v>2.0299999999999727</v>
      </c>
      <c r="K5" s="4" t="s">
        <v>41</v>
      </c>
      <c r="L5" s="4">
        <v>8.67</v>
      </c>
      <c r="M5" s="4">
        <v>18.100000000000001</v>
      </c>
      <c r="N5" s="4"/>
      <c r="O5" s="4"/>
      <c r="P5" s="4"/>
    </row>
    <row r="6" spans="1:36" ht="16" x14ac:dyDescent="0.4">
      <c r="A6" s="3">
        <v>45440.506944444445</v>
      </c>
      <c r="B6" s="4">
        <v>121</v>
      </c>
      <c r="C6" s="4" t="s">
        <v>39</v>
      </c>
      <c r="D6" s="4">
        <v>1207.55</v>
      </c>
      <c r="E6" s="4">
        <f t="shared" si="0"/>
        <v>798.5</v>
      </c>
      <c r="F6" s="4">
        <v>1205.95</v>
      </c>
      <c r="G6" s="4">
        <f t="shared" si="1"/>
        <v>796.90000000000009</v>
      </c>
      <c r="H6" s="4">
        <v>47.9</v>
      </c>
      <c r="I6" s="4">
        <v>134.53</v>
      </c>
      <c r="J6" s="4">
        <f t="shared" si="2"/>
        <v>1.5999999999999091</v>
      </c>
      <c r="K6" s="4" t="s">
        <v>42</v>
      </c>
      <c r="L6" s="4">
        <v>8.7100000000000009</v>
      </c>
      <c r="M6" s="4">
        <v>18.3</v>
      </c>
      <c r="N6" s="4"/>
      <c r="O6" s="4"/>
      <c r="P6" s="4"/>
    </row>
    <row r="7" spans="1:36" ht="16" x14ac:dyDescent="0.4">
      <c r="A7" s="3">
        <v>45441.506944444445</v>
      </c>
      <c r="B7" s="4">
        <v>145</v>
      </c>
      <c r="C7" s="4" t="s">
        <v>43</v>
      </c>
      <c r="D7" s="4">
        <v>1185.77</v>
      </c>
      <c r="E7" s="4">
        <f t="shared" si="0"/>
        <v>776.72</v>
      </c>
      <c r="F7" s="4">
        <v>1134.22</v>
      </c>
      <c r="G7" s="4">
        <f t="shared" si="1"/>
        <v>725.17000000000007</v>
      </c>
      <c r="H7" s="4">
        <v>20.18</v>
      </c>
      <c r="I7" s="4">
        <v>154.71</v>
      </c>
      <c r="J7" s="4">
        <f t="shared" si="2"/>
        <v>51.549999999999955</v>
      </c>
      <c r="K7" s="4" t="s">
        <v>44</v>
      </c>
      <c r="L7" s="4">
        <v>8.74</v>
      </c>
      <c r="M7" s="4">
        <v>18.600000000000001</v>
      </c>
      <c r="N7" s="4">
        <v>48.86</v>
      </c>
      <c r="O7" s="4">
        <v>99.37</v>
      </c>
      <c r="P7" s="4">
        <v>1.9850000000000001</v>
      </c>
      <c r="Q7">
        <f>O7-N7</f>
        <v>50.510000000000005</v>
      </c>
      <c r="R7">
        <f>Q7/0.998</f>
        <v>50.611222444889783</v>
      </c>
      <c r="S7">
        <f>100-R7</f>
        <v>49.388777555110217</v>
      </c>
      <c r="T7">
        <f>N7/S7*1000</f>
        <v>989.29356867518766</v>
      </c>
      <c r="U7">
        <f>P7*100/S7</f>
        <v>4.0191316697098802</v>
      </c>
      <c r="V7">
        <f>U7/T7*1000</f>
        <v>4.0626279164961119</v>
      </c>
      <c r="W7" s="5">
        <v>37.229199999999999</v>
      </c>
      <c r="X7" s="5">
        <v>14.069100000000001</v>
      </c>
      <c r="Y7" s="6">
        <v>0.1124</v>
      </c>
      <c r="Z7" s="5">
        <v>45.222999999999999</v>
      </c>
      <c r="AA7" s="7">
        <v>131.47409999999999</v>
      </c>
      <c r="AB7" s="8">
        <v>211</v>
      </c>
      <c r="AC7" s="8">
        <v>173</v>
      </c>
      <c r="AD7">
        <f>W7/40.078/$T7*1000</f>
        <v>0.93897164413690748</v>
      </c>
      <c r="AE7">
        <f>X7/39.0983/$T7*1000</f>
        <v>0.36373346192389316</v>
      </c>
      <c r="AF7">
        <f>Y7/6.941/$T7*1000</f>
        <v>1.6368884377948884E-2</v>
      </c>
      <c r="AG7" s="9">
        <f>Z7/24.305/$T7*1000</f>
        <v>1.8807824254973902</v>
      </c>
      <c r="AH7" s="9">
        <f>AA7/22.989769/$T7*1000</f>
        <v>5.7806997578286854</v>
      </c>
      <c r="AI7" s="9">
        <f>AB7/35.453/$T7*1000</f>
        <v>6.0159508419922529</v>
      </c>
      <c r="AJ7" s="9">
        <f>AC7/96.06/$T7*1000</f>
        <v>1.8204482387981833</v>
      </c>
    </row>
    <row r="8" spans="1:36" ht="16" x14ac:dyDescent="0.4">
      <c r="A8" s="3">
        <v>45442.520833333336</v>
      </c>
      <c r="B8" s="4">
        <v>169</v>
      </c>
      <c r="C8" s="4" t="s">
        <v>39</v>
      </c>
      <c r="D8" s="4">
        <v>1112.05</v>
      </c>
      <c r="E8" s="4">
        <f t="shared" si="0"/>
        <v>703</v>
      </c>
      <c r="F8" s="4">
        <v>1110.21</v>
      </c>
      <c r="G8" s="4">
        <f t="shared" si="1"/>
        <v>701.16000000000008</v>
      </c>
      <c r="H8" s="4">
        <v>22.17</v>
      </c>
      <c r="I8" s="4">
        <v>176.88</v>
      </c>
      <c r="J8" s="4">
        <f t="shared" si="2"/>
        <v>1.8399999999999181</v>
      </c>
      <c r="K8" s="4" t="s">
        <v>45</v>
      </c>
      <c r="L8" s="4">
        <v>8.76</v>
      </c>
      <c r="M8" s="4">
        <v>18.8</v>
      </c>
      <c r="N8" s="4"/>
      <c r="O8" s="4"/>
      <c r="P8" s="4"/>
    </row>
    <row r="9" spans="1:36" ht="16" x14ac:dyDescent="0.4">
      <c r="A9" s="3">
        <v>45443.510416666664</v>
      </c>
      <c r="B9" s="4">
        <v>193</v>
      </c>
      <c r="C9" s="4" t="s">
        <v>39</v>
      </c>
      <c r="D9" s="4">
        <v>1091.0999999999999</v>
      </c>
      <c r="E9" s="4">
        <f t="shared" si="0"/>
        <v>682.05</v>
      </c>
      <c r="F9" s="4">
        <v>1089.29</v>
      </c>
      <c r="G9" s="4">
        <f t="shared" si="1"/>
        <v>680.24</v>
      </c>
      <c r="H9" s="4">
        <v>19.11</v>
      </c>
      <c r="I9" s="4">
        <v>195.99</v>
      </c>
      <c r="J9" s="4">
        <f t="shared" si="2"/>
        <v>1.8099999999999454</v>
      </c>
      <c r="K9" s="4" t="s">
        <v>46</v>
      </c>
      <c r="L9" s="4">
        <v>8.77</v>
      </c>
      <c r="M9" s="4">
        <v>18.8</v>
      </c>
      <c r="N9" s="4"/>
      <c r="O9" s="4"/>
      <c r="P9" s="4"/>
    </row>
    <row r="10" spans="1:36" ht="16" x14ac:dyDescent="0.4">
      <c r="A10" s="3">
        <v>45444.979166666664</v>
      </c>
      <c r="B10" s="4">
        <v>228</v>
      </c>
      <c r="C10" s="4" t="s">
        <v>39</v>
      </c>
      <c r="D10" s="4">
        <v>1071.19</v>
      </c>
      <c r="E10" s="4">
        <f t="shared" si="0"/>
        <v>662.1400000000001</v>
      </c>
      <c r="F10" s="4">
        <v>1069.3599999999999</v>
      </c>
      <c r="G10" s="4">
        <f t="shared" si="1"/>
        <v>660.31</v>
      </c>
      <c r="H10" s="4">
        <v>18.100000000000001</v>
      </c>
      <c r="I10" s="4">
        <v>214.09</v>
      </c>
      <c r="J10" s="4">
        <f t="shared" si="2"/>
        <v>1.8300000000001546</v>
      </c>
      <c r="K10" s="4" t="s">
        <v>47</v>
      </c>
      <c r="L10" s="4">
        <v>8.77</v>
      </c>
      <c r="M10" s="4">
        <v>18.8</v>
      </c>
      <c r="N10" s="4"/>
      <c r="O10" s="4"/>
      <c r="P10" s="4"/>
    </row>
    <row r="11" spans="1:36" ht="16" x14ac:dyDescent="0.4">
      <c r="A11" s="3">
        <v>45445.513888888891</v>
      </c>
      <c r="B11" s="4">
        <v>241</v>
      </c>
      <c r="C11" s="4" t="s">
        <v>39</v>
      </c>
      <c r="D11" s="4">
        <v>1047.5899999999999</v>
      </c>
      <c r="E11" s="4">
        <f t="shared" si="0"/>
        <v>638.54</v>
      </c>
      <c r="F11" s="4">
        <v>1045.68</v>
      </c>
      <c r="G11" s="4">
        <f t="shared" si="1"/>
        <v>636.63000000000011</v>
      </c>
      <c r="H11" s="4">
        <v>21.77</v>
      </c>
      <c r="I11" s="4">
        <v>235.86</v>
      </c>
      <c r="J11" s="4">
        <f t="shared" si="2"/>
        <v>1.9099999999998545</v>
      </c>
      <c r="K11" s="4" t="s">
        <v>48</v>
      </c>
      <c r="L11" s="4">
        <v>8.75</v>
      </c>
      <c r="M11" s="4">
        <v>19</v>
      </c>
      <c r="N11" s="4"/>
      <c r="O11" s="4"/>
      <c r="P11" s="4"/>
    </row>
    <row r="12" spans="1:36" ht="16" x14ac:dyDescent="0.4">
      <c r="A12" s="3">
        <v>45446.503472222219</v>
      </c>
      <c r="B12" s="4">
        <v>265</v>
      </c>
      <c r="C12" s="4" t="s">
        <v>39</v>
      </c>
      <c r="D12" s="4">
        <v>1024.8900000000001</v>
      </c>
      <c r="E12" s="4">
        <f t="shared" si="0"/>
        <v>615.84000000000015</v>
      </c>
      <c r="F12" s="4">
        <v>1023.11</v>
      </c>
      <c r="G12" s="4">
        <f t="shared" si="1"/>
        <v>614.05999999999995</v>
      </c>
      <c r="H12" s="4">
        <v>20.79</v>
      </c>
      <c r="I12" s="4">
        <v>256.64999999999998</v>
      </c>
      <c r="J12" s="4">
        <f t="shared" si="2"/>
        <v>1.7800000000002001</v>
      </c>
      <c r="K12" s="4" t="s">
        <v>49</v>
      </c>
      <c r="L12" s="4">
        <v>8.73</v>
      </c>
      <c r="M12" s="4">
        <v>18.8</v>
      </c>
      <c r="N12" s="4"/>
      <c r="O12" s="4"/>
      <c r="P12" s="4"/>
    </row>
    <row r="13" spans="1:36" ht="16" x14ac:dyDescent="0.4">
      <c r="A13" s="3">
        <v>45447.4375</v>
      </c>
      <c r="B13" s="4">
        <v>287</v>
      </c>
      <c r="C13" s="4" t="s">
        <v>39</v>
      </c>
      <c r="D13" s="4">
        <v>1004.11</v>
      </c>
      <c r="E13" s="4">
        <f t="shared" si="0"/>
        <v>595.05999999999995</v>
      </c>
      <c r="F13" s="4">
        <v>1002.23</v>
      </c>
      <c r="G13" s="4">
        <f t="shared" si="1"/>
        <v>593.18000000000006</v>
      </c>
      <c r="H13" s="4">
        <v>19</v>
      </c>
      <c r="I13" s="4">
        <v>275.64999999999998</v>
      </c>
      <c r="J13" s="4">
        <f t="shared" si="2"/>
        <v>1.8799999999998818</v>
      </c>
      <c r="K13" s="4" t="s">
        <v>50</v>
      </c>
      <c r="L13" s="4">
        <v>8.73</v>
      </c>
      <c r="M13" s="4">
        <v>18.600000000000001</v>
      </c>
      <c r="N13" s="4"/>
      <c r="O13" s="4"/>
      <c r="P13" s="4"/>
    </row>
    <row r="14" spans="1:36" ht="16" x14ac:dyDescent="0.4">
      <c r="A14" s="3">
        <v>45448.479166666664</v>
      </c>
      <c r="B14" s="4">
        <v>312</v>
      </c>
      <c r="C14" s="4" t="s">
        <v>43</v>
      </c>
      <c r="D14" s="4">
        <v>980.63</v>
      </c>
      <c r="E14" s="4">
        <f t="shared" si="0"/>
        <v>571.57999999999993</v>
      </c>
      <c r="F14" s="4">
        <v>929.39</v>
      </c>
      <c r="G14" s="4">
        <f t="shared" si="1"/>
        <v>520.33999999999992</v>
      </c>
      <c r="H14" s="4">
        <v>21.6</v>
      </c>
      <c r="I14" s="4">
        <v>297.25</v>
      </c>
      <c r="J14" s="4">
        <f t="shared" si="2"/>
        <v>51.240000000000009</v>
      </c>
      <c r="K14" s="4" t="s">
        <v>51</v>
      </c>
      <c r="L14" s="4">
        <v>8.8000000000000007</v>
      </c>
      <c r="M14" s="4">
        <v>19.2</v>
      </c>
      <c r="N14" s="4">
        <v>48.24</v>
      </c>
      <c r="O14" s="4">
        <v>99.25</v>
      </c>
      <c r="P14" s="4">
        <v>2.4239999999999999</v>
      </c>
      <c r="Q14">
        <f>O14-N14</f>
        <v>51.01</v>
      </c>
      <c r="R14">
        <f>Q14/0.998</f>
        <v>51.112224448897791</v>
      </c>
      <c r="S14">
        <f>100-R14</f>
        <v>48.887775551102209</v>
      </c>
      <c r="T14">
        <f>N14/S14*1000</f>
        <v>986.74974379995899</v>
      </c>
      <c r="U14">
        <f>P14*100/S14</f>
        <v>4.9582947325271567</v>
      </c>
      <c r="V14">
        <f>U14/T14*1000</f>
        <v>5.0248756218905468</v>
      </c>
      <c r="W14" s="5">
        <v>37.531300000000002</v>
      </c>
      <c r="X14" s="5">
        <v>20.1219</v>
      </c>
      <c r="Y14" s="6">
        <v>0.1638</v>
      </c>
      <c r="Z14" s="5">
        <v>55.2943</v>
      </c>
      <c r="AA14" s="7">
        <v>175.87610000000001</v>
      </c>
      <c r="AB14" s="8">
        <v>269</v>
      </c>
      <c r="AC14" s="8">
        <v>217</v>
      </c>
      <c r="AD14">
        <f>W14/40.078/$T14*1000</f>
        <v>0.94903131810728303</v>
      </c>
      <c r="AE14">
        <f>X14/39.0983/$T14*1000</f>
        <v>0.52155977515224605</v>
      </c>
      <c r="AF14">
        <f>Y14/6.941/$T14*1000</f>
        <v>2.3915795474168743E-2</v>
      </c>
      <c r="AG14" s="9">
        <f>Z14/24.305/$T14*1000</f>
        <v>2.3055668373957805</v>
      </c>
      <c r="AH14" s="9">
        <f>AA14/22.989769/$T14*1000</f>
        <v>7.7529181118665509</v>
      </c>
      <c r="AI14" s="9">
        <f>AB14/35.453/$T14*1000</f>
        <v>7.6893967011182367</v>
      </c>
      <c r="AJ14" s="9">
        <f>AC14/96.06/$T14*1000</f>
        <v>2.2893391185229506</v>
      </c>
    </row>
    <row r="15" spans="1:36" ht="16" x14ac:dyDescent="0.4">
      <c r="A15" s="3">
        <v>45449.427083333336</v>
      </c>
      <c r="B15" s="4">
        <v>335</v>
      </c>
      <c r="C15" s="4" t="s">
        <v>39</v>
      </c>
      <c r="D15" s="4">
        <v>911.93</v>
      </c>
      <c r="E15" s="4">
        <f t="shared" si="0"/>
        <v>502.87999999999994</v>
      </c>
      <c r="F15" s="4">
        <v>910.31</v>
      </c>
      <c r="G15" s="4">
        <f t="shared" si="1"/>
        <v>501.25999999999993</v>
      </c>
      <c r="H15" s="4">
        <v>17.46</v>
      </c>
      <c r="I15" s="4">
        <v>314.70999999999998</v>
      </c>
      <c r="J15" s="4">
        <f t="shared" si="2"/>
        <v>1.6200000000000045</v>
      </c>
      <c r="K15" s="4" t="s">
        <v>52</v>
      </c>
      <c r="L15" s="4">
        <v>8.8000000000000007</v>
      </c>
      <c r="M15" s="4">
        <v>19</v>
      </c>
      <c r="N15" s="4"/>
      <c r="O15" s="4"/>
      <c r="P15" s="4"/>
    </row>
    <row r="16" spans="1:36" ht="16" x14ac:dyDescent="0.4">
      <c r="A16" s="3">
        <v>45453.663888888892</v>
      </c>
      <c r="B16" s="4">
        <v>437</v>
      </c>
      <c r="C16" s="4" t="s">
        <v>39</v>
      </c>
      <c r="D16" s="4">
        <v>841.85</v>
      </c>
      <c r="E16" s="4">
        <f t="shared" si="0"/>
        <v>432.8</v>
      </c>
      <c r="F16" s="4">
        <v>840.05</v>
      </c>
      <c r="G16" s="4">
        <f t="shared" si="1"/>
        <v>430.99999999999994</v>
      </c>
      <c r="H16" s="4">
        <v>68.459999999999994</v>
      </c>
      <c r="I16" s="4">
        <v>383.17</v>
      </c>
      <c r="J16" s="4">
        <f t="shared" si="2"/>
        <v>1.8000000000000682</v>
      </c>
      <c r="K16" s="4" t="s">
        <v>53</v>
      </c>
      <c r="L16" s="4">
        <v>8.86</v>
      </c>
      <c r="M16" s="4">
        <v>19.600000000000001</v>
      </c>
      <c r="N16" s="4"/>
      <c r="O16" s="4"/>
      <c r="P16" s="4"/>
    </row>
    <row r="17" spans="1:36" ht="16" x14ac:dyDescent="0.4">
      <c r="A17" s="3">
        <v>45454.720138888886</v>
      </c>
      <c r="B17" s="4">
        <v>462</v>
      </c>
      <c r="C17" s="4" t="s">
        <v>39</v>
      </c>
      <c r="D17" s="4">
        <v>835.26</v>
      </c>
      <c r="E17" s="4">
        <f t="shared" si="0"/>
        <v>426.21</v>
      </c>
      <c r="F17" s="4">
        <v>823.57</v>
      </c>
      <c r="G17" s="4">
        <f t="shared" si="1"/>
        <v>414.52000000000004</v>
      </c>
      <c r="H17" s="4">
        <v>4.79</v>
      </c>
      <c r="I17" s="4">
        <v>387.96</v>
      </c>
      <c r="J17" s="4">
        <f t="shared" si="2"/>
        <v>11.689999999999941</v>
      </c>
      <c r="K17" s="4" t="s">
        <v>54</v>
      </c>
      <c r="L17" s="4">
        <v>8.86</v>
      </c>
      <c r="M17" s="4">
        <v>19.5</v>
      </c>
      <c r="N17" s="4"/>
      <c r="O17" s="4"/>
      <c r="P17" s="4"/>
    </row>
    <row r="18" spans="1:36" ht="16" x14ac:dyDescent="0.4">
      <c r="A18" s="3">
        <v>45455.683333333334</v>
      </c>
      <c r="B18" s="4">
        <v>485</v>
      </c>
      <c r="C18" s="4" t="s">
        <v>43</v>
      </c>
      <c r="D18" s="4">
        <v>806.13</v>
      </c>
      <c r="E18" s="4">
        <f t="shared" si="0"/>
        <v>397.08</v>
      </c>
      <c r="F18" s="4">
        <v>754.3</v>
      </c>
      <c r="G18" s="4">
        <f t="shared" si="1"/>
        <v>345.24999999999994</v>
      </c>
      <c r="H18" s="4">
        <v>17.440000000000001</v>
      </c>
      <c r="I18" s="4">
        <v>405.4</v>
      </c>
      <c r="J18" s="4">
        <f t="shared" si="2"/>
        <v>51.830000000000041</v>
      </c>
      <c r="K18" s="4" t="s">
        <v>55</v>
      </c>
      <c r="L18" s="4">
        <v>8.7899999999999991</v>
      </c>
      <c r="M18" s="4">
        <v>19.100000000000001</v>
      </c>
      <c r="N18" s="4">
        <v>49.48</v>
      </c>
      <c r="O18" s="4">
        <v>99.25</v>
      </c>
      <c r="P18" s="4">
        <v>3.052</v>
      </c>
      <c r="Q18">
        <f>O18-N18</f>
        <v>49.77</v>
      </c>
      <c r="R18">
        <f>Q18/0.998</f>
        <v>49.869739478957918</v>
      </c>
      <c r="S18">
        <f>100-R18</f>
        <v>50.130260521042082</v>
      </c>
      <c r="T18">
        <f>N18/S18*1000</f>
        <v>987.02858285028981</v>
      </c>
      <c r="U18">
        <f>P18*100/S18</f>
        <v>6.0881391165300816</v>
      </c>
      <c r="V18">
        <f>U18/T18*1000</f>
        <v>6.1681487469684715</v>
      </c>
      <c r="W18" s="5">
        <v>49.503999999999998</v>
      </c>
      <c r="X18" s="5">
        <v>26.922000000000001</v>
      </c>
      <c r="Y18" s="6">
        <v>0.2331</v>
      </c>
      <c r="Z18" s="5">
        <v>72.322000000000003</v>
      </c>
      <c r="AA18" s="7">
        <v>223.7253</v>
      </c>
      <c r="AB18" s="8">
        <v>374</v>
      </c>
      <c r="AC18" s="8">
        <v>305</v>
      </c>
      <c r="AD18">
        <f>W18/40.078/$T18*1000</f>
        <v>1.2514241211214867</v>
      </c>
      <c r="AE18">
        <f>X18/39.0983/$T18*1000</f>
        <v>0.69762127396461615</v>
      </c>
      <c r="AF18">
        <f>Y18/6.941/$T18*1000</f>
        <v>3.4024401906771529E-2</v>
      </c>
      <c r="AG18" s="9">
        <f>Z18/24.305/$T18*1000</f>
        <v>3.0147067468367639</v>
      </c>
      <c r="AH18" s="9">
        <f>AA18/22.989769/$T18*1000</f>
        <v>9.859406260057817</v>
      </c>
      <c r="AI18" s="9">
        <f>AB18/35.453/$T18*1000</f>
        <v>10.687813876888244</v>
      </c>
      <c r="AJ18" s="9">
        <f>AC18/96.06/$T18*1000</f>
        <v>3.2168256843729091</v>
      </c>
    </row>
    <row r="19" spans="1:36" ht="16" x14ac:dyDescent="0.4">
      <c r="A19" s="3">
        <v>45456.615277777775</v>
      </c>
      <c r="B19" s="4">
        <v>507</v>
      </c>
      <c r="C19" s="4" t="s">
        <v>39</v>
      </c>
      <c r="D19" s="4">
        <v>738.61</v>
      </c>
      <c r="E19" s="4">
        <f t="shared" si="0"/>
        <v>329.56</v>
      </c>
      <c r="F19" s="4">
        <v>737.07</v>
      </c>
      <c r="G19" s="4">
        <f t="shared" si="1"/>
        <v>328.02000000000004</v>
      </c>
      <c r="H19" s="4">
        <v>15.69</v>
      </c>
      <c r="I19" s="4">
        <v>421.09</v>
      </c>
      <c r="J19" s="4">
        <f t="shared" si="2"/>
        <v>1.5399999999999636</v>
      </c>
      <c r="K19" s="4" t="s">
        <v>56</v>
      </c>
      <c r="L19" s="4">
        <v>8.6199999999999992</v>
      </c>
      <c r="M19" s="4">
        <v>18.7</v>
      </c>
      <c r="N19" s="4"/>
      <c r="O19" s="4"/>
      <c r="P19" s="4"/>
      <c r="W19" s="5">
        <v>48.269599999999997</v>
      </c>
      <c r="X19" s="5">
        <v>28.930499999999999</v>
      </c>
      <c r="Y19" s="6">
        <v>0.20549999999999999</v>
      </c>
      <c r="Z19" s="5">
        <v>75.695899999999995</v>
      </c>
      <c r="AA19" s="7">
        <v>238.40809999999999</v>
      </c>
      <c r="AB19" s="8">
        <v>382</v>
      </c>
      <c r="AC19" s="8">
        <v>311</v>
      </c>
      <c r="AD19">
        <f>W19/40.078/AVERAGE(T18,T22)*1000</f>
        <v>1.2230986572179383</v>
      </c>
      <c r="AE19">
        <f>X19/39.0983/AVERAGE(T18,T22)*1000</f>
        <v>0.75143582314742685</v>
      </c>
      <c r="AF19">
        <f>Y19/6.941/AVERAGE(T18,T22)*1000</f>
        <v>3.0066551007997946E-2</v>
      </c>
      <c r="AG19" s="9">
        <f>Z19/24.305/AVERAGE(T18,T22)*1000</f>
        <v>3.1627914926350797</v>
      </c>
      <c r="AH19" s="9">
        <f>AA19/22.989769/AVERAGE(T18,T22)*1000</f>
        <v>10.531257443145757</v>
      </c>
      <c r="AI19" s="9">
        <f>AB19/35.453/AVERAGE(T18,T22)*1000</f>
        <v>10.942188766522012</v>
      </c>
      <c r="AJ19" s="9">
        <f>AC19/96.06/AVERAGE(T18,T22)*1000</f>
        <v>3.2878472852260208</v>
      </c>
    </row>
    <row r="20" spans="1:36" ht="16" x14ac:dyDescent="0.4">
      <c r="A20" s="3">
        <v>45460.655555555553</v>
      </c>
      <c r="B20" s="4">
        <v>604</v>
      </c>
      <c r="C20" s="4" t="s">
        <v>39</v>
      </c>
      <c r="D20" s="4">
        <v>682.06</v>
      </c>
      <c r="E20" s="4">
        <f t="shared" si="0"/>
        <v>273.00999999999993</v>
      </c>
      <c r="F20" s="4">
        <v>680.34</v>
      </c>
      <c r="G20" s="4">
        <f t="shared" si="1"/>
        <v>271.29000000000002</v>
      </c>
      <c r="H20" s="4">
        <v>55.01</v>
      </c>
      <c r="I20" s="4">
        <v>476.1</v>
      </c>
      <c r="J20" s="4">
        <f t="shared" si="2"/>
        <v>1.7199999999999136</v>
      </c>
      <c r="K20" s="4" t="s">
        <v>57</v>
      </c>
      <c r="L20" s="4">
        <v>8.6199999999999992</v>
      </c>
      <c r="M20" s="4">
        <v>19.399999999999999</v>
      </c>
      <c r="N20" s="4"/>
      <c r="O20" s="4"/>
      <c r="P20" s="4"/>
    </row>
    <row r="21" spans="1:36" ht="16" x14ac:dyDescent="0.4">
      <c r="A21" s="3">
        <v>45461.477083333331</v>
      </c>
      <c r="B21" s="4">
        <v>624</v>
      </c>
      <c r="C21" s="4" t="s">
        <v>39</v>
      </c>
      <c r="D21" s="4">
        <v>665.05</v>
      </c>
      <c r="E21" s="4">
        <f t="shared" si="0"/>
        <v>255.99999999999994</v>
      </c>
      <c r="F21" s="4">
        <v>663.28</v>
      </c>
      <c r="G21" s="4">
        <f t="shared" si="1"/>
        <v>254.22999999999996</v>
      </c>
      <c r="H21" s="4">
        <v>15.29</v>
      </c>
      <c r="I21" s="4">
        <v>491.39</v>
      </c>
      <c r="J21" s="4">
        <f t="shared" si="2"/>
        <v>1.7699999999999818</v>
      </c>
      <c r="K21" s="4" t="s">
        <v>58</v>
      </c>
      <c r="L21" s="4">
        <v>8.65</v>
      </c>
      <c r="M21" s="4">
        <v>17.5</v>
      </c>
      <c r="N21" s="4"/>
      <c r="O21" s="4"/>
      <c r="P21" s="4"/>
    </row>
    <row r="22" spans="1:36" ht="16" x14ac:dyDescent="0.4">
      <c r="A22" s="3">
        <v>45464.495138888888</v>
      </c>
      <c r="B22" s="4">
        <v>696</v>
      </c>
      <c r="C22" s="4" t="s">
        <v>43</v>
      </c>
      <c r="D22" s="4">
        <v>625.07000000000005</v>
      </c>
      <c r="E22" s="4">
        <f t="shared" si="0"/>
        <v>216.02000000000004</v>
      </c>
      <c r="F22" s="4">
        <v>573.57000000000005</v>
      </c>
      <c r="G22" s="4">
        <f t="shared" si="1"/>
        <v>164.52000000000004</v>
      </c>
      <c r="H22" s="4">
        <v>38.21</v>
      </c>
      <c r="I22" s="4">
        <v>529.6</v>
      </c>
      <c r="J22" s="4">
        <f t="shared" si="2"/>
        <v>51.5</v>
      </c>
      <c r="K22" s="4" t="s">
        <v>59</v>
      </c>
      <c r="L22" s="4">
        <v>8.66</v>
      </c>
      <c r="M22" s="4">
        <v>18.7</v>
      </c>
      <c r="N22" s="4">
        <v>49.69</v>
      </c>
      <c r="O22" s="4">
        <v>99.01</v>
      </c>
      <c r="P22" s="4">
        <v>2.3029999999999999</v>
      </c>
      <c r="Q22">
        <f>O22-N22</f>
        <v>49.320000000000007</v>
      </c>
      <c r="R22">
        <f>Q22/0.998</f>
        <v>49.418837675350709</v>
      </c>
      <c r="S22">
        <f>100-R22</f>
        <v>50.581162324649291</v>
      </c>
      <c r="T22">
        <f>N22/S22*1000</f>
        <v>982.38153724247229</v>
      </c>
      <c r="U22">
        <f>P22*100/S22</f>
        <v>4.5530784469096677</v>
      </c>
      <c r="V22">
        <f>U22/T22*1000</f>
        <v>4.6347353592272089</v>
      </c>
      <c r="W22" s="5">
        <v>49.343699999999998</v>
      </c>
      <c r="X22" s="5">
        <v>45.991300000000003</v>
      </c>
      <c r="Y22" s="6">
        <v>0.40079999999999999</v>
      </c>
      <c r="Z22" s="7">
        <v>114.4277</v>
      </c>
      <c r="AA22" s="7">
        <v>303.38159999999999</v>
      </c>
      <c r="AB22" s="8">
        <v>502</v>
      </c>
      <c r="AC22" s="8">
        <v>403</v>
      </c>
      <c r="AD22">
        <f>W22/40.078/$T22*1000</f>
        <v>1.2532724095032184</v>
      </c>
      <c r="AE22">
        <f>X22/39.0983/$T22*1000</f>
        <v>1.197395493188788</v>
      </c>
      <c r="AF22">
        <f>Y22/6.941/$T22*1000</f>
        <v>5.8779444397127741E-2</v>
      </c>
      <c r="AG22" s="9">
        <f>Z22/24.305/$T22*1000</f>
        <v>4.7924252920141681</v>
      </c>
      <c r="AH22" s="9">
        <f>AA22/22.989769/$T22*1000</f>
        <v>13.433044025310148</v>
      </c>
      <c r="AI22" s="9">
        <f>AB22/35.453/$T22*1000</f>
        <v>14.413535917710789</v>
      </c>
      <c r="AJ22" s="9">
        <f>AC22/96.06/$T22*1000</f>
        <v>4.2705348670467425</v>
      </c>
    </row>
    <row r="23" spans="1:36" ht="16" x14ac:dyDescent="0.4">
      <c r="A23" s="3">
        <v>45467.49722222222</v>
      </c>
      <c r="B23" s="4">
        <v>769</v>
      </c>
      <c r="C23" s="4" t="s">
        <v>43</v>
      </c>
      <c r="D23" s="4">
        <v>534.46</v>
      </c>
      <c r="E23" s="4">
        <f t="shared" si="0"/>
        <v>125.41000000000003</v>
      </c>
      <c r="F23" s="4">
        <v>483.66</v>
      </c>
      <c r="G23" s="4">
        <f t="shared" si="1"/>
        <v>74.610000000000014</v>
      </c>
      <c r="H23" s="4">
        <v>39.11</v>
      </c>
      <c r="I23" s="4">
        <v>568.71</v>
      </c>
      <c r="J23" s="4">
        <f t="shared" si="2"/>
        <v>50.800000000000011</v>
      </c>
      <c r="K23" s="4" t="s">
        <v>60</v>
      </c>
      <c r="L23" s="4">
        <v>8.74</v>
      </c>
      <c r="M23" s="4">
        <v>18.100000000000001</v>
      </c>
      <c r="N23" s="4">
        <v>49.33</v>
      </c>
      <c r="O23" s="4">
        <v>99.02</v>
      </c>
      <c r="P23" s="4">
        <v>2.4049999999999998</v>
      </c>
      <c r="Q23">
        <f>O23-N23</f>
        <v>49.69</v>
      </c>
      <c r="R23">
        <f>Q23/0.998</f>
        <v>49.789579158316634</v>
      </c>
      <c r="S23">
        <f>100-R23</f>
        <v>50.210420841683366</v>
      </c>
      <c r="T23">
        <f>N23/S23*1000</f>
        <v>982.46537617242075</v>
      </c>
      <c r="U23">
        <f>P23*100/S23</f>
        <v>4.7898423468369584</v>
      </c>
      <c r="V23">
        <f>U23/T23*1000</f>
        <v>4.8753294141496042</v>
      </c>
      <c r="W23" s="5">
        <v>59.945399999999999</v>
      </c>
      <c r="X23" s="5">
        <v>64.011399999999995</v>
      </c>
      <c r="Y23" s="6">
        <v>0.4909</v>
      </c>
      <c r="Z23" s="7">
        <v>145.00630000000001</v>
      </c>
      <c r="AA23" s="7">
        <v>408.29340000000002</v>
      </c>
      <c r="AB23" s="8">
        <v>706</v>
      </c>
      <c r="AC23" s="8">
        <v>565</v>
      </c>
      <c r="AD23">
        <f>W23/40.078/$T23*1000</f>
        <v>1.5224132936329831</v>
      </c>
      <c r="AE23">
        <f>X23/39.0983/$T23*1000</f>
        <v>1.6664112818062984</v>
      </c>
      <c r="AF23">
        <f>Y23/6.941/$T23*1000</f>
        <v>7.1986943414269172E-2</v>
      </c>
      <c r="AG23" s="9">
        <f>Z23/24.305/$T23*1000</f>
        <v>6.0725904430167708</v>
      </c>
      <c r="AH23" s="9">
        <f>AA23/22.989769/$T23*1000</f>
        <v>18.07675609114732</v>
      </c>
      <c r="AI23" s="9">
        <f>AB23/35.453/$T23*1000</f>
        <v>20.269099581890323</v>
      </c>
      <c r="AJ23" s="9">
        <f>AC23/96.06/$T23*1000</f>
        <v>5.9867153809730587</v>
      </c>
    </row>
  </sheetData>
  <mergeCells count="1"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2015-06-05T18:17:20Z</dcterms:created>
  <dcterms:modified xsi:type="dcterms:W3CDTF">2025-02-07T18:36:33Z</dcterms:modified>
</cp:coreProperties>
</file>